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' Spreadsheet\2022\"/>
    </mc:Choice>
  </mc:AlternateContent>
  <bookViews>
    <workbookView xWindow="0" yWindow="0" windowWidth="20490" windowHeight="6750"/>
  </bookViews>
  <sheets>
    <sheet name="NOVEMBER 2022" sheetId="1" r:id="rId1"/>
    <sheet name="Market Share" sheetId="2" r:id="rId2"/>
    <sheet name="Unit Holders" sheetId="3" r:id="rId3"/>
    <sheet name="NAV Comparison Oct &amp; Nov '22" sheetId="4" r:id="rId4"/>
  </sheets>
  <definedNames>
    <definedName name="_xlnm._FilterDatabase" localSheetId="0" hidden="1">'NOVEMBER 2022'!$A$1:$AE$92</definedName>
    <definedName name="_Hlk108107245" localSheetId="0">'NOVEMBER 2022'!$R$44</definedName>
    <definedName name="_Hlk108109806" localSheetId="0">'NOVEMBER 2022'!$N$44</definedName>
  </definedNames>
  <calcPr calcId="162913"/>
</workbook>
</file>

<file path=xl/calcChain.xml><?xml version="1.0" encoding="utf-8"?>
<calcChain xmlns="http://schemas.openxmlformats.org/spreadsheetml/2006/main">
  <c r="Q147" i="1" l="1"/>
  <c r="T147" i="1"/>
  <c r="U147" i="1"/>
  <c r="V147" i="1"/>
  <c r="W147" i="1"/>
  <c r="X147" i="1"/>
  <c r="T148" i="1"/>
  <c r="U148" i="1"/>
  <c r="V148" i="1"/>
  <c r="W148" i="1"/>
  <c r="X148" i="1"/>
  <c r="T149" i="1"/>
  <c r="U149" i="1"/>
  <c r="V149" i="1"/>
  <c r="W149" i="1"/>
  <c r="X149" i="1"/>
  <c r="T150" i="1"/>
  <c r="U150" i="1"/>
  <c r="V150" i="1"/>
  <c r="W150" i="1"/>
  <c r="X150" i="1"/>
  <c r="T151" i="1"/>
  <c r="U151" i="1"/>
  <c r="V151" i="1"/>
  <c r="W151" i="1"/>
  <c r="X151" i="1"/>
  <c r="T143" i="1"/>
  <c r="U143" i="1"/>
  <c r="V143" i="1"/>
  <c r="W143" i="1"/>
  <c r="X143" i="1"/>
  <c r="S137" i="1"/>
  <c r="T137" i="1"/>
  <c r="U137" i="1"/>
  <c r="V137" i="1"/>
  <c r="W137" i="1"/>
  <c r="X137" i="1"/>
  <c r="S138" i="1"/>
  <c r="T138" i="1"/>
  <c r="U138" i="1"/>
  <c r="V138" i="1"/>
  <c r="W138" i="1"/>
  <c r="X138" i="1"/>
  <c r="S112" i="1"/>
  <c r="T112" i="1"/>
  <c r="U112" i="1"/>
  <c r="V112" i="1"/>
  <c r="W112" i="1"/>
  <c r="X112" i="1"/>
  <c r="S113" i="1"/>
  <c r="T113" i="1"/>
  <c r="U113" i="1"/>
  <c r="V113" i="1"/>
  <c r="W113" i="1"/>
  <c r="X113" i="1"/>
  <c r="S114" i="1"/>
  <c r="T114" i="1"/>
  <c r="U114" i="1"/>
  <c r="V114" i="1"/>
  <c r="W114" i="1"/>
  <c r="X114" i="1"/>
  <c r="S115" i="1"/>
  <c r="T115" i="1"/>
  <c r="U115" i="1"/>
  <c r="V115" i="1"/>
  <c r="W115" i="1"/>
  <c r="X115" i="1"/>
  <c r="S116" i="1"/>
  <c r="T116" i="1"/>
  <c r="U116" i="1"/>
  <c r="V116" i="1"/>
  <c r="W116" i="1"/>
  <c r="X116" i="1"/>
  <c r="S117" i="1"/>
  <c r="T117" i="1"/>
  <c r="U117" i="1"/>
  <c r="V117" i="1"/>
  <c r="W117" i="1"/>
  <c r="X117" i="1"/>
  <c r="S118" i="1"/>
  <c r="T118" i="1"/>
  <c r="U118" i="1"/>
  <c r="V118" i="1"/>
  <c r="W118" i="1"/>
  <c r="X118" i="1"/>
  <c r="S119" i="1"/>
  <c r="T119" i="1"/>
  <c r="U119" i="1"/>
  <c r="V119" i="1"/>
  <c r="W119" i="1"/>
  <c r="X119" i="1"/>
  <c r="S120" i="1"/>
  <c r="T120" i="1"/>
  <c r="U120" i="1"/>
  <c r="V120" i="1"/>
  <c r="W120" i="1"/>
  <c r="X120" i="1"/>
  <c r="S121" i="1"/>
  <c r="T121" i="1"/>
  <c r="U121" i="1"/>
  <c r="V121" i="1"/>
  <c r="W121" i="1"/>
  <c r="X121" i="1"/>
  <c r="S122" i="1"/>
  <c r="T122" i="1"/>
  <c r="U122" i="1"/>
  <c r="V122" i="1"/>
  <c r="W122" i="1"/>
  <c r="X122" i="1"/>
  <c r="S123" i="1"/>
  <c r="T123" i="1"/>
  <c r="U123" i="1"/>
  <c r="V123" i="1"/>
  <c r="W123" i="1"/>
  <c r="X123" i="1"/>
  <c r="S124" i="1"/>
  <c r="T124" i="1"/>
  <c r="U124" i="1"/>
  <c r="V124" i="1"/>
  <c r="W124" i="1"/>
  <c r="X124" i="1"/>
  <c r="S125" i="1"/>
  <c r="T125" i="1"/>
  <c r="U125" i="1"/>
  <c r="V125" i="1"/>
  <c r="W125" i="1"/>
  <c r="X125" i="1"/>
  <c r="S126" i="1"/>
  <c r="T126" i="1"/>
  <c r="U126" i="1"/>
  <c r="V126" i="1"/>
  <c r="W126" i="1"/>
  <c r="X126" i="1"/>
  <c r="S127" i="1"/>
  <c r="T127" i="1"/>
  <c r="U127" i="1"/>
  <c r="V127" i="1"/>
  <c r="W127" i="1"/>
  <c r="X127" i="1"/>
  <c r="S128" i="1"/>
  <c r="T128" i="1"/>
  <c r="U128" i="1"/>
  <c r="V128" i="1"/>
  <c r="W128" i="1"/>
  <c r="X128" i="1"/>
  <c r="S129" i="1"/>
  <c r="T129" i="1"/>
  <c r="U129" i="1"/>
  <c r="V129" i="1"/>
  <c r="W129" i="1"/>
  <c r="X129" i="1"/>
  <c r="S130" i="1"/>
  <c r="T130" i="1"/>
  <c r="U130" i="1"/>
  <c r="V130" i="1"/>
  <c r="W130" i="1"/>
  <c r="X130" i="1"/>
  <c r="S131" i="1"/>
  <c r="T131" i="1"/>
  <c r="U131" i="1"/>
  <c r="V131" i="1"/>
  <c r="W131" i="1"/>
  <c r="X131" i="1"/>
  <c r="S132" i="1"/>
  <c r="T132" i="1"/>
  <c r="U132" i="1"/>
  <c r="V132" i="1"/>
  <c r="W132" i="1"/>
  <c r="X132" i="1"/>
  <c r="S133" i="1"/>
  <c r="T133" i="1"/>
  <c r="U133" i="1"/>
  <c r="V133" i="1"/>
  <c r="W133" i="1"/>
  <c r="X133" i="1"/>
  <c r="S106" i="1"/>
  <c r="T106" i="1"/>
  <c r="U106" i="1"/>
  <c r="V106" i="1"/>
  <c r="W106" i="1"/>
  <c r="X106" i="1"/>
  <c r="S107" i="1"/>
  <c r="T107" i="1"/>
  <c r="U107" i="1"/>
  <c r="V107" i="1"/>
  <c r="W107" i="1"/>
  <c r="X107" i="1"/>
  <c r="S108" i="1"/>
  <c r="T108" i="1"/>
  <c r="U108" i="1"/>
  <c r="V108" i="1"/>
  <c r="W108" i="1"/>
  <c r="X108" i="1"/>
  <c r="S96" i="1"/>
  <c r="T96" i="1"/>
  <c r="U96" i="1"/>
  <c r="V96" i="1"/>
  <c r="W96" i="1"/>
  <c r="X96" i="1"/>
  <c r="S97" i="1"/>
  <c r="T97" i="1"/>
  <c r="U97" i="1"/>
  <c r="V97" i="1"/>
  <c r="W97" i="1"/>
  <c r="X97" i="1"/>
  <c r="S98" i="1"/>
  <c r="T98" i="1"/>
  <c r="U98" i="1"/>
  <c r="V98" i="1"/>
  <c r="W98" i="1"/>
  <c r="X98" i="1"/>
  <c r="S99" i="1"/>
  <c r="T99" i="1"/>
  <c r="U99" i="1"/>
  <c r="V99" i="1"/>
  <c r="W99" i="1"/>
  <c r="X99" i="1"/>
  <c r="S100" i="1"/>
  <c r="T100" i="1"/>
  <c r="U100" i="1"/>
  <c r="V100" i="1"/>
  <c r="W100" i="1"/>
  <c r="X100" i="1"/>
  <c r="S101" i="1"/>
  <c r="T101" i="1"/>
  <c r="U101" i="1"/>
  <c r="V101" i="1"/>
  <c r="W101" i="1"/>
  <c r="X101" i="1"/>
  <c r="S102" i="1"/>
  <c r="T102" i="1"/>
  <c r="U102" i="1"/>
  <c r="V102" i="1"/>
  <c r="W102" i="1"/>
  <c r="X102" i="1"/>
  <c r="S86" i="1"/>
  <c r="T86" i="1"/>
  <c r="U86" i="1"/>
  <c r="V86" i="1"/>
  <c r="W86" i="1"/>
  <c r="X86" i="1"/>
  <c r="S87" i="1"/>
  <c r="T87" i="1"/>
  <c r="U87" i="1"/>
  <c r="V87" i="1"/>
  <c r="W87" i="1"/>
  <c r="X87" i="1"/>
  <c r="S88" i="1"/>
  <c r="T88" i="1"/>
  <c r="U88" i="1"/>
  <c r="V88" i="1"/>
  <c r="W88" i="1"/>
  <c r="X88" i="1"/>
  <c r="S89" i="1"/>
  <c r="T89" i="1"/>
  <c r="U89" i="1"/>
  <c r="V89" i="1"/>
  <c r="W89" i="1"/>
  <c r="X89" i="1"/>
  <c r="S90" i="1"/>
  <c r="T90" i="1"/>
  <c r="U90" i="1"/>
  <c r="V90" i="1"/>
  <c r="W90" i="1"/>
  <c r="X90" i="1"/>
  <c r="S91" i="1"/>
  <c r="T91" i="1"/>
  <c r="U91" i="1"/>
  <c r="V91" i="1"/>
  <c r="W91" i="1"/>
  <c r="X91" i="1"/>
  <c r="S92" i="1"/>
  <c r="T92" i="1"/>
  <c r="U92" i="1"/>
  <c r="V92" i="1"/>
  <c r="W92" i="1"/>
  <c r="X92" i="1"/>
  <c r="X85" i="1"/>
  <c r="V85" i="1"/>
  <c r="U85" i="1"/>
  <c r="S85" i="1"/>
  <c r="S53" i="1"/>
  <c r="T53" i="1"/>
  <c r="U53" i="1"/>
  <c r="V53" i="1"/>
  <c r="W53" i="1"/>
  <c r="X53" i="1"/>
  <c r="S54" i="1"/>
  <c r="T54" i="1"/>
  <c r="U54" i="1"/>
  <c r="V54" i="1"/>
  <c r="W54" i="1"/>
  <c r="X54" i="1"/>
  <c r="S55" i="1"/>
  <c r="T55" i="1"/>
  <c r="U55" i="1"/>
  <c r="V55" i="1"/>
  <c r="W55" i="1"/>
  <c r="X55" i="1"/>
  <c r="S56" i="1"/>
  <c r="T56" i="1"/>
  <c r="U56" i="1"/>
  <c r="V56" i="1"/>
  <c r="W56" i="1"/>
  <c r="X56" i="1"/>
  <c r="S57" i="1"/>
  <c r="T57" i="1"/>
  <c r="U57" i="1"/>
  <c r="V57" i="1"/>
  <c r="W57" i="1"/>
  <c r="X57" i="1"/>
  <c r="S58" i="1"/>
  <c r="T58" i="1"/>
  <c r="U58" i="1"/>
  <c r="V58" i="1"/>
  <c r="W58" i="1"/>
  <c r="X58" i="1"/>
  <c r="S59" i="1"/>
  <c r="T59" i="1"/>
  <c r="U59" i="1"/>
  <c r="V59" i="1"/>
  <c r="W59" i="1"/>
  <c r="X59" i="1"/>
  <c r="S60" i="1"/>
  <c r="T60" i="1"/>
  <c r="U60" i="1"/>
  <c r="V60" i="1"/>
  <c r="W60" i="1"/>
  <c r="X60" i="1"/>
  <c r="S61" i="1"/>
  <c r="T61" i="1"/>
  <c r="U61" i="1"/>
  <c r="V61" i="1"/>
  <c r="W61" i="1"/>
  <c r="X61" i="1"/>
  <c r="S62" i="1"/>
  <c r="T62" i="1"/>
  <c r="U62" i="1"/>
  <c r="V62" i="1"/>
  <c r="W62" i="1"/>
  <c r="X62" i="1"/>
  <c r="S63" i="1"/>
  <c r="T63" i="1"/>
  <c r="U63" i="1"/>
  <c r="V63" i="1"/>
  <c r="W63" i="1"/>
  <c r="X63" i="1"/>
  <c r="S64" i="1"/>
  <c r="T64" i="1"/>
  <c r="U64" i="1"/>
  <c r="V64" i="1"/>
  <c r="W64" i="1"/>
  <c r="X64" i="1"/>
  <c r="S65" i="1"/>
  <c r="T65" i="1"/>
  <c r="U65" i="1"/>
  <c r="V65" i="1"/>
  <c r="W65" i="1"/>
  <c r="X65" i="1"/>
  <c r="S66" i="1"/>
  <c r="T66" i="1"/>
  <c r="U66" i="1"/>
  <c r="V66" i="1"/>
  <c r="W66" i="1"/>
  <c r="X66" i="1"/>
  <c r="S67" i="1"/>
  <c r="T67" i="1"/>
  <c r="U67" i="1"/>
  <c r="V67" i="1"/>
  <c r="W67" i="1"/>
  <c r="X67" i="1"/>
  <c r="S68" i="1"/>
  <c r="T68" i="1"/>
  <c r="U68" i="1"/>
  <c r="V68" i="1"/>
  <c r="W68" i="1"/>
  <c r="X68" i="1"/>
  <c r="S69" i="1"/>
  <c r="T69" i="1"/>
  <c r="U69" i="1"/>
  <c r="V69" i="1"/>
  <c r="W69" i="1"/>
  <c r="X69" i="1"/>
  <c r="S70" i="1"/>
  <c r="T70" i="1"/>
  <c r="U70" i="1"/>
  <c r="V70" i="1"/>
  <c r="W70" i="1"/>
  <c r="X70" i="1"/>
  <c r="S71" i="1"/>
  <c r="T71" i="1"/>
  <c r="U71" i="1"/>
  <c r="V71" i="1"/>
  <c r="W71" i="1"/>
  <c r="X71" i="1"/>
  <c r="S72" i="1"/>
  <c r="T72" i="1"/>
  <c r="U72" i="1"/>
  <c r="V72" i="1"/>
  <c r="W72" i="1"/>
  <c r="X72" i="1"/>
  <c r="S73" i="1"/>
  <c r="T73" i="1"/>
  <c r="U73" i="1"/>
  <c r="V73" i="1"/>
  <c r="W73" i="1"/>
  <c r="X73" i="1"/>
  <c r="S74" i="1"/>
  <c r="T74" i="1"/>
  <c r="U74" i="1"/>
  <c r="V74" i="1"/>
  <c r="W74" i="1"/>
  <c r="X74" i="1"/>
  <c r="S75" i="1"/>
  <c r="T75" i="1"/>
  <c r="U75" i="1"/>
  <c r="V75" i="1"/>
  <c r="W75" i="1"/>
  <c r="X75" i="1"/>
  <c r="S76" i="1"/>
  <c r="T76" i="1"/>
  <c r="U76" i="1"/>
  <c r="V76" i="1"/>
  <c r="W76" i="1"/>
  <c r="X76" i="1"/>
  <c r="S77" i="1"/>
  <c r="T77" i="1"/>
  <c r="U77" i="1"/>
  <c r="V77" i="1"/>
  <c r="W77" i="1"/>
  <c r="X77" i="1"/>
  <c r="S78" i="1"/>
  <c r="T78" i="1"/>
  <c r="U78" i="1"/>
  <c r="V78" i="1"/>
  <c r="W78" i="1"/>
  <c r="X78" i="1"/>
  <c r="S79" i="1"/>
  <c r="T79" i="1"/>
  <c r="U79" i="1"/>
  <c r="V79" i="1"/>
  <c r="W79" i="1"/>
  <c r="X79" i="1"/>
  <c r="S80" i="1"/>
  <c r="T80" i="1"/>
  <c r="U80" i="1"/>
  <c r="V80" i="1"/>
  <c r="W80" i="1"/>
  <c r="X80" i="1"/>
  <c r="S81" i="1"/>
  <c r="T81" i="1"/>
  <c r="U81" i="1"/>
  <c r="V81" i="1"/>
  <c r="W81" i="1"/>
  <c r="X81" i="1"/>
  <c r="S22" i="1"/>
  <c r="T22" i="1"/>
  <c r="U22" i="1"/>
  <c r="V22" i="1"/>
  <c r="W22" i="1"/>
  <c r="X22" i="1"/>
  <c r="S23" i="1"/>
  <c r="T23" i="1"/>
  <c r="U23" i="1"/>
  <c r="V23" i="1"/>
  <c r="W23" i="1"/>
  <c r="X23" i="1"/>
  <c r="S24" i="1"/>
  <c r="T24" i="1"/>
  <c r="U24" i="1"/>
  <c r="V24" i="1"/>
  <c r="W24" i="1"/>
  <c r="X24" i="1"/>
  <c r="S25" i="1"/>
  <c r="T25" i="1"/>
  <c r="U25" i="1"/>
  <c r="V25" i="1"/>
  <c r="W25" i="1"/>
  <c r="X25" i="1"/>
  <c r="S26" i="1"/>
  <c r="T26" i="1"/>
  <c r="U26" i="1"/>
  <c r="V26" i="1"/>
  <c r="W26" i="1"/>
  <c r="X26" i="1"/>
  <c r="S27" i="1"/>
  <c r="T27" i="1"/>
  <c r="U27" i="1"/>
  <c r="V27" i="1"/>
  <c r="W27" i="1"/>
  <c r="X27" i="1"/>
  <c r="S28" i="1"/>
  <c r="T28" i="1"/>
  <c r="U28" i="1"/>
  <c r="V28" i="1"/>
  <c r="W28" i="1"/>
  <c r="X28" i="1"/>
  <c r="S29" i="1"/>
  <c r="T29" i="1"/>
  <c r="U29" i="1"/>
  <c r="V29" i="1"/>
  <c r="W29" i="1"/>
  <c r="X29" i="1"/>
  <c r="S30" i="1"/>
  <c r="T30" i="1"/>
  <c r="U30" i="1"/>
  <c r="V30" i="1"/>
  <c r="W30" i="1"/>
  <c r="X30" i="1"/>
  <c r="S31" i="1"/>
  <c r="T31" i="1"/>
  <c r="U31" i="1"/>
  <c r="V31" i="1"/>
  <c r="W31" i="1"/>
  <c r="X31" i="1"/>
  <c r="S32" i="1"/>
  <c r="T32" i="1"/>
  <c r="U32" i="1"/>
  <c r="V32" i="1"/>
  <c r="W32" i="1"/>
  <c r="X32" i="1"/>
  <c r="S33" i="1"/>
  <c r="T33" i="1"/>
  <c r="U33" i="1"/>
  <c r="V33" i="1"/>
  <c r="W33" i="1"/>
  <c r="X33" i="1"/>
  <c r="S34" i="1"/>
  <c r="T34" i="1"/>
  <c r="U34" i="1"/>
  <c r="V34" i="1"/>
  <c r="W34" i="1"/>
  <c r="X34" i="1"/>
  <c r="S35" i="1"/>
  <c r="T35" i="1"/>
  <c r="U35" i="1"/>
  <c r="V35" i="1"/>
  <c r="W35" i="1"/>
  <c r="X35" i="1"/>
  <c r="S36" i="1"/>
  <c r="T36" i="1"/>
  <c r="U36" i="1"/>
  <c r="V36" i="1"/>
  <c r="W36" i="1"/>
  <c r="X36" i="1"/>
  <c r="S37" i="1"/>
  <c r="T37" i="1"/>
  <c r="U37" i="1"/>
  <c r="V37" i="1"/>
  <c r="W37" i="1"/>
  <c r="X37" i="1"/>
  <c r="S38" i="1"/>
  <c r="T38" i="1"/>
  <c r="U38" i="1"/>
  <c r="V38" i="1"/>
  <c r="W38" i="1"/>
  <c r="X38" i="1"/>
  <c r="S39" i="1"/>
  <c r="T39" i="1"/>
  <c r="U39" i="1"/>
  <c r="V39" i="1"/>
  <c r="W39" i="1"/>
  <c r="X39" i="1"/>
  <c r="S40" i="1"/>
  <c r="T40" i="1"/>
  <c r="U40" i="1"/>
  <c r="V40" i="1"/>
  <c r="W40" i="1"/>
  <c r="X40" i="1"/>
  <c r="S41" i="1"/>
  <c r="T41" i="1"/>
  <c r="U41" i="1"/>
  <c r="V41" i="1"/>
  <c r="W41" i="1"/>
  <c r="X41" i="1"/>
  <c r="S42" i="1"/>
  <c r="T42" i="1"/>
  <c r="U42" i="1"/>
  <c r="V42" i="1"/>
  <c r="W42" i="1"/>
  <c r="X42" i="1"/>
  <c r="S43" i="1"/>
  <c r="T43" i="1"/>
  <c r="U43" i="1"/>
  <c r="V43" i="1"/>
  <c r="W43" i="1"/>
  <c r="X43" i="1"/>
  <c r="S44" i="1"/>
  <c r="T44" i="1"/>
  <c r="U44" i="1"/>
  <c r="V44" i="1"/>
  <c r="W44" i="1"/>
  <c r="X44" i="1"/>
  <c r="S45" i="1"/>
  <c r="T45" i="1"/>
  <c r="U45" i="1"/>
  <c r="V45" i="1"/>
  <c r="W45" i="1"/>
  <c r="X45" i="1"/>
  <c r="S46" i="1"/>
  <c r="T46" i="1"/>
  <c r="U46" i="1"/>
  <c r="V46" i="1"/>
  <c r="W46" i="1"/>
  <c r="X46" i="1"/>
  <c r="S47" i="1"/>
  <c r="T47" i="1"/>
  <c r="U47" i="1"/>
  <c r="V47" i="1"/>
  <c r="W47" i="1"/>
  <c r="X47" i="1"/>
  <c r="S48" i="1"/>
  <c r="T48" i="1"/>
  <c r="U48" i="1"/>
  <c r="V48" i="1"/>
  <c r="W48" i="1"/>
  <c r="X48" i="1"/>
  <c r="S49" i="1"/>
  <c r="T49" i="1"/>
  <c r="U49" i="1"/>
  <c r="V49" i="1"/>
  <c r="W49" i="1"/>
  <c r="X49" i="1"/>
  <c r="S5" i="1"/>
  <c r="T5" i="1"/>
  <c r="U5" i="1"/>
  <c r="V5" i="1"/>
  <c r="W5" i="1"/>
  <c r="X5" i="1"/>
  <c r="S6" i="1"/>
  <c r="T6" i="1"/>
  <c r="U6" i="1"/>
  <c r="V6" i="1"/>
  <c r="W6" i="1"/>
  <c r="X6" i="1"/>
  <c r="S7" i="1"/>
  <c r="T7" i="1"/>
  <c r="U7" i="1"/>
  <c r="V7" i="1"/>
  <c r="W7" i="1"/>
  <c r="X7" i="1"/>
  <c r="S8" i="1"/>
  <c r="T8" i="1"/>
  <c r="U8" i="1"/>
  <c r="V8" i="1"/>
  <c r="W8" i="1"/>
  <c r="X8" i="1"/>
  <c r="S9" i="1"/>
  <c r="T9" i="1"/>
  <c r="U9" i="1"/>
  <c r="V9" i="1"/>
  <c r="W9" i="1"/>
  <c r="X9" i="1"/>
  <c r="S10" i="1"/>
  <c r="T10" i="1"/>
  <c r="U10" i="1"/>
  <c r="V10" i="1"/>
  <c r="W10" i="1"/>
  <c r="X10" i="1"/>
  <c r="S11" i="1"/>
  <c r="T11" i="1"/>
  <c r="U11" i="1"/>
  <c r="V11" i="1"/>
  <c r="W11" i="1"/>
  <c r="X11" i="1"/>
  <c r="S12" i="1"/>
  <c r="T12" i="1"/>
  <c r="U12" i="1"/>
  <c r="V12" i="1"/>
  <c r="W12" i="1"/>
  <c r="X12" i="1"/>
  <c r="S13" i="1"/>
  <c r="T13" i="1"/>
  <c r="U13" i="1"/>
  <c r="V13" i="1"/>
  <c r="W13" i="1"/>
  <c r="X13" i="1"/>
  <c r="S14" i="1"/>
  <c r="T14" i="1"/>
  <c r="U14" i="1"/>
  <c r="V14" i="1"/>
  <c r="W14" i="1"/>
  <c r="X14" i="1"/>
  <c r="S15" i="1"/>
  <c r="T15" i="1"/>
  <c r="U15" i="1"/>
  <c r="V15" i="1"/>
  <c r="W15" i="1"/>
  <c r="X15" i="1"/>
  <c r="S16" i="1"/>
  <c r="T16" i="1"/>
  <c r="U16" i="1"/>
  <c r="V16" i="1"/>
  <c r="W16" i="1"/>
  <c r="X16" i="1"/>
  <c r="S17" i="1"/>
  <c r="T17" i="1"/>
  <c r="U17" i="1"/>
  <c r="V17" i="1"/>
  <c r="W17" i="1"/>
  <c r="X17" i="1"/>
  <c r="S18" i="1"/>
  <c r="T18" i="1"/>
  <c r="U18" i="1"/>
  <c r="V18" i="1"/>
  <c r="W18" i="1"/>
  <c r="X18" i="1"/>
  <c r="P153" i="1"/>
  <c r="P152" i="1"/>
  <c r="P139" i="1"/>
  <c r="P134" i="1"/>
  <c r="P109" i="1"/>
  <c r="P103" i="1"/>
  <c r="P102" i="1"/>
  <c r="P101" i="1"/>
  <c r="P100" i="1"/>
  <c r="P99" i="1"/>
  <c r="P98" i="1"/>
  <c r="P97" i="1"/>
  <c r="P96" i="1"/>
  <c r="P95" i="1"/>
  <c r="P91" i="1"/>
  <c r="P90" i="1"/>
  <c r="P89" i="1"/>
  <c r="P86" i="1"/>
  <c r="P82" i="1"/>
  <c r="P50" i="1"/>
  <c r="P19" i="1"/>
  <c r="O87" i="1" l="1"/>
  <c r="Z102" i="1" l="1"/>
  <c r="Y102" i="1"/>
  <c r="R102" i="1"/>
  <c r="O102" i="1"/>
  <c r="N102" i="1"/>
  <c r="M102" i="1"/>
  <c r="L102" i="1"/>
  <c r="K102" i="1"/>
  <c r="J102" i="1"/>
  <c r="F102" i="1"/>
  <c r="G102" i="1"/>
  <c r="Z95" i="1"/>
  <c r="Y95" i="1"/>
  <c r="R95" i="1"/>
  <c r="O95" i="1"/>
  <c r="N95" i="1"/>
  <c r="M95" i="1"/>
  <c r="L95" i="1"/>
  <c r="K95" i="1"/>
  <c r="J95" i="1"/>
  <c r="G95" i="1"/>
  <c r="Z86" i="1"/>
  <c r="Y86" i="1"/>
  <c r="R86" i="1"/>
  <c r="O86" i="1"/>
  <c r="N86" i="1"/>
  <c r="M86" i="1"/>
  <c r="L86" i="1"/>
  <c r="K86" i="1"/>
  <c r="J86" i="1"/>
  <c r="G86" i="1"/>
  <c r="Z99" i="1"/>
  <c r="Y99" i="1"/>
  <c r="R99" i="1"/>
  <c r="O99" i="1"/>
  <c r="N99" i="1"/>
  <c r="M99" i="1"/>
  <c r="L99" i="1"/>
  <c r="K99" i="1"/>
  <c r="J99" i="1"/>
  <c r="F99" i="1"/>
  <c r="G99" i="1"/>
  <c r="Z91" i="1" l="1"/>
  <c r="Y91" i="1"/>
  <c r="R91" i="1"/>
  <c r="O91" i="1"/>
  <c r="N91" i="1"/>
  <c r="M91" i="1"/>
  <c r="L91" i="1"/>
  <c r="K91" i="1"/>
  <c r="J91" i="1"/>
  <c r="G91" i="1"/>
  <c r="L109" i="1"/>
  <c r="Z101" i="1"/>
  <c r="Y101" i="1"/>
  <c r="R101" i="1"/>
  <c r="O101" i="1"/>
  <c r="N101" i="1"/>
  <c r="M101" i="1"/>
  <c r="L101" i="1"/>
  <c r="K101" i="1"/>
  <c r="J101" i="1"/>
  <c r="F101" i="1"/>
  <c r="G101" i="1"/>
  <c r="Y98" i="1" l="1"/>
  <c r="Z98" i="1"/>
  <c r="R98" i="1"/>
  <c r="O98" i="1"/>
  <c r="N98" i="1"/>
  <c r="M98" i="1"/>
  <c r="L98" i="1"/>
  <c r="K98" i="1"/>
  <c r="J98" i="1"/>
  <c r="F98" i="1"/>
  <c r="G98" i="1"/>
  <c r="Z85" i="1" l="1"/>
  <c r="Y85" i="1"/>
  <c r="I107" i="1" l="1"/>
  <c r="J125" i="1"/>
  <c r="J42" i="1"/>
  <c r="Z100" i="1"/>
  <c r="Y100" i="1"/>
  <c r="R100" i="1"/>
  <c r="O100" i="1"/>
  <c r="N100" i="1"/>
  <c r="M100" i="1"/>
  <c r="L100" i="1"/>
  <c r="K100" i="1"/>
  <c r="J100" i="1"/>
  <c r="G100" i="1"/>
  <c r="I149" i="1"/>
  <c r="Z90" i="1"/>
  <c r="Y90" i="1"/>
  <c r="R90" i="1"/>
  <c r="O90" i="1"/>
  <c r="N90" i="1"/>
  <c r="M90" i="1"/>
  <c r="L90" i="1"/>
  <c r="K90" i="1"/>
  <c r="J90" i="1"/>
  <c r="F90" i="1"/>
  <c r="G90" i="1"/>
  <c r="Z97" i="1"/>
  <c r="Y97" i="1"/>
  <c r="R97" i="1"/>
  <c r="O97" i="1"/>
  <c r="N97" i="1"/>
  <c r="M97" i="1"/>
  <c r="L97" i="1"/>
  <c r="K97" i="1"/>
  <c r="J97" i="1"/>
  <c r="G97" i="1"/>
  <c r="Z96" i="1"/>
  <c r="Y96" i="1"/>
  <c r="R96" i="1"/>
  <c r="O96" i="1"/>
  <c r="N96" i="1"/>
  <c r="M96" i="1"/>
  <c r="L96" i="1"/>
  <c r="K96" i="1"/>
  <c r="J96" i="1"/>
  <c r="G96" i="1"/>
  <c r="J62" i="1" l="1"/>
  <c r="I142" i="1"/>
  <c r="I70" i="1"/>
  <c r="O134" i="1" l="1"/>
  <c r="AA82" i="1" l="1"/>
  <c r="R82" i="1"/>
  <c r="Q68" i="1"/>
  <c r="N82" i="1"/>
  <c r="J82" i="1"/>
  <c r="D82" i="1"/>
  <c r="O82" i="1" l="1"/>
  <c r="M82" i="1"/>
  <c r="L82" i="1"/>
  <c r="K82" i="1"/>
  <c r="F82" i="1"/>
  <c r="G82" i="1"/>
  <c r="D103" i="1"/>
  <c r="N103" i="1" l="1"/>
  <c r="Q81" i="1" l="1"/>
  <c r="Q15" i="1"/>
  <c r="R139" i="1" l="1"/>
  <c r="Q80" i="1" l="1"/>
  <c r="Q30" i="1"/>
  <c r="R152" i="1" l="1"/>
  <c r="S147" i="1" l="1"/>
  <c r="S151" i="1"/>
  <c r="S150" i="1"/>
  <c r="S143" i="1"/>
  <c r="S149" i="1"/>
  <c r="S148" i="1"/>
  <c r="G109" i="1"/>
  <c r="O109" i="1"/>
  <c r="K109" i="1"/>
  <c r="M109" i="1"/>
  <c r="N109" i="1"/>
  <c r="H109" i="1"/>
  <c r="I109" i="1"/>
  <c r="J109" i="1"/>
  <c r="F109" i="1"/>
  <c r="I82" i="1"/>
  <c r="O50" i="1"/>
  <c r="N50" i="1"/>
  <c r="I50" i="1"/>
  <c r="K50" i="1"/>
  <c r="L50" i="1"/>
  <c r="M50" i="1"/>
  <c r="F50" i="1"/>
  <c r="L134" i="1"/>
  <c r="M134" i="1"/>
  <c r="N134" i="1"/>
  <c r="F134" i="1"/>
  <c r="G134" i="1"/>
  <c r="H134" i="1"/>
  <c r="D134" i="1"/>
  <c r="J139" i="1"/>
  <c r="K139" i="1"/>
  <c r="L139" i="1"/>
  <c r="M139" i="1"/>
  <c r="N139" i="1"/>
  <c r="O139" i="1"/>
  <c r="F139" i="1"/>
  <c r="G139" i="1"/>
  <c r="H139" i="1"/>
  <c r="D139" i="1"/>
  <c r="M152" i="1"/>
  <c r="N152" i="1"/>
  <c r="O152" i="1"/>
  <c r="J152" i="1"/>
  <c r="K152" i="1"/>
  <c r="L152" i="1"/>
  <c r="G152" i="1"/>
  <c r="F152" i="1"/>
  <c r="D152" i="1"/>
  <c r="H153" i="1" l="1"/>
  <c r="J50" i="1"/>
  <c r="J134" i="1"/>
  <c r="D153" i="1" l="1"/>
  <c r="K134" i="1"/>
  <c r="O103" i="1" l="1"/>
  <c r="O153" i="1" s="1"/>
  <c r="F103" i="1"/>
  <c r="F153" i="1" s="1"/>
  <c r="G103" i="1"/>
  <c r="J103" i="1"/>
  <c r="J153" i="1" s="1"/>
  <c r="K103" i="1"/>
  <c r="K153" i="1" s="1"/>
  <c r="L103" i="1"/>
  <c r="L153" i="1" s="1"/>
  <c r="M103" i="1"/>
  <c r="M153" i="1" s="1"/>
  <c r="N153" i="1"/>
  <c r="AA152" i="1"/>
  <c r="I152" i="1"/>
  <c r="I153" i="1" s="1"/>
  <c r="G153" i="1" l="1"/>
  <c r="R19" i="1"/>
  <c r="Q92" i="1" l="1"/>
  <c r="Q152" i="1"/>
  <c r="Q151" i="1" l="1"/>
  <c r="Q79" i="1" l="1"/>
  <c r="R134" i="1" l="1"/>
  <c r="AA139" i="1" l="1"/>
  <c r="S136" i="1" l="1"/>
  <c r="Q137" i="1"/>
  <c r="Q138" i="1"/>
  <c r="Q136" i="1"/>
  <c r="T139" i="1"/>
  <c r="AA103" i="1"/>
  <c r="R103" i="1"/>
  <c r="S52" i="1" l="1"/>
  <c r="S146" i="1"/>
  <c r="Q148" i="1"/>
  <c r="Q149" i="1"/>
  <c r="Q150" i="1"/>
  <c r="Q146" i="1"/>
  <c r="Q143" i="1"/>
  <c r="Q102" i="1"/>
  <c r="Q91" i="1"/>
  <c r="Q95" i="1"/>
  <c r="Q85" i="1"/>
  <c r="Q100" i="1"/>
  <c r="Q97" i="1"/>
  <c r="Q86" i="1"/>
  <c r="Q90" i="1"/>
  <c r="Q98" i="1"/>
  <c r="Q99" i="1"/>
  <c r="Q87" i="1"/>
  <c r="Q88" i="1"/>
  <c r="Q101" i="1"/>
  <c r="Q58" i="1"/>
  <c r="Q59" i="1"/>
  <c r="Q76" i="1"/>
  <c r="Q61" i="1"/>
  <c r="Q70" i="1"/>
  <c r="Q63" i="1"/>
  <c r="Q71" i="1"/>
  <c r="Q60" i="1"/>
  <c r="Q69" i="1"/>
  <c r="Q77" i="1"/>
  <c r="Q53" i="1"/>
  <c r="Q78" i="1"/>
  <c r="Q54" i="1"/>
  <c r="Q52" i="1"/>
  <c r="Q67" i="1"/>
  <c r="Q55" i="1"/>
  <c r="Q64" i="1"/>
  <c r="Q72" i="1"/>
  <c r="Q56" i="1"/>
  <c r="Q65" i="1"/>
  <c r="Q73" i="1"/>
  <c r="Q57" i="1"/>
  <c r="Q66" i="1"/>
  <c r="Q74" i="1"/>
  <c r="Q75" i="1"/>
  <c r="W85" i="1" l="1"/>
  <c r="T85" i="1"/>
  <c r="U142" i="1" l="1"/>
  <c r="Q142" i="1"/>
  <c r="Q107" i="1" l="1"/>
  <c r="Q106" i="1"/>
  <c r="Q108" i="1"/>
  <c r="Q23" i="1"/>
  <c r="Q24" i="1"/>
  <c r="Q32" i="1"/>
  <c r="Q25" i="1"/>
  <c r="Q33" i="1"/>
  <c r="Q41" i="1"/>
  <c r="Q49" i="1"/>
  <c r="Q37" i="1"/>
  <c r="Q46" i="1"/>
  <c r="Q39" i="1"/>
  <c r="Q26" i="1"/>
  <c r="Q34" i="1"/>
  <c r="Q42" i="1"/>
  <c r="Q22" i="1"/>
  <c r="Q40" i="1"/>
  <c r="Q27" i="1"/>
  <c r="Q35" i="1"/>
  <c r="Q43" i="1"/>
  <c r="Q45" i="1"/>
  <c r="Q38" i="1"/>
  <c r="Q47" i="1"/>
  <c r="Q28" i="1"/>
  <c r="Q36" i="1"/>
  <c r="Q44" i="1"/>
  <c r="Q29" i="1"/>
  <c r="Q31" i="1"/>
  <c r="Q48" i="1"/>
  <c r="Q5" i="1"/>
  <c r="Q6" i="1"/>
  <c r="Q13" i="1"/>
  <c r="Q8" i="1"/>
  <c r="Q7" i="1"/>
  <c r="Q14" i="1"/>
  <c r="Q17" i="1"/>
  <c r="Q9" i="1"/>
  <c r="Q18" i="1"/>
  <c r="Q10" i="1"/>
  <c r="Q4" i="1"/>
  <c r="Q11" i="1"/>
  <c r="Q12" i="1"/>
  <c r="S142" i="1"/>
  <c r="Q123" i="1" l="1"/>
  <c r="Q139" i="1"/>
  <c r="Q115" i="1"/>
  <c r="Q124" i="1"/>
  <c r="Q132" i="1"/>
  <c r="Q116" i="1"/>
  <c r="Q125" i="1"/>
  <c r="Q133" i="1"/>
  <c r="Q117" i="1"/>
  <c r="Q126" i="1"/>
  <c r="Q111" i="1"/>
  <c r="Q50" i="1"/>
  <c r="Q120" i="1"/>
  <c r="Q121" i="1"/>
  <c r="Q119" i="1"/>
  <c r="Q127" i="1"/>
  <c r="Q134" i="1"/>
  <c r="Q112" i="1"/>
  <c r="Q129" i="1"/>
  <c r="Q128" i="1"/>
  <c r="Q113" i="1"/>
  <c r="Q122" i="1"/>
  <c r="Q130" i="1"/>
  <c r="Q109" i="1"/>
  <c r="Q114" i="1"/>
  <c r="Q131" i="1"/>
  <c r="Q103" i="1"/>
  <c r="Q82" i="1"/>
  <c r="Q19" i="1"/>
  <c r="U152" i="1"/>
  <c r="X111" i="1" l="1"/>
  <c r="AA109" i="1" l="1"/>
  <c r="AA19" i="1" l="1"/>
  <c r="S4" i="1" l="1"/>
  <c r="T19" i="1"/>
  <c r="T152" i="1" l="1"/>
  <c r="X142" i="1"/>
  <c r="W142" i="1"/>
  <c r="V142" i="1"/>
  <c r="T142" i="1"/>
  <c r="X136" i="1"/>
  <c r="W136" i="1"/>
  <c r="V136" i="1"/>
  <c r="U136" i="1"/>
  <c r="T136" i="1"/>
  <c r="AA134" i="1"/>
  <c r="W111" i="1"/>
  <c r="V111" i="1"/>
  <c r="U111" i="1"/>
  <c r="T111" i="1"/>
  <c r="R109" i="1"/>
  <c r="Q105" i="1"/>
  <c r="X105" i="1"/>
  <c r="W105" i="1"/>
  <c r="V105" i="1"/>
  <c r="U105" i="1"/>
  <c r="T105" i="1"/>
  <c r="X146" i="1"/>
  <c r="W146" i="1"/>
  <c r="V146" i="1"/>
  <c r="U146" i="1"/>
  <c r="T146" i="1"/>
  <c r="X95" i="1"/>
  <c r="W95" i="1"/>
  <c r="V95" i="1"/>
  <c r="U95" i="1"/>
  <c r="T95" i="1"/>
  <c r="X52" i="1"/>
  <c r="W52" i="1"/>
  <c r="V52" i="1"/>
  <c r="U52" i="1"/>
  <c r="T52" i="1"/>
  <c r="AA50" i="1"/>
  <c r="R50" i="1"/>
  <c r="X21" i="1"/>
  <c r="W21" i="1"/>
  <c r="V21" i="1"/>
  <c r="U21" i="1"/>
  <c r="T21" i="1"/>
  <c r="X4" i="1"/>
  <c r="W4" i="1"/>
  <c r="V4" i="1"/>
  <c r="U4" i="1"/>
  <c r="T4" i="1"/>
  <c r="R153" i="1" l="1"/>
  <c r="S50" i="1" s="1"/>
  <c r="AA153" i="1"/>
  <c r="T82" i="1"/>
  <c r="S95" i="1"/>
  <c r="S105" i="1"/>
  <c r="S111" i="1"/>
  <c r="Q21" i="1"/>
  <c r="T134" i="1"/>
  <c r="S21" i="1"/>
  <c r="T103" i="1"/>
  <c r="T50" i="1"/>
  <c r="T109" i="1"/>
  <c r="S82" i="1" l="1"/>
  <c r="S103" i="1"/>
  <c r="S109" i="1"/>
  <c r="S19" i="1"/>
  <c r="S134" i="1"/>
  <c r="S152" i="1"/>
  <c r="S139" i="1"/>
</calcChain>
</file>

<file path=xl/sharedStrings.xml><?xml version="1.0" encoding="utf-8"?>
<sst xmlns="http://schemas.openxmlformats.org/spreadsheetml/2006/main" count="314" uniqueCount="220">
  <si>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</si>
  <si>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</si>
  <si>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</si>
  <si>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</si>
  <si>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</si>
  <si>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</si>
  <si>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</si>
  <si>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</si>
  <si>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</si>
  <si>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</si>
  <si>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</si>
  <si>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</si>
  <si>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</si>
  <si>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</si>
  <si>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</si>
  <si>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</si>
  <si>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</si>
  <si>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</si>
  <si>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</si>
  <si>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</si>
  <si>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</si>
  <si>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</si>
  <si>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</si>
  <si>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</si>
  <si>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</si>
  <si>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</si>
  <si>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</si>
  <si>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</si>
  <si>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</si>
  <si>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</si>
  <si>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</si>
  <si>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</si>
  <si>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</si>
  <si>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</si>
  <si>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</si>
  <si>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</si>
  <si>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</si>
  <si>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</si>
  <si>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</si>
  <si>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</si>
  <si>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</si>
  <si>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</si>
  <si>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</si>
  <si>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</si>
  <si>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</si>
  <si>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</si>
  <si>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</si>
  <si>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</si>
  <si>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</si>
  <si>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</si>
  <si>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</si>
  <si>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</si>
  <si>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</si>
  <si>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</si>
  <si>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</si>
  <si>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</si>
  <si>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</si>
  <si>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</si>
  <si>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</si>
  <si>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</si>
  <si>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</si>
  <si>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</si>
  <si>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</si>
  <si>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</si>
  <si>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</si>
  <si>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</si>
  <si>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</si>
  <si>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</si>
  <si>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</si>
  <si>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</si>
  <si>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</si>
  <si>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</si>
  <si>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</si>
  <si>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</si>
  <si>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</si>
  <si>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</si>
  <si>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</si>
  <si>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</si>
  <si>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</si>
  <si>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</si>
  <si>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</si>
  <si>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</si>
  <si>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</si>
  <si>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</si>
  <si>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</si>
  <si>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</si>
  <si>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</si>
  <si>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</si>
  <si>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</si>
  <si>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</si>
  <si>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</si>
  <si>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</si>
  <si>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</si>
  <si>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</si>
  <si>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</si>
  <si>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</si>
  <si>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</si>
  <si>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</si>
  <si>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</si>
  <si>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</si>
  <si>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</si>
  <si>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</si>
  <si>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</si>
  <si>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</si>
  <si>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</si>
  <si>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</si>
  <si>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</si>
  <si>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</si>
  <si>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</si>
  <si>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</si>
  <si>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</si>
  <si>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</si>
  <si>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</si>
  <si>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</si>
  <si>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</si>
  <si>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</si>
  <si>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</si>
  <si>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</si>
  <si>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</si>
  <si>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</si>
  <si>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</si>
  <si>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</si>
  <si>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</si>
  <si>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</si>
  <si>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</si>
  <si>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</si>
  <si>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</si>
  <si>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</si>
  <si>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</si>
  <si>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</si>
  <si>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</si>
  <si>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</si>
  <si>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</si>
  <si>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</si>
  <si>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</si>
  <si>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</si>
  <si>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</si>
  <si>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</si>
  <si>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</si>
  <si>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</si>
  <si>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</si>
  <si>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</si>
  <si>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</si>
  <si>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</si>
  <si>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</si>
  <si>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</si>
  <si>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AVA GAM Fixed Income Naira Fund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</si>
  <si>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</si>
  <si>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</si>
  <si>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</si>
  <si>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</si>
  <si>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</si>
  <si>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</si>
  <si>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</si>
  <si>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</si>
  <si>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</si>
  <si>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</si>
  <si>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</si>
  <si>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</si>
  <si>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</si>
  <si>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</si>
  <si>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</si>
  <si>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</si>
  <si>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</si>
  <si>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</si>
  <si>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</si>
  <si>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</si>
  <si>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</si>
  <si>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</si>
  <si>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</si>
  <si>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</si>
  <si>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</si>
  <si>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</si>
  <si>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</si>
  <si>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FBN Halal Fund</t>
  </si>
  <si>
    <t>BOND/FIXED INCOME FUNDS</t>
  </si>
  <si>
    <t>Legacy Debt Fund</t>
  </si>
  <si>
    <t>NOVA Hybrid Balanced Fund</t>
  </si>
  <si>
    <t>S/N</t>
  </si>
  <si>
    <t>Stanbic IBTC Asset Management Limited</t>
  </si>
  <si>
    <t xml:space="preserve">Nigerian Eurobond Fund </t>
  </si>
  <si>
    <t>Chapel Hill Denham Nigeria Bond Fund</t>
  </si>
  <si>
    <t>FBN Dollar Fund (Retail)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</si>
  <si>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</si>
  <si>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</si>
  <si>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</si>
  <si>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</si>
  <si>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</si>
  <si>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</si>
  <si>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</si>
  <si>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</si>
  <si>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</si>
  <si>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</si>
  <si>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</si>
  <si>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</si>
  <si>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</si>
  <si>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Nigeria Entertainment Fund</t>
  </si>
  <si>
    <t>Wealth For Women Fund</t>
  </si>
  <si>
    <t>ARM Investment Managers</t>
  </si>
  <si>
    <t>ARM Short Term-Bond Fund</t>
  </si>
  <si>
    <t>Lotus Halal Fixed Income Fund</t>
  </si>
  <si>
    <t>DLM Fixed Income Fund</t>
  </si>
  <si>
    <t>DLM Asset Management Limited</t>
  </si>
  <si>
    <t>EDC Balanced Fund</t>
  </si>
  <si>
    <t>EDC Fund Management Limited</t>
  </si>
  <si>
    <t>FBN Specialised Fund</t>
  </si>
  <si>
    <t>16,997,802.64</t>
  </si>
  <si>
    <t>917,280,477.56</t>
  </si>
  <si>
    <t>6,808,401,722</t>
  </si>
  <si>
    <t>SPREADSHEET OF REGISTERED MUTUAL FUNDS AS AT 30TH NOVEMBER, 2022</t>
  </si>
  <si>
    <t>EUROBONDS</t>
  </si>
  <si>
    <t>FIXED INCOME</t>
  </si>
  <si>
    <t>Cordros Halal Fixed Income Fund</t>
  </si>
  <si>
    <t>NET ASSET VALUE  (N) PREVIOUS OCTOBER</t>
  </si>
  <si>
    <t>Chapel Hill Denham Money Market Fund</t>
  </si>
  <si>
    <t>Coral Money Market Fund</t>
  </si>
  <si>
    <t>CEAT Fixed Income Fund</t>
  </si>
  <si>
    <t>FBN Bond Fund</t>
  </si>
  <si>
    <t>Emerging Africa Balanced-Diversity Fund</t>
  </si>
  <si>
    <t>Norrenberger Investment and Capital Mgt.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</si>
</sst>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&quot; &quot;* #,##0.00&quot; &quot;;&quot; &quot;* \(#,##0.00\);&quot; &quot;* &quot;-&quot;??&quot; &quot;"/>
    <numFmt numFmtId="169" formatCode="_-* #,##0_-;\-* #,##0_-;_-* &quot;-&quot;??_-;_-@_-"/>
    <numFmt numFmtId="170" formatCode="&quot;Yes&quot;;&quot;Yes&quot;;&quot;No&quot;"/>
    <numFmt numFmtId="171" formatCode="_(* #,##0_);_(* \(#,##0\);_(* &quot;-&quot;??_);_(@_)"/>
    <numFmt numFmtId="172" formatCode="[$-409]d\-mmm\-yy;@"/>
    <numFmt numFmtId="173" formatCode="0.00_)"/>
    <numFmt numFmtId="174" formatCode="mmm\-yyyy"/>
    <numFmt numFmtId="175" formatCode="0;[Red]0"/>
    <numFmt numFmtId="176" formatCode="dd/mm/yy;@"/>
  </numFmts>
  <fonts count="42" x14ac:knownFonts="1">
    <font>
      <sz val="11"/>
      <color indexed="8"/>
      <name val="Calibri"/>
    </font>
    <font>
      <sz val="11"/>
      <color theme="1"/>
      <name val="Helvetica"/>
      <family val="2"/>
      <scheme val="minor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11"/>
      <color rgb="FF000000"/>
      <name val="Calibri"/>
      <family val="2"/>
    </font>
    <font>
      <b/>
      <sz val="32"/>
      <color indexed="9"/>
      <name val="Calibri"/>
      <family val="2"/>
    </font>
    <font>
      <sz val="18"/>
      <color theme="3"/>
      <name val="Helvetica"/>
      <family val="2"/>
      <scheme val="major"/>
    </font>
    <font>
      <b/>
      <sz val="15"/>
      <color theme="3"/>
      <name val="Helvetica"/>
      <family val="2"/>
      <scheme val="minor"/>
    </font>
    <font>
      <b/>
      <sz val="13"/>
      <color theme="3"/>
      <name val="Helvetica"/>
      <family val="2"/>
      <scheme val="minor"/>
    </font>
    <font>
      <b/>
      <sz val="11"/>
      <color theme="3"/>
      <name val="Helvetica"/>
      <family val="2"/>
      <scheme val="minor"/>
    </font>
    <font>
      <sz val="11"/>
      <color rgb="FF006100"/>
      <name val="Helvetica"/>
      <family val="2"/>
      <scheme val="minor"/>
    </font>
    <font>
      <sz val="11"/>
      <color rgb="FF9C0006"/>
      <name val="Helvetica"/>
      <family val="2"/>
      <scheme val="minor"/>
    </font>
    <font>
      <sz val="11"/>
      <color rgb="FF9C6500"/>
      <name val="Helvetica"/>
      <family val="2"/>
      <scheme val="minor"/>
    </font>
    <font>
      <sz val="11"/>
      <color rgb="FF3F3F76"/>
      <name val="Helvetica"/>
      <family val="2"/>
      <scheme val="minor"/>
    </font>
    <font>
      <b/>
      <sz val="11"/>
      <color rgb="FF3F3F3F"/>
      <name val="Helvetica"/>
      <family val="2"/>
      <scheme val="minor"/>
    </font>
    <font>
      <b/>
      <sz val="11"/>
      <color rgb="FFFA7D00"/>
      <name val="Helvetica"/>
      <family val="2"/>
      <scheme val="minor"/>
    </font>
    <font>
      <sz val="11"/>
      <color rgb="FFFA7D00"/>
      <name val="Helvetica"/>
      <family val="2"/>
      <scheme val="minor"/>
    </font>
    <font>
      <b/>
      <sz val="11"/>
      <color theme="0"/>
      <name val="Helvetica"/>
      <family val="2"/>
      <scheme val="minor"/>
    </font>
    <font>
      <sz val="11"/>
      <color rgb="FFFF0000"/>
      <name val="Helvetica"/>
      <family val="2"/>
      <scheme val="minor"/>
    </font>
    <font>
      <i/>
      <sz val="11"/>
      <color rgb="FF7F7F7F"/>
      <name val="Helvetica"/>
      <family val="2"/>
      <scheme val="minor"/>
    </font>
    <font>
      <b/>
      <sz val="11"/>
      <color theme="1"/>
      <name val="Helvetica"/>
      <family val="2"/>
      <scheme val="minor"/>
    </font>
    <font>
      <sz val="11"/>
      <color theme="0"/>
      <name val="Helvetica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6"/>
      <name val="Helv"/>
    </font>
    <font>
      <b/>
      <sz val="18"/>
      <color theme="3"/>
      <name val="Helvetica"/>
      <family val="2"/>
      <scheme val="major"/>
    </font>
    <font>
      <sz val="11"/>
      <color rgb="FF9C5700"/>
      <name val="Helvetica"/>
      <family val="2"/>
      <scheme val="minor"/>
    </font>
    <font>
      <sz val="8"/>
      <color indexed="8"/>
      <name val="Calibri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5">
    <xf numFmtId="0" fontId="0" fillId="0" borderId="0" applyNumberFormat="0" applyFill="0" applyBorder="0" applyProtection="0"/>
    <xf numFmtId="43" fontId="7" fillId="0" borderId="0" applyFont="0" applyFill="0" applyBorder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20" fillId="17" borderId="20" applyNumberFormat="0" applyAlignment="0" applyProtection="0"/>
    <xf numFmtId="0" fontId="21" fillId="18" borderId="21" applyNumberFormat="0" applyAlignment="0" applyProtection="0"/>
    <xf numFmtId="0" fontId="22" fillId="18" borderId="20" applyNumberFormat="0" applyAlignment="0" applyProtection="0"/>
    <xf numFmtId="0" fontId="23" fillId="0" borderId="22" applyNumberFormat="0" applyFill="0" applyAlignment="0" applyProtection="0"/>
    <xf numFmtId="0" fontId="24" fillId="19" borderId="23" applyNumberFormat="0" applyAlignment="0" applyProtection="0"/>
    <xf numFmtId="0" fontId="27" fillId="0" borderId="25" applyNumberFormat="0" applyFill="0" applyAlignment="0" applyProtection="0"/>
    <xf numFmtId="0" fontId="29" fillId="0" borderId="4"/>
    <xf numFmtId="0" fontId="1" fillId="22" borderId="4" applyNumberFormat="0" applyBorder="0" applyAlignment="0" applyProtection="0"/>
    <xf numFmtId="0" fontId="1" fillId="26" borderId="4" applyNumberFormat="0" applyBorder="0" applyAlignment="0" applyProtection="0"/>
    <xf numFmtId="0" fontId="1" fillId="30" borderId="4" applyNumberFormat="0" applyBorder="0" applyAlignment="0" applyProtection="0"/>
    <xf numFmtId="0" fontId="1" fillId="34" borderId="4" applyNumberFormat="0" applyBorder="0" applyAlignment="0" applyProtection="0"/>
    <xf numFmtId="0" fontId="1" fillId="38" borderId="4" applyNumberFormat="0" applyBorder="0" applyAlignment="0" applyProtection="0"/>
    <xf numFmtId="0" fontId="1" fillId="42" borderId="4" applyNumberFormat="0" applyBorder="0" applyAlignment="0" applyProtection="0"/>
    <xf numFmtId="0" fontId="1" fillId="23" borderId="4" applyNumberFormat="0" applyBorder="0" applyAlignment="0" applyProtection="0"/>
    <xf numFmtId="0" fontId="1" fillId="27" borderId="4" applyNumberFormat="0" applyBorder="0" applyAlignment="0" applyProtection="0"/>
    <xf numFmtId="0" fontId="1" fillId="31" borderId="4" applyNumberFormat="0" applyBorder="0" applyAlignment="0" applyProtection="0"/>
    <xf numFmtId="0" fontId="1" fillId="35" borderId="4" applyNumberFormat="0" applyBorder="0" applyAlignment="0" applyProtection="0"/>
    <xf numFmtId="0" fontId="1" fillId="39" borderId="4" applyNumberFormat="0" applyBorder="0" applyAlignment="0" applyProtection="0"/>
    <xf numFmtId="0" fontId="1" fillId="43" borderId="4" applyNumberFormat="0" applyBorder="0" applyAlignment="0" applyProtection="0"/>
    <xf numFmtId="0" fontId="28" fillId="24" borderId="4" applyNumberFormat="0" applyBorder="0" applyAlignment="0" applyProtection="0"/>
    <xf numFmtId="0" fontId="28" fillId="28" borderId="4" applyNumberFormat="0" applyBorder="0" applyAlignment="0" applyProtection="0"/>
    <xf numFmtId="0" fontId="28" fillId="32" borderId="4" applyNumberFormat="0" applyBorder="0" applyAlignment="0" applyProtection="0"/>
    <xf numFmtId="0" fontId="28" fillId="36" borderId="4" applyNumberFormat="0" applyBorder="0" applyAlignment="0" applyProtection="0"/>
    <xf numFmtId="0" fontId="28" fillId="40" borderId="4" applyNumberFormat="0" applyBorder="0" applyAlignment="0" applyProtection="0"/>
    <xf numFmtId="0" fontId="28" fillId="44" borderId="4" applyNumberFormat="0" applyBorder="0" applyAlignment="0" applyProtection="0"/>
    <xf numFmtId="0" fontId="28" fillId="21" borderId="4" applyNumberFormat="0" applyBorder="0" applyAlignment="0" applyProtection="0"/>
    <xf numFmtId="0" fontId="28" fillId="25" borderId="4" applyNumberFormat="0" applyBorder="0" applyAlignment="0" applyProtection="0"/>
    <xf numFmtId="0" fontId="28" fillId="29" borderId="4" applyNumberFormat="0" applyBorder="0" applyAlignment="0" applyProtection="0"/>
    <xf numFmtId="0" fontId="28" fillId="33" borderId="4" applyNumberFormat="0" applyBorder="0" applyAlignment="0" applyProtection="0"/>
    <xf numFmtId="0" fontId="28" fillId="37" borderId="4" applyNumberFormat="0" applyBorder="0" applyAlignment="0" applyProtection="0"/>
    <xf numFmtId="0" fontId="28" fillId="41" borderId="4" applyNumberFormat="0" applyBorder="0" applyAlignment="0" applyProtection="0"/>
    <xf numFmtId="0" fontId="18" fillId="15" borderId="4" applyNumberFormat="0" applyBorder="0" applyAlignment="0" applyProtection="0"/>
    <xf numFmtId="165" fontId="29" fillId="0" borderId="4" applyFont="0" applyFill="0" applyBorder="0" applyAlignment="0" applyProtection="0"/>
    <xf numFmtId="175" fontId="7" fillId="0" borderId="4" applyFont="0" applyFill="0" applyBorder="0" applyAlignment="0" applyProtection="0"/>
    <xf numFmtId="165" fontId="29" fillId="0" borderId="4" applyFont="0" applyFill="0" applyBorder="0" applyAlignment="0" applyProtection="0"/>
    <xf numFmtId="165" fontId="1" fillId="0" borderId="4" applyFont="0" applyFill="0" applyBorder="0" applyAlignment="0" applyProtection="0"/>
    <xf numFmtId="165" fontId="29" fillId="0" borderId="4" applyFont="0" applyFill="0" applyBorder="0" applyAlignment="0" applyProtection="0"/>
    <xf numFmtId="165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4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165" fontId="29" fillId="0" borderId="4" applyFont="0" applyFill="0" applyBorder="0" applyAlignment="0" applyProtection="0"/>
    <xf numFmtId="174" fontId="29" fillId="0" borderId="4" applyFont="0" applyFill="0" applyBorder="0" applyAlignment="0" applyProtection="0"/>
    <xf numFmtId="164" fontId="30" fillId="0" borderId="4" applyFont="0" applyFill="0" applyBorder="0" applyAlignment="0" applyProtection="0"/>
    <xf numFmtId="164" fontId="30" fillId="0" borderId="4" applyFont="0" applyFill="0" applyBorder="0" applyAlignment="0" applyProtection="0"/>
    <xf numFmtId="175" fontId="7" fillId="0" borderId="4" applyFont="0" applyFill="0" applyBorder="0" applyAlignment="0" applyProtection="0"/>
    <xf numFmtId="175" fontId="7" fillId="0" borderId="4" applyFont="0" applyFill="0" applyBorder="0" applyAlignment="0" applyProtection="0"/>
    <xf numFmtId="170" fontId="7" fillId="0" borderId="4" applyFont="0" applyFill="0" applyBorder="0" applyAlignment="0" applyProtection="0"/>
    <xf numFmtId="175" fontId="7" fillId="0" borderId="4" applyFont="0" applyFill="0" applyBorder="0" applyAlignment="0" applyProtection="0"/>
    <xf numFmtId="0" fontId="26" fillId="0" borderId="4" applyNumberFormat="0" applyFill="0" applyBorder="0" applyAlignment="0" applyProtection="0"/>
    <xf numFmtId="0" fontId="17" fillId="14" borderId="4" applyNumberFormat="0" applyBorder="0" applyAlignment="0" applyProtection="0"/>
    <xf numFmtId="0" fontId="16" fillId="0" borderId="4" applyNumberFormat="0" applyFill="0" applyBorder="0" applyAlignment="0" applyProtection="0"/>
    <xf numFmtId="0" fontId="19" fillId="16" borderId="4" applyNumberFormat="0" applyBorder="0" applyAlignment="0" applyProtection="0"/>
    <xf numFmtId="173" fontId="3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29" fillId="0" borderId="4"/>
    <xf numFmtId="0" fontId="29" fillId="0" borderId="4"/>
    <xf numFmtId="49" fontId="29" fillId="0" borderId="4"/>
    <xf numFmtId="49" fontId="29" fillId="0" borderId="4"/>
    <xf numFmtId="49" fontId="29" fillId="0" borderId="4"/>
    <xf numFmtId="0" fontId="29" fillId="0" borderId="4"/>
    <xf numFmtId="0" fontId="1" fillId="0" borderId="4"/>
    <xf numFmtId="0" fontId="1" fillId="0" borderId="4"/>
    <xf numFmtId="0" fontId="30" fillId="0" borderId="4"/>
    <xf numFmtId="0" fontId="29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0" fontId="32" fillId="0" borderId="4" applyNumberFormat="0" applyFill="0" applyBorder="0" applyAlignment="0" applyProtection="0"/>
    <xf numFmtId="0" fontId="25" fillId="0" borderId="4" applyNumberFormat="0" applyFill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3" fillId="0" borderId="4" applyNumberFormat="0" applyFill="0" applyBorder="0" applyAlignment="0" applyProtection="0"/>
    <xf numFmtId="0" fontId="33" fillId="16" borderId="4" applyNumberFormat="0" applyBorder="0" applyAlignment="0" applyProtection="0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0" borderId="4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0" borderId="4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0" borderId="4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0" borderId="4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20" borderId="24" applyNumberFormat="0" applyFont="0" applyAlignment="0" applyProtection="0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29" fillId="0" borderId="4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6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172" fontId="29" fillId="0" borderId="4" applyFont="0" applyFill="0" applyBorder="0" applyAlignment="0" applyProtection="0"/>
    <xf numFmtId="0" fontId="1" fillId="0" borderId="4"/>
    <xf numFmtId="0" fontId="29" fillId="0" borderId="4"/>
    <xf numFmtId="49" fontId="29" fillId="0" borderId="4"/>
    <xf numFmtId="0" fontId="1" fillId="0" borderId="4"/>
    <xf numFmtId="0" fontId="1" fillId="0" borderId="4"/>
    <xf numFmtId="0" fontId="30" fillId="0" borderId="4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9" fontId="29" fillId="0" borderId="4" applyFont="0" applyFill="0" applyBorder="0" applyAlignment="0" applyProtection="0"/>
    <xf numFmtId="0" fontId="29" fillId="0" borderId="4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20" borderId="24" applyNumberFormat="0" applyFont="0" applyAlignment="0" applyProtection="0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0" borderId="4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0" borderId="4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0" borderId="4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0" borderId="4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0" borderId="4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0" borderId="4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0" borderId="4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0" borderId="24" applyNumberFormat="0" applyFont="0" applyAlignment="0" applyProtection="0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20" borderId="24" applyNumberFormat="0" applyFont="0" applyAlignment="0" applyProtection="0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0" borderId="4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0" borderId="4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0" borderId="4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0" borderId="4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20" borderId="24" applyNumberFormat="0" applyFont="0" applyAlignment="0" applyProtection="0"/>
    <xf numFmtId="0" fontId="1" fillId="0" borderId="4"/>
    <xf numFmtId="0" fontId="1" fillId="0" borderId="4"/>
    <xf numFmtId="0" fontId="1" fillId="22" borderId="4" applyNumberFormat="0" applyBorder="0" applyAlignment="0" applyProtection="0"/>
    <xf numFmtId="0" fontId="1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6" borderId="4" applyNumberFormat="0" applyBorder="0" applyAlignment="0" applyProtection="0"/>
    <xf numFmtId="0" fontId="1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30" borderId="4" applyNumberFormat="0" applyBorder="0" applyAlignment="0" applyProtection="0"/>
    <xf numFmtId="0" fontId="1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0" borderId="4"/>
    <xf numFmtId="0" fontId="1" fillId="34" borderId="4" applyNumberFormat="0" applyBorder="0" applyAlignment="0" applyProtection="0"/>
    <xf numFmtId="0" fontId="1" fillId="35" borderId="4" applyNumberFormat="0" applyBorder="0" applyAlignment="0" applyProtection="0"/>
    <xf numFmtId="0" fontId="1" fillId="36" borderId="4" applyNumberFormat="0" applyBorder="0" applyAlignment="0" applyProtection="0"/>
    <xf numFmtId="0" fontId="1" fillId="0" borderId="4"/>
    <xf numFmtId="0" fontId="1" fillId="38" borderId="4" applyNumberFormat="0" applyBorder="0" applyAlignment="0" applyProtection="0"/>
    <xf numFmtId="0" fontId="1" fillId="39" borderId="4" applyNumberFormat="0" applyBorder="0" applyAlignment="0" applyProtection="0"/>
    <xf numFmtId="0" fontId="1" fillId="40" borderId="4" applyNumberFormat="0" applyBorder="0" applyAlignment="0" applyProtection="0"/>
    <xf numFmtId="0" fontId="1" fillId="42" borderId="4" applyNumberFormat="0" applyBorder="0" applyAlignment="0" applyProtection="0"/>
    <xf numFmtId="0" fontId="1" fillId="43" borderId="4" applyNumberFormat="0" applyBorder="0" applyAlignment="0" applyProtection="0"/>
    <xf numFmtId="0" fontId="1" fillId="44" borderId="4" applyNumberFormat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37" fontId="29" fillId="0" borderId="4"/>
    <xf numFmtId="37" fontId="29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0" borderId="0" xfId="0" applyNumberFormat="1" applyFont="1" applyAlignment="1"/>
    <xf numFmtId="0" fontId="0" fillId="2" borderId="12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8" borderId="0" xfId="0" applyNumberFormat="1" applyFont="1" applyFill="1" applyAlignment="1"/>
    <xf numFmtId="0" fontId="0" fillId="8" borderId="0" xfId="0" applyFont="1" applyFill="1" applyAlignment="1"/>
    <xf numFmtId="0" fontId="3" fillId="2" borderId="4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0" fontId="7" fillId="0" borderId="0" xfId="0" applyNumberFormat="1" applyFont="1" applyAlignment="1"/>
    <xf numFmtId="0" fontId="11" fillId="11" borderId="4" xfId="0" applyFont="1" applyFill="1" applyBorder="1" applyAlignment="1"/>
    <xf numFmtId="0" fontId="11" fillId="0" borderId="4" xfId="0" applyFont="1" applyBorder="1" applyAlignment="1"/>
    <xf numFmtId="0" fontId="0" fillId="12" borderId="4" xfId="0" applyNumberFormat="1" applyFont="1" applyFill="1" applyBorder="1" applyAlignment="1"/>
    <xf numFmtId="0" fontId="0" fillId="12" borderId="0" xfId="0" applyNumberFormat="1" applyFont="1" applyFill="1" applyAlignment="1"/>
    <xf numFmtId="0" fontId="8" fillId="2" borderId="4" xfId="0" applyNumberFormat="1" applyFont="1" applyFill="1" applyBorder="1" applyAlignment="1"/>
    <xf numFmtId="0" fontId="9" fillId="2" borderId="4" xfId="0" applyNumberFormat="1" applyFont="1" applyFill="1" applyBorder="1" applyAlignment="1"/>
    <xf numFmtId="0" fontId="6" fillId="2" borderId="4" xfId="0" applyNumberFormat="1" applyFont="1" applyFill="1" applyBorder="1" applyAlignment="1"/>
    <xf numFmtId="4" fontId="4" fillId="0" borderId="4" xfId="0" applyNumberFormat="1" applyFont="1" applyBorder="1" applyAlignment="1"/>
    <xf numFmtId="167" fontId="2" fillId="2" borderId="4" xfId="0" applyNumberFormat="1" applyFont="1" applyFill="1" applyBorder="1" applyAlignment="1"/>
    <xf numFmtId="168" fontId="2" fillId="2" borderId="4" xfId="0" applyNumberFormat="1" applyFont="1" applyFill="1" applyBorder="1" applyAlignment="1"/>
    <xf numFmtId="0" fontId="5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43" fontId="0" fillId="2" borderId="4" xfId="1" applyFont="1" applyFill="1" applyBorder="1" applyAlignment="1"/>
    <xf numFmtId="43" fontId="0" fillId="0" borderId="0" xfId="1" applyFont="1" applyAlignment="1"/>
    <xf numFmtId="0" fontId="7" fillId="2" borderId="4" xfId="0" applyNumberFormat="1" applyFont="1" applyFill="1" applyBorder="1" applyAlignment="1"/>
    <xf numFmtId="0" fontId="7" fillId="0" borderId="0" xfId="0" applyFont="1" applyAlignment="1"/>
    <xf numFmtId="0" fontId="0" fillId="2" borderId="4" xfId="0" applyNumberFormat="1" applyFill="1" applyBorder="1"/>
    <xf numFmtId="167" fontId="2" fillId="2" borderId="4" xfId="0" applyNumberFormat="1" applyFont="1" applyFill="1" applyBorder="1"/>
    <xf numFmtId="0" fontId="0" fillId="0" borderId="0" xfId="0" applyNumberFormat="1"/>
    <xf numFmtId="43" fontId="0" fillId="0" borderId="0" xfId="0" applyNumberFormat="1" applyFont="1" applyAlignment="1"/>
    <xf numFmtId="0" fontId="0" fillId="0" borderId="4" xfId="0" applyNumberFormat="1" applyFont="1" applyBorder="1" applyAlignment="1"/>
    <xf numFmtId="0" fontId="7" fillId="0" borderId="13" xfId="0" applyFont="1" applyBorder="1" applyAlignment="1"/>
    <xf numFmtId="3" fontId="7" fillId="0" borderId="13" xfId="0" applyNumberFormat="1" applyFont="1" applyBorder="1" applyAlignment="1"/>
    <xf numFmtId="4" fontId="7" fillId="0" borderId="13" xfId="0" applyNumberFormat="1" applyFont="1" applyBorder="1" applyAlignment="1"/>
    <xf numFmtId="49" fontId="10" fillId="0" borderId="13" xfId="0" applyNumberFormat="1" applyFont="1" applyFill="1" applyBorder="1" applyAlignment="1">
      <alignment wrapText="1"/>
    </xf>
    <xf numFmtId="49" fontId="10" fillId="0" borderId="13" xfId="0" applyNumberFormat="1" applyFont="1" applyFill="1" applyBorder="1" applyAlignment="1"/>
    <xf numFmtId="49" fontId="5" fillId="8" borderId="13" xfId="0" applyNumberFormat="1" applyFont="1" applyFill="1" applyBorder="1" applyAlignment="1">
      <alignment horizontal="center" vertical="top" wrapText="1"/>
    </xf>
    <xf numFmtId="43" fontId="5" fillId="8" borderId="13" xfId="1" applyFont="1" applyFill="1" applyBorder="1" applyAlignment="1">
      <alignment horizontal="center" vertical="top" wrapText="1"/>
    </xf>
    <xf numFmtId="166" fontId="10" fillId="0" borderId="13" xfId="0" applyNumberFormat="1" applyFont="1" applyFill="1" applyBorder="1" applyAlignment="1">
      <alignment horizontal="center" wrapText="1"/>
    </xf>
    <xf numFmtId="167" fontId="34" fillId="0" borderId="13" xfId="0" applyNumberFormat="1" applyFont="1" applyFill="1" applyBorder="1" applyAlignment="1">
      <alignment horizontal="right"/>
    </xf>
    <xf numFmtId="43" fontId="34" fillId="0" borderId="13" xfId="1" applyFont="1" applyFill="1" applyBorder="1" applyAlignment="1"/>
    <xf numFmtId="167" fontId="34" fillId="0" borderId="13" xfId="0" applyNumberFormat="1" applyFont="1" applyFill="1" applyBorder="1" applyAlignment="1"/>
    <xf numFmtId="4" fontId="34" fillId="0" borderId="13" xfId="0" applyNumberFormat="1" applyFont="1" applyFill="1" applyBorder="1" applyAlignment="1"/>
    <xf numFmtId="4" fontId="34" fillId="12" borderId="13" xfId="0" applyNumberFormat="1" applyFont="1" applyFill="1" applyBorder="1" applyAlignment="1"/>
    <xf numFmtId="43" fontId="34" fillId="5" borderId="13" xfId="1" applyFont="1" applyFill="1" applyBorder="1" applyAlignment="1"/>
    <xf numFmtId="4" fontId="34" fillId="2" borderId="13" xfId="0" applyNumberFormat="1" applyFont="1" applyFill="1" applyBorder="1" applyAlignment="1"/>
    <xf numFmtId="167" fontId="34" fillId="7" borderId="13" xfId="0" applyNumberFormat="1" applyFont="1" applyFill="1" applyBorder="1" applyAlignment="1">
      <alignment horizontal="left"/>
    </xf>
    <xf numFmtId="10" fontId="34" fillId="6" borderId="13" xfId="0" applyNumberFormat="1" applyFont="1" applyFill="1" applyBorder="1" applyAlignment="1"/>
    <xf numFmtId="10" fontId="34" fillId="4" borderId="13" xfId="0" applyNumberFormat="1" applyFont="1" applyFill="1" applyBorder="1" applyAlignment="1"/>
    <xf numFmtId="10" fontId="35" fillId="8" borderId="13" xfId="0" applyNumberFormat="1" applyFont="1" applyFill="1" applyBorder="1" applyAlignment="1">
      <alignment horizontal="right" vertical="center"/>
    </xf>
    <xf numFmtId="10" fontId="34" fillId="3" borderId="13" xfId="0" applyNumberFormat="1" applyFont="1" applyFill="1" applyBorder="1" applyAlignment="1">
      <alignment horizontal="right" vertical="center"/>
    </xf>
    <xf numFmtId="167" fontId="34" fillId="3" borderId="13" xfId="0" applyNumberFormat="1" applyFont="1" applyFill="1" applyBorder="1" applyAlignment="1">
      <alignment horizontal="right" vertical="center"/>
    </xf>
    <xf numFmtId="166" fontId="34" fillId="12" borderId="13" xfId="0" applyNumberFormat="1" applyFont="1" applyFill="1" applyBorder="1" applyAlignment="1"/>
    <xf numFmtId="166" fontId="34" fillId="0" borderId="13" xfId="0" applyNumberFormat="1" applyFont="1" applyFill="1" applyBorder="1" applyAlignment="1"/>
    <xf numFmtId="49" fontId="10" fillId="12" borderId="13" xfId="0" applyNumberFormat="1" applyFont="1" applyFill="1" applyBorder="1" applyAlignment="1">
      <alignment vertical="center" wrapText="1"/>
    </xf>
    <xf numFmtId="49" fontId="10" fillId="0" borderId="13" xfId="0" applyNumberFormat="1" applyFont="1" applyFill="1" applyBorder="1" applyAlignment="1">
      <alignment vertical="center" wrapText="1"/>
    </xf>
    <xf numFmtId="4" fontId="34" fillId="0" borderId="13" xfId="0" applyNumberFormat="1" applyFont="1" applyBorder="1" applyAlignment="1"/>
    <xf numFmtId="166" fontId="34" fillId="2" borderId="13" xfId="0" applyNumberFormat="1" applyFont="1" applyFill="1" applyBorder="1" applyAlignment="1"/>
    <xf numFmtId="167" fontId="34" fillId="2" borderId="13" xfId="0" applyNumberFormat="1" applyFont="1" applyFill="1" applyBorder="1" applyAlignment="1"/>
    <xf numFmtId="167" fontId="10" fillId="2" borderId="13" xfId="0" applyNumberFormat="1" applyFont="1" applyFill="1" applyBorder="1" applyAlignment="1"/>
    <xf numFmtId="167" fontId="10" fillId="5" borderId="13" xfId="0" applyNumberFormat="1" applyFont="1" applyFill="1" applyBorder="1" applyAlignment="1"/>
    <xf numFmtId="167" fontId="34" fillId="7" borderId="13" xfId="0" applyNumberFormat="1" applyFont="1" applyFill="1" applyBorder="1" applyAlignment="1"/>
    <xf numFmtId="166" fontId="10" fillId="2" borderId="13" xfId="0" applyNumberFormat="1" applyFont="1" applyFill="1" applyBorder="1" applyAlignment="1"/>
    <xf numFmtId="167" fontId="10" fillId="7" borderId="13" xfId="0" applyNumberFormat="1" applyFont="1" applyFill="1" applyBorder="1" applyAlignment="1"/>
    <xf numFmtId="10" fontId="10" fillId="6" borderId="13" xfId="0" applyNumberFormat="1" applyFont="1" applyFill="1" applyBorder="1" applyAlignment="1"/>
    <xf numFmtId="49" fontId="10" fillId="12" borderId="13" xfId="0" applyNumberFormat="1" applyFont="1" applyFill="1" applyBorder="1" applyAlignment="1"/>
    <xf numFmtId="166" fontId="37" fillId="2" borderId="13" xfId="0" applyNumberFormat="1" applyFont="1" applyFill="1" applyBorder="1" applyAlignment="1">
      <alignment horizontal="center"/>
    </xf>
    <xf numFmtId="49" fontId="38" fillId="2" borderId="13" xfId="0" applyNumberFormat="1" applyFont="1" applyFill="1" applyBorder="1" applyAlignment="1">
      <alignment horizontal="right"/>
    </xf>
    <xf numFmtId="167" fontId="39" fillId="2" borderId="13" xfId="0" applyNumberFormat="1" applyFont="1" applyFill="1" applyBorder="1" applyAlignment="1"/>
    <xf numFmtId="167" fontId="39" fillId="7" borderId="13" xfId="0" applyNumberFormat="1" applyFont="1" applyFill="1" applyBorder="1" applyAlignment="1">
      <alignment horizontal="left"/>
    </xf>
    <xf numFmtId="10" fontId="37" fillId="6" borderId="13" xfId="0" applyNumberFormat="1" applyFont="1" applyFill="1" applyBorder="1" applyAlignment="1"/>
    <xf numFmtId="10" fontId="39" fillId="4" borderId="13" xfId="0" applyNumberFormat="1" applyFont="1" applyFill="1" applyBorder="1" applyAlignment="1"/>
    <xf numFmtId="10" fontId="37" fillId="8" borderId="13" xfId="0" applyNumberFormat="1" applyFont="1" applyFill="1" applyBorder="1" applyAlignment="1">
      <alignment horizontal="right" vertical="center"/>
    </xf>
    <xf numFmtId="10" fontId="39" fillId="3" borderId="13" xfId="0" applyNumberFormat="1" applyFont="1" applyFill="1" applyBorder="1" applyAlignment="1">
      <alignment horizontal="right" vertical="center"/>
    </xf>
    <xf numFmtId="167" fontId="39" fillId="3" borderId="13" xfId="0" applyNumberFormat="1" applyFont="1" applyFill="1" applyBorder="1" applyAlignment="1">
      <alignment horizontal="right" vertical="center"/>
    </xf>
    <xf numFmtId="166" fontId="39" fillId="2" borderId="13" xfId="0" applyNumberFormat="1" applyFont="1" applyFill="1" applyBorder="1" applyAlignment="1"/>
    <xf numFmtId="49" fontId="10" fillId="12" borderId="13" xfId="0" applyNumberFormat="1" applyFont="1" applyFill="1" applyBorder="1" applyAlignment="1">
      <alignment wrapText="1"/>
    </xf>
    <xf numFmtId="4" fontId="41" fillId="0" borderId="13" xfId="0" applyNumberFormat="1" applyFont="1" applyBorder="1" applyAlignment="1"/>
    <xf numFmtId="0" fontId="7" fillId="0" borderId="13" xfId="0" applyNumberFormat="1" applyFont="1" applyBorder="1" applyAlignment="1"/>
    <xf numFmtId="43" fontId="34" fillId="0" borderId="13" xfId="1" applyFont="1" applyFill="1" applyBorder="1" applyAlignment="1">
      <alignment horizontal="right"/>
    </xf>
    <xf numFmtId="167" fontId="34" fillId="12" borderId="13" xfId="0" applyNumberFormat="1" applyFont="1" applyFill="1" applyBorder="1" applyAlignment="1"/>
    <xf numFmtId="49" fontId="10" fillId="0" borderId="13" xfId="0" applyNumberFormat="1" applyFont="1" applyFill="1" applyBorder="1" applyAlignment="1">
      <alignment vertical="top" wrapText="1"/>
    </xf>
    <xf numFmtId="0" fontId="39" fillId="2" borderId="13" xfId="0" applyNumberFormat="1" applyFont="1" applyFill="1" applyBorder="1" applyAlignment="1"/>
    <xf numFmtId="167" fontId="34" fillId="2" borderId="13" xfId="0" applyNumberFormat="1" applyFont="1" applyFill="1" applyBorder="1" applyAlignment="1">
      <alignment horizontal="left"/>
    </xf>
    <xf numFmtId="167" fontId="34" fillId="7" borderId="13" xfId="0" applyNumberFormat="1" applyFont="1" applyFill="1" applyBorder="1"/>
    <xf numFmtId="49" fontId="37" fillId="12" borderId="13" xfId="0" applyNumberFormat="1" applyFont="1" applyFill="1" applyBorder="1" applyAlignment="1">
      <alignment horizontal="center" wrapText="1"/>
    </xf>
    <xf numFmtId="167" fontId="39" fillId="7" borderId="13" xfId="0" applyNumberFormat="1" applyFont="1" applyFill="1" applyBorder="1"/>
    <xf numFmtId="167" fontId="39" fillId="7" borderId="13" xfId="0" applyNumberFormat="1" applyFont="1" applyFill="1" applyBorder="1" applyAlignment="1"/>
    <xf numFmtId="2" fontId="34" fillId="0" borderId="13" xfId="0" applyNumberFormat="1" applyFont="1" applyFill="1" applyBorder="1" applyAlignment="1"/>
    <xf numFmtId="0" fontId="34" fillId="2" borderId="13" xfId="0" applyNumberFormat="1" applyFont="1" applyFill="1" applyBorder="1" applyAlignment="1"/>
    <xf numFmtId="2" fontId="34" fillId="12" borderId="13" xfId="0" applyNumberFormat="1" applyFont="1" applyFill="1" applyBorder="1" applyAlignment="1"/>
    <xf numFmtId="3" fontId="34" fillId="0" borderId="13" xfId="0" applyNumberFormat="1" applyFont="1" applyBorder="1" applyAlignment="1"/>
    <xf numFmtId="165" fontId="34" fillId="2" borderId="13" xfId="0" applyNumberFormat="1" applyFont="1" applyFill="1" applyBorder="1" applyAlignment="1"/>
    <xf numFmtId="167" fontId="34" fillId="10" borderId="13" xfId="0" applyNumberFormat="1" applyFont="1" applyFill="1" applyBorder="1" applyAlignment="1"/>
    <xf numFmtId="171" fontId="34" fillId="0" borderId="13" xfId="0" applyNumberFormat="1" applyFont="1" applyFill="1" applyBorder="1" applyAlignment="1"/>
    <xf numFmtId="166" fontId="10" fillId="0" borderId="13" xfId="0" applyNumberFormat="1" applyFont="1" applyFill="1" applyBorder="1" applyAlignment="1">
      <alignment horizontal="right" wrapText="1"/>
    </xf>
    <xf numFmtId="43" fontId="7" fillId="0" borderId="13" xfId="1" applyFont="1" applyBorder="1" applyAlignment="1"/>
    <xf numFmtId="10" fontId="34" fillId="8" borderId="13" xfId="0" applyNumberFormat="1" applyFont="1" applyFill="1" applyBorder="1" applyAlignment="1"/>
    <xf numFmtId="43" fontId="34" fillId="5" borderId="13" xfId="1" applyFont="1" applyFill="1" applyBorder="1" applyAlignment="1">
      <alignment horizontal="left"/>
    </xf>
    <xf numFmtId="167" fontId="34" fillId="2" borderId="13" xfId="0" applyNumberFormat="1" applyFont="1" applyFill="1" applyBorder="1" applyAlignment="1">
      <alignment horizontal="right"/>
    </xf>
    <xf numFmtId="43" fontId="34" fillId="2" borderId="13" xfId="1" applyFont="1" applyFill="1" applyBorder="1" applyAlignment="1"/>
    <xf numFmtId="43" fontId="34" fillId="10" borderId="13" xfId="1" applyFont="1" applyFill="1" applyBorder="1" applyAlignment="1"/>
    <xf numFmtId="167" fontId="36" fillId="11" borderId="13" xfId="0" applyNumberFormat="1" applyFont="1" applyFill="1" applyBorder="1" applyAlignment="1">
      <alignment horizontal="left"/>
    </xf>
    <xf numFmtId="166" fontId="35" fillId="0" borderId="13" xfId="0" applyNumberFormat="1" applyFont="1" applyFill="1" applyBorder="1" applyAlignment="1">
      <alignment horizontal="center" wrapText="1"/>
    </xf>
    <xf numFmtId="49" fontId="35" fillId="0" borderId="13" xfId="0" applyNumberFormat="1" applyFont="1" applyFill="1" applyBorder="1" applyAlignment="1">
      <alignment wrapText="1"/>
    </xf>
    <xf numFmtId="49" fontId="35" fillId="0" borderId="13" xfId="0" applyNumberFormat="1" applyFont="1" applyFill="1" applyBorder="1" applyAlignment="1"/>
    <xf numFmtId="167" fontId="34" fillId="0" borderId="13" xfId="0" applyNumberFormat="1" applyFont="1" applyFill="1" applyBorder="1" applyAlignment="1">
      <alignment horizontal="left"/>
    </xf>
    <xf numFmtId="3" fontId="34" fillId="2" borderId="13" xfId="0" applyNumberFormat="1" applyFont="1" applyFill="1" applyBorder="1" applyAlignment="1"/>
    <xf numFmtId="167" fontId="36" fillId="0" borderId="13" xfId="0" applyNumberFormat="1" applyFont="1" applyBorder="1" applyAlignment="1"/>
    <xf numFmtId="3" fontId="34" fillId="0" borderId="13" xfId="0" applyNumberFormat="1" applyFont="1" applyFill="1" applyBorder="1" applyAlignment="1"/>
    <xf numFmtId="166" fontId="37" fillId="0" borderId="13" xfId="0" applyNumberFormat="1" applyFont="1" applyFill="1" applyBorder="1" applyAlignment="1">
      <alignment horizontal="center" wrapText="1"/>
    </xf>
    <xf numFmtId="49" fontId="38" fillId="0" borderId="13" xfId="0" applyNumberFormat="1" applyFont="1" applyFill="1" applyBorder="1" applyAlignment="1">
      <alignment horizontal="right"/>
    </xf>
    <xf numFmtId="43" fontId="39" fillId="2" borderId="13" xfId="1" applyFont="1" applyFill="1" applyBorder="1" applyAlignment="1"/>
    <xf numFmtId="169" fontId="39" fillId="2" borderId="13" xfId="1" applyNumberFormat="1" applyFont="1" applyFill="1" applyBorder="1" applyAlignment="1"/>
    <xf numFmtId="49" fontId="34" fillId="2" borderId="13" xfId="0" applyNumberFormat="1" applyFont="1" applyFill="1" applyBorder="1" applyAlignment="1">
      <alignment horizontal="right"/>
    </xf>
    <xf numFmtId="4" fontId="34" fillId="2" borderId="13" xfId="0" applyNumberFormat="1" applyFont="1" applyFill="1" applyBorder="1" applyAlignment="1">
      <alignment horizontal="right"/>
    </xf>
    <xf numFmtId="43" fontId="34" fillId="5" borderId="13" xfId="1" applyFont="1" applyFill="1" applyBorder="1" applyAlignment="1">
      <alignment horizontal="right"/>
    </xf>
    <xf numFmtId="43" fontId="34" fillId="2" borderId="13" xfId="1" applyFont="1" applyFill="1" applyBorder="1" applyAlignment="1">
      <alignment horizontal="right"/>
    </xf>
    <xf numFmtId="2" fontId="34" fillId="2" borderId="13" xfId="0" applyNumberFormat="1" applyFont="1" applyFill="1" applyBorder="1" applyAlignment="1">
      <alignment horizontal="right"/>
    </xf>
    <xf numFmtId="166" fontId="37" fillId="2" borderId="13" xfId="0" applyNumberFormat="1" applyFont="1" applyFill="1" applyBorder="1" applyAlignment="1">
      <alignment horizontal="center" wrapText="1"/>
    </xf>
    <xf numFmtId="167" fontId="39" fillId="2" borderId="13" xfId="0" applyNumberFormat="1" applyFont="1" applyFill="1" applyBorder="1" applyAlignment="1">
      <alignment horizontal="left"/>
    </xf>
    <xf numFmtId="4" fontId="10" fillId="12" borderId="13" xfId="0" applyNumberFormat="1" applyFont="1" applyFill="1" applyBorder="1" applyAlignment="1">
      <alignment wrapText="1"/>
    </xf>
    <xf numFmtId="0" fontId="10" fillId="12" borderId="13" xfId="0" applyFont="1" applyFill="1" applyBorder="1" applyAlignment="1">
      <alignment wrapText="1"/>
    </xf>
    <xf numFmtId="0" fontId="10" fillId="0" borderId="13" xfId="0" applyFont="1" applyFill="1" applyBorder="1" applyAlignment="1"/>
    <xf numFmtId="168" fontId="34" fillId="2" borderId="13" xfId="0" applyNumberFormat="1" applyFont="1" applyFill="1" applyBorder="1" applyAlignment="1"/>
    <xf numFmtId="167" fontId="39" fillId="2" borderId="13" xfId="0" applyNumberFormat="1" applyFont="1" applyFill="1" applyBorder="1" applyAlignment="1">
      <alignment wrapText="1"/>
    </xf>
    <xf numFmtId="166" fontId="35" fillId="12" borderId="13" xfId="0" applyNumberFormat="1" applyFont="1" applyFill="1" applyBorder="1" applyAlignment="1">
      <alignment horizontal="center" wrapText="1"/>
    </xf>
    <xf numFmtId="167" fontId="34" fillId="2" borderId="13" xfId="0" applyNumberFormat="1" applyFont="1" applyFill="1" applyBorder="1" applyAlignment="1">
      <alignment horizontal="left" wrapText="1"/>
    </xf>
    <xf numFmtId="166" fontId="34" fillId="2" borderId="13" xfId="0" applyNumberFormat="1" applyFont="1" applyFill="1" applyBorder="1" applyAlignment="1">
      <alignment horizontal="left"/>
    </xf>
    <xf numFmtId="166" fontId="34" fillId="0" borderId="13" xfId="0" applyNumberFormat="1" applyFont="1" applyFill="1" applyBorder="1" applyAlignment="1">
      <alignment horizontal="center"/>
    </xf>
    <xf numFmtId="49" fontId="39" fillId="0" borderId="13" xfId="0" applyNumberFormat="1" applyFont="1" applyFill="1" applyBorder="1" applyAlignment="1">
      <alignment horizontal="right"/>
    </xf>
    <xf numFmtId="166" fontId="34" fillId="45" borderId="13" xfId="0" applyNumberFormat="1" applyFont="1" applyFill="1" applyBorder="1" applyAlignment="1">
      <alignment horizontal="center" wrapText="1"/>
    </xf>
    <xf numFmtId="49" fontId="39" fillId="45" borderId="13" xfId="0" applyNumberFormat="1" applyFont="1" applyFill="1" applyBorder="1" applyAlignment="1">
      <alignment horizontal="right"/>
    </xf>
    <xf numFmtId="167" fontId="39" fillId="45" borderId="13" xfId="0" applyNumberFormat="1" applyFont="1" applyFill="1" applyBorder="1" applyAlignment="1"/>
    <xf numFmtId="10" fontId="39" fillId="45" borderId="13" xfId="0" applyNumberFormat="1" applyFont="1" applyFill="1" applyBorder="1" applyAlignment="1"/>
    <xf numFmtId="10" fontId="37" fillId="45" borderId="13" xfId="0" applyNumberFormat="1" applyFont="1" applyFill="1" applyBorder="1" applyAlignment="1">
      <alignment horizontal="right" vertical="center"/>
    </xf>
    <xf numFmtId="10" fontId="39" fillId="45" borderId="13" xfId="0" applyNumberFormat="1" applyFont="1" applyFill="1" applyBorder="1" applyAlignment="1">
      <alignment horizontal="right" vertical="center"/>
    </xf>
    <xf numFmtId="167" fontId="39" fillId="45" borderId="13" xfId="0" applyNumberFormat="1" applyFont="1" applyFill="1" applyBorder="1" applyAlignment="1">
      <alignment horizontal="right" vertical="center"/>
    </xf>
    <xf numFmtId="166" fontId="39" fillId="45" borderId="13" xfId="0" applyNumberFormat="1" applyFont="1" applyFill="1" applyBorder="1" applyAlignment="1"/>
    <xf numFmtId="0" fontId="34" fillId="0" borderId="13" xfId="0" applyNumberFormat="1" applyFont="1" applyBorder="1" applyAlignment="1"/>
    <xf numFmtId="166" fontId="10" fillId="12" borderId="13" xfId="0" applyNumberFormat="1" applyFont="1" applyFill="1" applyBorder="1" applyAlignment="1">
      <alignment horizontal="center" wrapText="1"/>
    </xf>
    <xf numFmtId="49" fontId="40" fillId="9" borderId="14" xfId="0" applyNumberFormat="1" applyFont="1" applyFill="1" applyBorder="1" applyAlignment="1">
      <alignment horizontal="center" vertical="top" wrapText="1"/>
    </xf>
    <xf numFmtId="49" fontId="40" fillId="9" borderId="15" xfId="0" applyNumberFormat="1" applyFont="1" applyFill="1" applyBorder="1" applyAlignment="1">
      <alignment horizontal="center" vertical="top" wrapText="1"/>
    </xf>
    <xf numFmtId="49" fontId="40" fillId="9" borderId="16" xfId="0" applyNumberFormat="1" applyFont="1" applyFill="1" applyBorder="1" applyAlignment="1">
      <alignment horizontal="center" vertical="top" wrapText="1"/>
    </xf>
    <xf numFmtId="0" fontId="38" fillId="8" borderId="14" xfId="0" applyFont="1" applyFill="1" applyBorder="1" applyAlignment="1">
      <alignment horizontal="center" wrapText="1"/>
    </xf>
    <xf numFmtId="0" fontId="38" fillId="8" borderId="15" xfId="0" applyFont="1" applyFill="1" applyBorder="1" applyAlignment="1">
      <alignment horizontal="center" wrapText="1"/>
    </xf>
    <xf numFmtId="0" fontId="38" fillId="8" borderId="16" xfId="0" applyFont="1" applyFill="1" applyBorder="1" applyAlignment="1">
      <alignment horizontal="center" wrapText="1"/>
    </xf>
    <xf numFmtId="49" fontId="12" fillId="13" borderId="13" xfId="0" applyNumberFormat="1" applyFont="1" applyFill="1" applyBorder="1" applyAlignment="1">
      <alignment horizontal="center"/>
    </xf>
    <xf numFmtId="0" fontId="12" fillId="13" borderId="13" xfId="0" applyNumberFormat="1" applyFont="1" applyFill="1" applyBorder="1" applyAlignment="1">
      <alignment horizontal="center"/>
    </xf>
    <xf numFmtId="49" fontId="8" fillId="9" borderId="14" xfId="0" applyNumberFormat="1" applyFont="1" applyFill="1" applyBorder="1" applyAlignment="1">
      <alignment horizontal="center" vertical="top" wrapText="1"/>
    </xf>
    <xf numFmtId="49" fontId="8" fillId="9" borderId="15" xfId="0" applyNumberFormat="1" applyFont="1" applyFill="1" applyBorder="1" applyAlignment="1">
      <alignment horizontal="center" vertical="top" wrapText="1"/>
    </xf>
    <xf numFmtId="49" fontId="8" fillId="9" borderId="16" xfId="0" applyNumberFormat="1" applyFont="1" applyFill="1" applyBorder="1" applyAlignment="1">
      <alignment horizontal="center" vertical="top" wrapText="1"/>
    </xf>
    <xf numFmtId="167" fontId="38" fillId="8" borderId="14" xfId="0" applyNumberFormat="1" applyFont="1" applyFill="1" applyBorder="1" applyAlignment="1">
      <alignment horizontal="center" wrapText="1"/>
    </xf>
    <xf numFmtId="167" fontId="38" fillId="8" borderId="15" xfId="0" applyNumberFormat="1" applyFont="1" applyFill="1" applyBorder="1" applyAlignment="1">
      <alignment horizontal="center" wrapText="1"/>
    </xf>
    <xf numFmtId="167" fontId="38" fillId="8" borderId="16" xfId="0" applyNumberFormat="1" applyFont="1" applyFill="1" applyBorder="1" applyAlignment="1">
      <alignment horizontal="center" wrapText="1"/>
    </xf>
  </cellXfs>
  <cellStyles count="495">
    <cellStyle name="20% - Accent1 2" xfId="110"/>
    <cellStyle name="20% - Accent1 2 2" xfId="381"/>
    <cellStyle name="20% - Accent1 2 3" xfId="225"/>
    <cellStyle name="20% - Accent1 3" xfId="140"/>
    <cellStyle name="20% - Accent1 3 2" xfId="413"/>
    <cellStyle name="20% - Accent1 3 3" xfId="257"/>
    <cellStyle name="20% - Accent1 4" xfId="301"/>
    <cellStyle name="20% - Accent1 4 2" xfId="457"/>
    <cellStyle name="20% - Accent1 5" xfId="346"/>
    <cellStyle name="20% - Accent1 6" xfId="190"/>
    <cellStyle name="20% - Accent1 7" xfId="12"/>
    <cellStyle name="20% - Accent2 2" xfId="114"/>
    <cellStyle name="20% - Accent2 2 2" xfId="384"/>
    <cellStyle name="20% - Accent2 2 3" xfId="228"/>
    <cellStyle name="20% - Accent2 3" xfId="143"/>
    <cellStyle name="20% - Accent2 3 2" xfId="416"/>
    <cellStyle name="20% - Accent2 3 3" xfId="260"/>
    <cellStyle name="20% - Accent2 4" xfId="304"/>
    <cellStyle name="20% - Accent2 4 2" xfId="460"/>
    <cellStyle name="20% - Accent2 5" xfId="349"/>
    <cellStyle name="20% - Accent2 6" xfId="193"/>
    <cellStyle name="20% - Accent2 7" xfId="13"/>
    <cellStyle name="20% - Accent3 2" xfId="118"/>
    <cellStyle name="20% - Accent3 2 2" xfId="387"/>
    <cellStyle name="20% - Accent3 2 3" xfId="231"/>
    <cellStyle name="20% - Accent3 3" xfId="146"/>
    <cellStyle name="20% - Accent3 3 2" xfId="420"/>
    <cellStyle name="20% - Accent3 3 3" xfId="264"/>
    <cellStyle name="20% - Accent3 4" xfId="307"/>
    <cellStyle name="20% - Accent3 4 2" xfId="463"/>
    <cellStyle name="20% - Accent3 5" xfId="352"/>
    <cellStyle name="20% - Accent3 6" xfId="196"/>
    <cellStyle name="20% - Accent3 7" xfId="14"/>
    <cellStyle name="20% - Accent4 2" xfId="121"/>
    <cellStyle name="20% - Accent4 2 2" xfId="390"/>
    <cellStyle name="20% - Accent4 2 3" xfId="234"/>
    <cellStyle name="20% - Accent4 3" xfId="149"/>
    <cellStyle name="20% - Accent4 3 2" xfId="424"/>
    <cellStyle name="20% - Accent4 3 3" xfId="268"/>
    <cellStyle name="20% - Accent4 4" xfId="311"/>
    <cellStyle name="20% - Accent4 4 2" xfId="467"/>
    <cellStyle name="20% - Accent4 5" xfId="355"/>
    <cellStyle name="20% - Accent4 6" xfId="199"/>
    <cellStyle name="20% - Accent4 7" xfId="15"/>
    <cellStyle name="20% - Accent5 2" xfId="125"/>
    <cellStyle name="20% - Accent5 2 2" xfId="393"/>
    <cellStyle name="20% - Accent5 2 3" xfId="237"/>
    <cellStyle name="20% - Accent5 3" xfId="152"/>
    <cellStyle name="20% - Accent5 3 2" xfId="427"/>
    <cellStyle name="20% - Accent5 3 3" xfId="271"/>
    <cellStyle name="20% - Accent5 4" xfId="315"/>
    <cellStyle name="20% - Accent5 4 2" xfId="471"/>
    <cellStyle name="20% - Accent5 5" xfId="358"/>
    <cellStyle name="20% - Accent5 6" xfId="202"/>
    <cellStyle name="20% - Accent5 7" xfId="16"/>
    <cellStyle name="20% - Accent6 2" xfId="129"/>
    <cellStyle name="20% - Accent6 2 2" xfId="396"/>
    <cellStyle name="20% - Accent6 2 3" xfId="240"/>
    <cellStyle name="20% - Accent6 3" xfId="155"/>
    <cellStyle name="20% - Accent6 3 2" xfId="431"/>
    <cellStyle name="20% - Accent6 3 3" xfId="275"/>
    <cellStyle name="20% - Accent6 4" xfId="318"/>
    <cellStyle name="20% - Accent6 4 2" xfId="474"/>
    <cellStyle name="20% - Accent6 5" xfId="361"/>
    <cellStyle name="20% - Accent6 6" xfId="205"/>
    <cellStyle name="20% - Accent6 7" xfId="17"/>
    <cellStyle name="40% - Accent1 2" xfId="111"/>
    <cellStyle name="40% - Accent1 2 2" xfId="382"/>
    <cellStyle name="40% - Accent1 2 3" xfId="226"/>
    <cellStyle name="40% - Accent1 3" xfId="141"/>
    <cellStyle name="40% - Accent1 3 2" xfId="414"/>
    <cellStyle name="40% - Accent1 3 3" xfId="258"/>
    <cellStyle name="40% - Accent1 4" xfId="302"/>
    <cellStyle name="40% - Accent1 4 2" xfId="458"/>
    <cellStyle name="40% - Accent1 5" xfId="347"/>
    <cellStyle name="40% - Accent1 6" xfId="191"/>
    <cellStyle name="40% - Accent1 7" xfId="18"/>
    <cellStyle name="40% - Accent2 2" xfId="115"/>
    <cellStyle name="40% - Accent2 2 2" xfId="385"/>
    <cellStyle name="40% - Accent2 2 3" xfId="229"/>
    <cellStyle name="40% - Accent2 3" xfId="144"/>
    <cellStyle name="40% - Accent2 3 2" xfId="417"/>
    <cellStyle name="40% - Accent2 3 3" xfId="261"/>
    <cellStyle name="40% - Accent2 4" xfId="305"/>
    <cellStyle name="40% - Accent2 4 2" xfId="461"/>
    <cellStyle name="40% - Accent2 5" xfId="350"/>
    <cellStyle name="40% - Accent2 6" xfId="194"/>
    <cellStyle name="40% - Accent2 7" xfId="19"/>
    <cellStyle name="40% - Accent3 2" xfId="119"/>
    <cellStyle name="40% - Accent3 2 2" xfId="388"/>
    <cellStyle name="40% - Accent3 2 3" xfId="232"/>
    <cellStyle name="40% - Accent3 3" xfId="147"/>
    <cellStyle name="40% - Accent3 3 2" xfId="421"/>
    <cellStyle name="40% - Accent3 3 3" xfId="265"/>
    <cellStyle name="40% - Accent3 4" xfId="308"/>
    <cellStyle name="40% - Accent3 4 2" xfId="464"/>
    <cellStyle name="40% - Accent3 5" xfId="353"/>
    <cellStyle name="40% - Accent3 6" xfId="197"/>
    <cellStyle name="40% - Accent3 7" xfId="20"/>
    <cellStyle name="40% - Accent4 2" xfId="122"/>
    <cellStyle name="40% - Accent4 2 2" xfId="391"/>
    <cellStyle name="40% - Accent4 2 3" xfId="235"/>
    <cellStyle name="40% - Accent4 3" xfId="150"/>
    <cellStyle name="40% - Accent4 3 2" xfId="425"/>
    <cellStyle name="40% - Accent4 3 3" xfId="269"/>
    <cellStyle name="40% - Accent4 4" xfId="312"/>
    <cellStyle name="40% - Accent4 4 2" xfId="468"/>
    <cellStyle name="40% - Accent4 5" xfId="356"/>
    <cellStyle name="40% - Accent4 6" xfId="200"/>
    <cellStyle name="40% - Accent4 7" xfId="21"/>
    <cellStyle name="40% - Accent5 2" xfId="126"/>
    <cellStyle name="40% - Accent5 2 2" xfId="394"/>
    <cellStyle name="40% - Accent5 2 3" xfId="238"/>
    <cellStyle name="40% - Accent5 3" xfId="153"/>
    <cellStyle name="40% - Accent5 3 2" xfId="428"/>
    <cellStyle name="40% - Accent5 3 3" xfId="272"/>
    <cellStyle name="40% - Accent5 4" xfId="316"/>
    <cellStyle name="40% - Accent5 4 2" xfId="472"/>
    <cellStyle name="40% - Accent5 5" xfId="359"/>
    <cellStyle name="40% - Accent5 6" xfId="203"/>
    <cellStyle name="40% - Accent5 7" xfId="22"/>
    <cellStyle name="40% - Accent6 2" xfId="130"/>
    <cellStyle name="40% - Accent6 2 2" xfId="397"/>
    <cellStyle name="40% - Accent6 2 3" xfId="241"/>
    <cellStyle name="40% - Accent6 3" xfId="156"/>
    <cellStyle name="40% - Accent6 3 2" xfId="432"/>
    <cellStyle name="40% - Accent6 3 3" xfId="276"/>
    <cellStyle name="40% - Accent6 4" xfId="319"/>
    <cellStyle name="40% - Accent6 4 2" xfId="475"/>
    <cellStyle name="40% - Accent6 5" xfId="362"/>
    <cellStyle name="40% - Accent6 6" xfId="206"/>
    <cellStyle name="40% - Accent6 7" xfId="23"/>
    <cellStyle name="60% - Accent1 2" xfId="112"/>
    <cellStyle name="60% - Accent1 2 2" xfId="383"/>
    <cellStyle name="60% - Accent1 2 3" xfId="227"/>
    <cellStyle name="60% - Accent1 3" xfId="142"/>
    <cellStyle name="60% - Accent1 3 2" xfId="415"/>
    <cellStyle name="60% - Accent1 3 3" xfId="259"/>
    <cellStyle name="60% - Accent1 4" xfId="303"/>
    <cellStyle name="60% - Accent1 4 2" xfId="459"/>
    <cellStyle name="60% - Accent1 5" xfId="348"/>
    <cellStyle name="60% - Accent1 6" xfId="192"/>
    <cellStyle name="60% - Accent1 7" xfId="24"/>
    <cellStyle name="60% - Accent2 2" xfId="116"/>
    <cellStyle name="60% - Accent2 2 2" xfId="386"/>
    <cellStyle name="60% - Accent2 2 3" xfId="230"/>
    <cellStyle name="60% - Accent2 3" xfId="145"/>
    <cellStyle name="60% - Accent2 3 2" xfId="418"/>
    <cellStyle name="60% - Accent2 3 3" xfId="262"/>
    <cellStyle name="60% - Accent2 4" xfId="306"/>
    <cellStyle name="60% - Accent2 4 2" xfId="462"/>
    <cellStyle name="60% - Accent2 5" xfId="351"/>
    <cellStyle name="60% - Accent2 6" xfId="195"/>
    <cellStyle name="60% - Accent2 7" xfId="25"/>
    <cellStyle name="60% - Accent3 2" xfId="120"/>
    <cellStyle name="60% - Accent3 2 2" xfId="389"/>
    <cellStyle name="60% - Accent3 2 3" xfId="233"/>
    <cellStyle name="60% - Accent3 3" xfId="148"/>
    <cellStyle name="60% - Accent3 3 2" xfId="422"/>
    <cellStyle name="60% - Accent3 3 3" xfId="266"/>
    <cellStyle name="60% - Accent3 4" xfId="309"/>
    <cellStyle name="60% - Accent3 4 2" xfId="465"/>
    <cellStyle name="60% - Accent3 5" xfId="354"/>
    <cellStyle name="60% - Accent3 6" xfId="198"/>
    <cellStyle name="60% - Accent3 7" xfId="26"/>
    <cellStyle name="60% - Accent4 2" xfId="123"/>
    <cellStyle name="60% - Accent4 2 2" xfId="392"/>
    <cellStyle name="60% - Accent4 2 3" xfId="236"/>
    <cellStyle name="60% - Accent4 3" xfId="151"/>
    <cellStyle name="60% - Accent4 3 2" xfId="426"/>
    <cellStyle name="60% - Accent4 3 3" xfId="270"/>
    <cellStyle name="60% - Accent4 4" xfId="313"/>
    <cellStyle name="60% - Accent4 4 2" xfId="469"/>
    <cellStyle name="60% - Accent4 5" xfId="357"/>
    <cellStyle name="60% - Accent4 6" xfId="201"/>
    <cellStyle name="60% - Accent4 7" xfId="27"/>
    <cellStyle name="60% - Accent5 2" xfId="127"/>
    <cellStyle name="60% - Accent5 2 2" xfId="395"/>
    <cellStyle name="60% - Accent5 2 3" xfId="239"/>
    <cellStyle name="60% - Accent5 3" xfId="154"/>
    <cellStyle name="60% - Accent5 3 2" xfId="429"/>
    <cellStyle name="60% - Accent5 3 3" xfId="273"/>
    <cellStyle name="60% - Accent5 4" xfId="317"/>
    <cellStyle name="60% - Accent5 4 2" xfId="473"/>
    <cellStyle name="60% - Accent5 5" xfId="360"/>
    <cellStyle name="60% - Accent5 6" xfId="204"/>
    <cellStyle name="60% - Accent5 7" xfId="28"/>
    <cellStyle name="60% - Accent6 2" xfId="131"/>
    <cellStyle name="60% - Accent6 2 2" xfId="398"/>
    <cellStyle name="60% - Accent6 2 3" xfId="242"/>
    <cellStyle name="60% - Accent6 3" xfId="157"/>
    <cellStyle name="60% - Accent6 3 2" xfId="433"/>
    <cellStyle name="60% - Accent6 3 3" xfId="277"/>
    <cellStyle name="60% - Accent6 4" xfId="320"/>
    <cellStyle name="60% - Accent6 4 2" xfId="476"/>
    <cellStyle name="60% - Accent6 5" xfId="363"/>
    <cellStyle name="60% - Accent6 6" xfId="207"/>
    <cellStyle name="60% - Accent6 7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" xfId="7" builtinId="22" customBuiltin="1"/>
    <cellStyle name="Check Cell" xfId="9" builtinId="23" customBuiltin="1"/>
    <cellStyle name="Comma" xfId="1" builtinId="3"/>
    <cellStyle name="Comma 10" xfId="38"/>
    <cellStyle name="Comma 11" xfId="39"/>
    <cellStyle name="Comma 12" xfId="40"/>
    <cellStyle name="Comma 12 2" xfId="365"/>
    <cellStyle name="Comma 12 3" xfId="209"/>
    <cellStyle name="Comma 13" xfId="103"/>
    <cellStyle name="Comma 13 2" xfId="378"/>
    <cellStyle name="Comma 13 3" xfId="222"/>
    <cellStyle name="Comma 14" xfId="41"/>
    <cellStyle name="Comma 15" xfId="136"/>
    <cellStyle name="Comma 15 2" xfId="400"/>
    <cellStyle name="Comma 15 3" xfId="244"/>
    <cellStyle name="Comma 16" xfId="138"/>
    <cellStyle name="Comma 16 2" xfId="447"/>
    <cellStyle name="Comma 16 3" xfId="291"/>
    <cellStyle name="Comma 17" xfId="492"/>
    <cellStyle name="Comma 18" xfId="37"/>
    <cellStyle name="Comma 2" xfId="42"/>
    <cellStyle name="Comma 2 10" xfId="43"/>
    <cellStyle name="Comma 2 10 2" xfId="159"/>
    <cellStyle name="Comma 2 11" xfId="44"/>
    <cellStyle name="Comma 2 11 2" xfId="160"/>
    <cellStyle name="Comma 2 12" xfId="491"/>
    <cellStyle name="Comma 2 2" xfId="45"/>
    <cellStyle name="Comma 2 2 2" xfId="46"/>
    <cellStyle name="Comma 2 2 2 2" xfId="47"/>
    <cellStyle name="Comma 2 2 2 2 2" xfId="163"/>
    <cellStyle name="Comma 2 2 2 2 3" xfId="162"/>
    <cellStyle name="Comma 2 2 2 3" xfId="161"/>
    <cellStyle name="Comma 2 3" xfId="48"/>
    <cellStyle name="Comma 2 3 2" xfId="164"/>
    <cellStyle name="Comma 2 4" xfId="49"/>
    <cellStyle name="Comma 2 4 2" xfId="165"/>
    <cellStyle name="Comma 2 5" xfId="50"/>
    <cellStyle name="Comma 2 5 2" xfId="166"/>
    <cellStyle name="Comma 2 6" xfId="51"/>
    <cellStyle name="Comma 2 6 2" xfId="167"/>
    <cellStyle name="Comma 2 7" xfId="52"/>
    <cellStyle name="Comma 2 7 2" xfId="168"/>
    <cellStyle name="Comma 2 8" xfId="53"/>
    <cellStyle name="Comma 2 8 2" xfId="169"/>
    <cellStyle name="Comma 2 9" xfId="54"/>
    <cellStyle name="Comma 2 9 2" xfId="170"/>
    <cellStyle name="Comma 3" xfId="55"/>
    <cellStyle name="Comma 3 2" xfId="333"/>
    <cellStyle name="Comma 3 3" xfId="171"/>
    <cellStyle name="Comma 3 4" xfId="489"/>
    <cellStyle name="Comma 3 4 3" xfId="493"/>
    <cellStyle name="Comma 3 4 4" xfId="494"/>
    <cellStyle name="Comma 4" xfId="56"/>
    <cellStyle name="Comma 4 2" xfId="57"/>
    <cellStyle name="Comma 4 3" xfId="172"/>
    <cellStyle name="Comma 5" xfId="58"/>
    <cellStyle name="Comma 6" xfId="59"/>
    <cellStyle name="Comma 7" xfId="60"/>
    <cellStyle name="Comma 8" xfId="61"/>
    <cellStyle name="Comma 8 2" xfId="62"/>
    <cellStyle name="Comma 9" xfId="63"/>
    <cellStyle name="Explanatory Text 2" xfId="64"/>
    <cellStyle name="Good 2" xfId="65"/>
    <cellStyle name="Heading 1" xfId="2" builtinId="16" customBuiltin="1"/>
    <cellStyle name="Heading 2" xfId="3" builtinId="17" customBuiltin="1"/>
    <cellStyle name="Heading 3" xfId="4" builtinId="18" customBuiltin="1"/>
    <cellStyle name="Heading 4 2" xfId="66"/>
    <cellStyle name="Input" xfId="5" builtinId="20" customBuiltin="1"/>
    <cellStyle name="Linked Cell" xfId="8" builtinId="24" customBuiltin="1"/>
    <cellStyle name="Neutral 2" xfId="105"/>
    <cellStyle name="Neutral 3" xfId="67"/>
    <cellStyle name="Normal" xfId="0" builtinId="0"/>
    <cellStyle name="Normal - Style1" xfId="68"/>
    <cellStyle name="Normal 10" xfId="69"/>
    <cellStyle name="Normal 10 2" xfId="370"/>
    <cellStyle name="Normal 10 3" xfId="214"/>
    <cellStyle name="Normal 11" xfId="70"/>
    <cellStyle name="Normal 11 2" xfId="374"/>
    <cellStyle name="Normal 11 3" xfId="218"/>
    <cellStyle name="Normal 12" xfId="71"/>
    <cellStyle name="Normal 12 2" xfId="72"/>
    <cellStyle name="Normal 12 2 2" xfId="334"/>
    <cellStyle name="Normal 12 2 3" xfId="173"/>
    <cellStyle name="Normal 12 3" xfId="371"/>
    <cellStyle name="Normal 12 4" xfId="215"/>
    <cellStyle name="Normal 13" xfId="73"/>
    <cellStyle name="Normal 13 2" xfId="376"/>
    <cellStyle name="Normal 13 3" xfId="220"/>
    <cellStyle name="Normal 14" xfId="74"/>
    <cellStyle name="Normal 14 2" xfId="174"/>
    <cellStyle name="Normal 15" xfId="102"/>
    <cellStyle name="Normal 15 2" xfId="372"/>
    <cellStyle name="Normal 15 3" xfId="216"/>
    <cellStyle name="Normal 16" xfId="107"/>
    <cellStyle name="Normal 16 2" xfId="375"/>
    <cellStyle name="Normal 16 3" xfId="219"/>
    <cellStyle name="Normal 17" xfId="124"/>
    <cellStyle name="Normal 17 2" xfId="373"/>
    <cellStyle name="Normal 17 3" xfId="217"/>
    <cellStyle name="Normal 18" xfId="128"/>
    <cellStyle name="Normal 18 2" xfId="377"/>
    <cellStyle name="Normal 18 3" xfId="221"/>
    <cellStyle name="Normal 19" xfId="109"/>
    <cellStyle name="Normal 19 2" xfId="379"/>
    <cellStyle name="Normal 19 3" xfId="223"/>
    <cellStyle name="Normal 2" xfId="75"/>
    <cellStyle name="Normal 2 2" xfId="76"/>
    <cellStyle name="Normal 2 2 2" xfId="175"/>
    <cellStyle name="Normal 2 3" xfId="77"/>
    <cellStyle name="Normal 2 4" xfId="78"/>
    <cellStyle name="Normal 2 5" xfId="79"/>
    <cellStyle name="Normal 2 6" xfId="490"/>
    <cellStyle name="Normal 20" xfId="113"/>
    <cellStyle name="Normal 20 2" xfId="399"/>
    <cellStyle name="Normal 20 3" xfId="243"/>
    <cellStyle name="Normal 21" xfId="134"/>
    <cellStyle name="Normal 21 2" xfId="409"/>
    <cellStyle name="Normal 21 3" xfId="253"/>
    <cellStyle name="Normal 22" xfId="133"/>
    <cellStyle name="Normal 22 2" xfId="405"/>
    <cellStyle name="Normal 22 3" xfId="249"/>
    <cellStyle name="Normal 23" xfId="132"/>
    <cellStyle name="Normal 23 2" xfId="443"/>
    <cellStyle name="Normal 23 3" xfId="287"/>
    <cellStyle name="Normal 24" xfId="106"/>
    <cellStyle name="Normal 24 2" xfId="403"/>
    <cellStyle name="Normal 24 3" xfId="247"/>
    <cellStyle name="Normal 25" xfId="117"/>
    <cellStyle name="Normal 25 2" xfId="411"/>
    <cellStyle name="Normal 25 3" xfId="255"/>
    <cellStyle name="Normal 26" xfId="135"/>
    <cellStyle name="Normal 26 2" xfId="401"/>
    <cellStyle name="Normal 26 3" xfId="245"/>
    <cellStyle name="Normal 27" xfId="137"/>
    <cellStyle name="Normal 27 2" xfId="412"/>
    <cellStyle name="Normal 27 3" xfId="256"/>
    <cellStyle name="Normal 28" xfId="289"/>
    <cellStyle name="Normal 28 2" xfId="445"/>
    <cellStyle name="Normal 29" xfId="279"/>
    <cellStyle name="Normal 29 2" xfId="435"/>
    <cellStyle name="Normal 3" xfId="80"/>
    <cellStyle name="Normal 3 2" xfId="81"/>
    <cellStyle name="Normal 3 2 2" xfId="336"/>
    <cellStyle name="Normal 3 2 3" xfId="177"/>
    <cellStyle name="Normal 3 3" xfId="335"/>
    <cellStyle name="Normal 3 4" xfId="176"/>
    <cellStyle name="Normal 30" xfId="288"/>
    <cellStyle name="Normal 30 2" xfId="444"/>
    <cellStyle name="Normal 31" xfId="283"/>
    <cellStyle name="Normal 31 2" xfId="439"/>
    <cellStyle name="Normal 32" xfId="282"/>
    <cellStyle name="Normal 32 2" xfId="438"/>
    <cellStyle name="Normal 33" xfId="267"/>
    <cellStyle name="Normal 33 2" xfId="423"/>
    <cellStyle name="Normal 34" xfId="248"/>
    <cellStyle name="Normal 34 2" xfId="404"/>
    <cellStyle name="Normal 35" xfId="250"/>
    <cellStyle name="Normal 35 2" xfId="406"/>
    <cellStyle name="Normal 36" xfId="274"/>
    <cellStyle name="Normal 36 2" xfId="430"/>
    <cellStyle name="Normal 37" xfId="252"/>
    <cellStyle name="Normal 37 2" xfId="408"/>
    <cellStyle name="Normal 38" xfId="281"/>
    <cellStyle name="Normal 38 2" xfId="437"/>
    <cellStyle name="Normal 39" xfId="246"/>
    <cellStyle name="Normal 39 2" xfId="402"/>
    <cellStyle name="Normal 4" xfId="82"/>
    <cellStyle name="Normal 4 2" xfId="178"/>
    <cellStyle name="Normal 40" xfId="251"/>
    <cellStyle name="Normal 40 2" xfId="407"/>
    <cellStyle name="Normal 41" xfId="278"/>
    <cellStyle name="Normal 41 2" xfId="434"/>
    <cellStyle name="Normal 42" xfId="284"/>
    <cellStyle name="Normal 42 2" xfId="440"/>
    <cellStyle name="Normal 43" xfId="263"/>
    <cellStyle name="Normal 43 2" xfId="419"/>
    <cellStyle name="Normal 44" xfId="286"/>
    <cellStyle name="Normal 44 2" xfId="442"/>
    <cellStyle name="Normal 45" xfId="280"/>
    <cellStyle name="Normal 45 2" xfId="436"/>
    <cellStyle name="Normal 46" xfId="285"/>
    <cellStyle name="Normal 46 2" xfId="441"/>
    <cellStyle name="Normal 47" xfId="290"/>
    <cellStyle name="Normal 47 2" xfId="446"/>
    <cellStyle name="Normal 48" xfId="297"/>
    <cellStyle name="Normal 48 2" xfId="453"/>
    <cellStyle name="Normal 49" xfId="294"/>
    <cellStyle name="Normal 49 2" xfId="450"/>
    <cellStyle name="Normal 5" xfId="83"/>
    <cellStyle name="Normal 50" xfId="296"/>
    <cellStyle name="Normal 50 2" xfId="452"/>
    <cellStyle name="Normal 51" xfId="300"/>
    <cellStyle name="Normal 51 2" xfId="456"/>
    <cellStyle name="Normal 52" xfId="310"/>
    <cellStyle name="Normal 52 2" xfId="466"/>
    <cellStyle name="Normal 53" xfId="328"/>
    <cellStyle name="Normal 53 2" xfId="484"/>
    <cellStyle name="Normal 54" xfId="323"/>
    <cellStyle name="Normal 54 2" xfId="479"/>
    <cellStyle name="Normal 55" xfId="322"/>
    <cellStyle name="Normal 55 2" xfId="478"/>
    <cellStyle name="Normal 56" xfId="325"/>
    <cellStyle name="Normal 56 2" xfId="481"/>
    <cellStyle name="Normal 57" xfId="321"/>
    <cellStyle name="Normal 57 2" xfId="477"/>
    <cellStyle name="Normal 58" xfId="324"/>
    <cellStyle name="Normal 58 2" xfId="480"/>
    <cellStyle name="Normal 59" xfId="314"/>
    <cellStyle name="Normal 59 2" xfId="470"/>
    <cellStyle name="Normal 6" xfId="84"/>
    <cellStyle name="Normal 6 2" xfId="364"/>
    <cellStyle name="Normal 6 3" xfId="208"/>
    <cellStyle name="Normal 60" xfId="295"/>
    <cellStyle name="Normal 60 2" xfId="451"/>
    <cellStyle name="Normal 61" xfId="299"/>
    <cellStyle name="Normal 61 2" xfId="455"/>
    <cellStyle name="Normal 62" xfId="293"/>
    <cellStyle name="Normal 62 2" xfId="449"/>
    <cellStyle name="Normal 63" xfId="331"/>
    <cellStyle name="Normal 63 2" xfId="487"/>
    <cellStyle name="Normal 64" xfId="332"/>
    <cellStyle name="Normal 64 2" xfId="488"/>
    <cellStyle name="Normal 65" xfId="330"/>
    <cellStyle name="Normal 65 2" xfId="486"/>
    <cellStyle name="Normal 66" xfId="329"/>
    <cellStyle name="Normal 66 2" xfId="485"/>
    <cellStyle name="Normal 67" xfId="327"/>
    <cellStyle name="Normal 67 2" xfId="483"/>
    <cellStyle name="Normal 68" xfId="292"/>
    <cellStyle name="Normal 68 2" xfId="448"/>
    <cellStyle name="Normal 69" xfId="326"/>
    <cellStyle name="Normal 69 2" xfId="482"/>
    <cellStyle name="Normal 7" xfId="85"/>
    <cellStyle name="Normal 7 2" xfId="368"/>
    <cellStyle name="Normal 7 3" xfId="212"/>
    <cellStyle name="Normal 70" xfId="158"/>
    <cellStyle name="Normal 71" xfId="189"/>
    <cellStyle name="Normal 72" xfId="11"/>
    <cellStyle name="Normal 8" xfId="86"/>
    <cellStyle name="Normal 8 2" xfId="366"/>
    <cellStyle name="Normal 8 3" xfId="210"/>
    <cellStyle name="Normal 9" xfId="87"/>
    <cellStyle name="Normal 9 2" xfId="367"/>
    <cellStyle name="Normal 9 3" xfId="211"/>
    <cellStyle name="Note 10" xfId="88"/>
    <cellStyle name="Note 10 2" xfId="337"/>
    <cellStyle name="Note 10 3" xfId="179"/>
    <cellStyle name="Note 11" xfId="108"/>
    <cellStyle name="Note 11 2" xfId="369"/>
    <cellStyle name="Note 11 3" xfId="213"/>
    <cellStyle name="Note 12" xfId="139"/>
    <cellStyle name="Note 12 2" xfId="380"/>
    <cellStyle name="Note 12 3" xfId="224"/>
    <cellStyle name="Note 13" xfId="254"/>
    <cellStyle name="Note 13 2" xfId="410"/>
    <cellStyle name="Note 14" xfId="298"/>
    <cellStyle name="Note 14 2" xfId="454"/>
    <cellStyle name="Note 2" xfId="89"/>
    <cellStyle name="Note 2 2" xfId="338"/>
    <cellStyle name="Note 2 3" xfId="180"/>
    <cellStyle name="Note 3" xfId="90"/>
    <cellStyle name="Note 3 2" xfId="339"/>
    <cellStyle name="Note 3 3" xfId="181"/>
    <cellStyle name="Note 4" xfId="91"/>
    <cellStyle name="Note 4 2" xfId="340"/>
    <cellStyle name="Note 4 3" xfId="182"/>
    <cellStyle name="Note 5" xfId="92"/>
    <cellStyle name="Note 5 2" xfId="341"/>
    <cellStyle name="Note 5 3" xfId="183"/>
    <cellStyle name="Note 6" xfId="93"/>
    <cellStyle name="Note 6 2" xfId="342"/>
    <cellStyle name="Note 6 3" xfId="184"/>
    <cellStyle name="Note 7" xfId="94"/>
    <cellStyle name="Note 7 2" xfId="343"/>
    <cellStyle name="Note 7 3" xfId="185"/>
    <cellStyle name="Note 8" xfId="95"/>
    <cellStyle name="Note 8 2" xfId="344"/>
    <cellStyle name="Note 8 3" xfId="186"/>
    <cellStyle name="Note 9" xfId="96"/>
    <cellStyle name="Note 9 2" xfId="345"/>
    <cellStyle name="Note 9 3" xfId="187"/>
    <cellStyle name="Output" xfId="6" builtinId="21" customBuiltin="1"/>
    <cellStyle name="Percent 2" xfId="98"/>
    <cellStyle name="Percent 2 2" xfId="188"/>
    <cellStyle name="Percent 3" xfId="99"/>
    <cellStyle name="Percent 4" xfId="97"/>
    <cellStyle name="Title 2" xfId="104"/>
    <cellStyle name="Title 3" xfId="100"/>
    <cellStyle name="Total" xfId="10" builtinId="25" customBuiltin="1"/>
    <cellStyle name="Warning Text 2" xfId="10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11</xdr:col>
      <xdr:colOff>631031</xdr:colOff>
      <xdr:row>24</xdr:row>
      <xdr:rowOff>95249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"/>
          <a:ext cx="7965281" cy="407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23815</xdr:rowOff>
    </xdr:from>
    <xdr:to>
      <xdr:col>14</xdr:col>
      <xdr:colOff>11906</xdr:colOff>
      <xdr:row>24</xdr:row>
      <xdr:rowOff>47624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5"/>
          <a:ext cx="9346406" cy="4024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202405</xdr:colOff>
      <xdr:row>22</xdr:row>
      <xdr:rowOff>23812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17968" cy="4214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8"/>
  <sheetViews>
    <sheetView showGridLines="0" tabSelected="1" view="pageBreakPreview" zoomScale="120" zoomScaleNormal="160" zoomScaleSheetLayoutView="120" workbookViewId="0">
      <pane ySplit="2" topLeftCell="A3" activePane="bottomLeft" state="frozen"/>
      <selection pane="bottomLeft" activeCell="R148" sqref="R148:R151"/>
    </sheetView>
  </sheetViews>
  <sheetFormatPr defaultColWidth="8.85546875" defaultRowHeight="15.75" customHeight="1" x14ac:dyDescent="0.25"/>
  <cols>
    <col min="1" max="1" width="6.42578125" style="1" customWidth="1"/>
    <col min="2" max="2" width="36.5703125" style="17" customWidth="1"/>
    <col min="3" max="3" width="37.85546875" style="1" customWidth="1"/>
    <col min="4" max="4" width="0.5703125" style="1" customWidth="1"/>
    <col min="5" max="5" width="17.42578125" style="1" hidden="1" customWidth="1"/>
    <col min="6" max="6" width="21.140625" style="1" hidden="1" customWidth="1"/>
    <col min="7" max="7" width="19.85546875" style="1" hidden="1" customWidth="1"/>
    <col min="8" max="8" width="19.140625" style="1" hidden="1" customWidth="1"/>
    <col min="9" max="9" width="18" style="1" hidden="1" customWidth="1"/>
    <col min="10" max="10" width="20.28515625" style="1" customWidth="1"/>
    <col min="11" max="11" width="18.42578125" style="17" customWidth="1"/>
    <col min="12" max="12" width="19.7109375" style="1" customWidth="1"/>
    <col min="13" max="13" width="17.7109375" style="37" customWidth="1"/>
    <col min="14" max="14" width="22.42578125" style="1" customWidth="1"/>
    <col min="15" max="15" width="19.42578125" style="1" customWidth="1"/>
    <col min="16" max="16" width="20.42578125" style="42" customWidth="1"/>
    <col min="17" max="17" width="9.28515625" style="1" customWidth="1"/>
    <col min="18" max="18" width="22.5703125" style="1" customWidth="1"/>
    <col min="19" max="19" width="9.140625" style="1" customWidth="1"/>
    <col min="20" max="20" width="11.5703125" style="1" customWidth="1"/>
    <col min="21" max="21" width="12.28515625" style="1" customWidth="1"/>
    <col min="22" max="22" width="12.7109375" style="1" customWidth="1"/>
    <col min="23" max="23" width="12.28515625" style="1" customWidth="1"/>
    <col min="24" max="24" width="12.7109375" style="1" customWidth="1"/>
    <col min="25" max="25" width="11.5703125" style="1" customWidth="1"/>
    <col min="26" max="26" width="11" style="1" customWidth="1"/>
    <col min="27" max="27" width="13.7109375" style="1" customWidth="1"/>
    <col min="28" max="28" width="18.7109375" style="17" customWidth="1"/>
    <col min="29" max="29" width="15.140625" style="17" customWidth="1"/>
    <col min="30" max="30" width="16" style="17" customWidth="1"/>
    <col min="31" max="31" width="18.42578125" style="1" customWidth="1"/>
    <col min="32" max="32" width="8.85546875" style="1" customWidth="1"/>
    <col min="33" max="33" width="20.28515625" style="1" customWidth="1"/>
    <col min="34" max="241" width="8.85546875" style="1" customWidth="1"/>
  </cols>
  <sheetData>
    <row r="1" spans="1:241" ht="34.5" customHeight="1" x14ac:dyDescent="0.65">
      <c r="A1" s="161" t="s">
        <v>209</v>
      </c>
      <c r="B1" s="161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44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ht="54" customHeight="1" x14ac:dyDescent="0.25">
      <c r="A2" s="50" t="s">
        <v>178</v>
      </c>
      <c r="B2" s="50" t="s">
        <v>1</v>
      </c>
      <c r="C2" s="50" t="s">
        <v>0</v>
      </c>
      <c r="D2" s="50" t="s">
        <v>2</v>
      </c>
      <c r="E2" s="50" t="s">
        <v>3</v>
      </c>
      <c r="F2" s="50" t="s">
        <v>4</v>
      </c>
      <c r="G2" s="50" t="s">
        <v>5</v>
      </c>
      <c r="H2" s="50" t="s">
        <v>6</v>
      </c>
      <c r="I2" s="50" t="s">
        <v>7</v>
      </c>
      <c r="J2" s="50" t="s">
        <v>8</v>
      </c>
      <c r="K2" s="50" t="s">
        <v>157</v>
      </c>
      <c r="L2" s="50" t="s">
        <v>9</v>
      </c>
      <c r="M2" s="51" t="s">
        <v>10</v>
      </c>
      <c r="N2" s="50" t="s">
        <v>11</v>
      </c>
      <c r="O2" s="50" t="s">
        <v>12</v>
      </c>
      <c r="P2" s="50" t="s">
        <v>213</v>
      </c>
      <c r="Q2" s="50" t="s">
        <v>13</v>
      </c>
      <c r="R2" s="50" t="s">
        <v>186</v>
      </c>
      <c r="S2" s="50" t="s">
        <v>13</v>
      </c>
      <c r="T2" s="50" t="s">
        <v>14</v>
      </c>
      <c r="U2" s="50" t="s">
        <v>15</v>
      </c>
      <c r="V2" s="50" t="s">
        <v>16</v>
      </c>
      <c r="W2" s="50" t="s">
        <v>17</v>
      </c>
      <c r="X2" s="50" t="s">
        <v>18</v>
      </c>
      <c r="Y2" s="50" t="s">
        <v>19</v>
      </c>
      <c r="Z2" s="50" t="s">
        <v>20</v>
      </c>
      <c r="AA2" s="50" t="s">
        <v>21</v>
      </c>
      <c r="AB2" s="50" t="s">
        <v>189</v>
      </c>
      <c r="AC2" s="50" t="s">
        <v>191</v>
      </c>
      <c r="AD2" s="50" t="s">
        <v>192</v>
      </c>
      <c r="AE2" s="50" t="s">
        <v>188</v>
      </c>
      <c r="AF2" s="5"/>
    </row>
    <row r="3" spans="1:241" ht="18" customHeight="1" x14ac:dyDescent="0.25">
      <c r="A3" s="163" t="s">
        <v>22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5"/>
      <c r="AF3" s="5"/>
    </row>
    <row r="4" spans="1:241" ht="18" customHeight="1" x14ac:dyDescent="0.25">
      <c r="A4" s="52">
        <v>1</v>
      </c>
      <c r="B4" s="48" t="s">
        <v>32</v>
      </c>
      <c r="C4" s="48" t="s">
        <v>31</v>
      </c>
      <c r="D4" s="53">
        <v>321180927.23000002</v>
      </c>
      <c r="E4" s="54"/>
      <c r="F4" s="55">
        <v>67169154.219999999</v>
      </c>
      <c r="G4" s="55"/>
      <c r="H4" s="55"/>
      <c r="I4" s="55"/>
      <c r="J4" s="56">
        <v>388350081.44999999</v>
      </c>
      <c r="K4" s="57">
        <v>672543.9</v>
      </c>
      <c r="L4" s="56">
        <v>800836.39</v>
      </c>
      <c r="M4" s="58">
        <v>128292.49</v>
      </c>
      <c r="N4" s="59">
        <v>393588217.57999998</v>
      </c>
      <c r="O4" s="59">
        <v>10949232.6</v>
      </c>
      <c r="P4" s="60">
        <v>379049568.74000001</v>
      </c>
      <c r="Q4" s="61">
        <f t="shared" ref="Q4:Q15" si="0">(P4/$P$19)</f>
        <v>2.5054830624973663E-2</v>
      </c>
      <c r="R4" s="60">
        <v>382638984.98000002</v>
      </c>
      <c r="S4" s="61">
        <f t="shared" ref="S4:S18" si="1">(R4/$R$19)</f>
        <v>2.5203922744240895E-2</v>
      </c>
      <c r="T4" s="62">
        <f t="shared" ref="T4" si="2">((R4-P4)/P4)</f>
        <v>9.4695167493043207E-3</v>
      </c>
      <c r="U4" s="63">
        <f t="shared" ref="U4" si="3">(L4/R4)</f>
        <v>2.0929294228654162E-3</v>
      </c>
      <c r="V4" s="64">
        <f t="shared" ref="V4" si="4">M4/R4</f>
        <v>3.3528337424035786E-4</v>
      </c>
      <c r="W4" s="65">
        <f t="shared" ref="W4" si="5">R4/AE4</f>
        <v>178.53487989938529</v>
      </c>
      <c r="X4" s="65">
        <f t="shared" ref="X4" si="6">M4/AE4</f>
        <v>5.9859776952262932E-2</v>
      </c>
      <c r="Y4" s="55">
        <v>178.53489999999999</v>
      </c>
      <c r="Z4" s="55">
        <v>183.6437</v>
      </c>
      <c r="AA4" s="66">
        <v>1714</v>
      </c>
      <c r="AB4" s="66">
        <v>2143159.5281000002</v>
      </c>
      <c r="AC4" s="66">
        <v>57.445500000000003</v>
      </c>
      <c r="AD4" s="66"/>
      <c r="AE4" s="55">
        <v>2143216.9736000001</v>
      </c>
      <c r="AF4" s="5"/>
    </row>
    <row r="5" spans="1:241" ht="18" customHeight="1" x14ac:dyDescent="0.25">
      <c r="A5" s="52">
        <v>2</v>
      </c>
      <c r="B5" s="48" t="s">
        <v>49</v>
      </c>
      <c r="C5" s="48" t="s">
        <v>48</v>
      </c>
      <c r="D5" s="53">
        <v>308339417.19999999</v>
      </c>
      <c r="E5" s="54"/>
      <c r="F5" s="55">
        <v>69576723.409999996</v>
      </c>
      <c r="G5" s="55">
        <v>39012310.850000001</v>
      </c>
      <c r="H5" s="55"/>
      <c r="I5" s="55"/>
      <c r="J5" s="56">
        <v>416928451.45999998</v>
      </c>
      <c r="K5" s="56">
        <v>3253471.82</v>
      </c>
      <c r="L5" s="56">
        <v>4294033.6900000004</v>
      </c>
      <c r="M5" s="58">
        <v>-1040561.87</v>
      </c>
      <c r="N5" s="59">
        <v>419373319.12</v>
      </c>
      <c r="O5" s="59">
        <v>4294033.6900000004</v>
      </c>
      <c r="P5" s="60">
        <v>408150658.41000003</v>
      </c>
      <c r="Q5" s="61">
        <f t="shared" si="0"/>
        <v>2.6978386098490494E-2</v>
      </c>
      <c r="R5" s="60">
        <v>415079285.43000001</v>
      </c>
      <c r="S5" s="61">
        <f t="shared" si="1"/>
        <v>2.7340722334550541E-2</v>
      </c>
      <c r="T5" s="62">
        <f t="shared" ref="T5:T18" si="7">((R5-P5)/P5)</f>
        <v>1.6975660524452613E-2</v>
      </c>
      <c r="U5" s="63">
        <f t="shared" ref="U5:U18" si="8">(L5/R5)</f>
        <v>1.034509271054471E-2</v>
      </c>
      <c r="V5" s="64">
        <f t="shared" ref="V5:V18" si="9">M5/R5</f>
        <v>-2.5068990588678337E-3</v>
      </c>
      <c r="W5" s="65">
        <f t="shared" ref="W5:W18" si="10">R5/AE5</f>
        <v>139.18467131306238</v>
      </c>
      <c r="X5" s="65">
        <f t="shared" ref="X5:X18" si="11">M5/AE5</f>
        <v>-0.34892192152354484</v>
      </c>
      <c r="Y5" s="55">
        <v>139.09</v>
      </c>
      <c r="Z5" s="55">
        <v>140.63</v>
      </c>
      <c r="AA5" s="67">
        <v>302</v>
      </c>
      <c r="AB5" s="67">
        <v>3031970.17</v>
      </c>
      <c r="AC5" s="67">
        <v>148.25</v>
      </c>
      <c r="AD5" s="67">
        <v>49898.6</v>
      </c>
      <c r="AE5" s="67">
        <v>2982219.82</v>
      </c>
      <c r="AF5" s="5"/>
    </row>
    <row r="6" spans="1:241" s="19" customFormat="1" ht="15" x14ac:dyDescent="0.25">
      <c r="A6" s="52">
        <v>3</v>
      </c>
      <c r="B6" s="48" t="s">
        <v>36</v>
      </c>
      <c r="C6" s="49" t="s">
        <v>35</v>
      </c>
      <c r="D6" s="53">
        <v>1732733344.5599999</v>
      </c>
      <c r="E6" s="54"/>
      <c r="F6" s="55"/>
      <c r="G6" s="55">
        <v>27017951.640000001</v>
      </c>
      <c r="H6" s="55">
        <v>981480.5</v>
      </c>
      <c r="I6" s="55"/>
      <c r="J6" s="55">
        <v>1760732776.7</v>
      </c>
      <c r="K6" s="56">
        <v>5885244.96</v>
      </c>
      <c r="L6" s="56">
        <v>6975488.6200000001</v>
      </c>
      <c r="M6" s="58">
        <v>71767287.329999998</v>
      </c>
      <c r="N6" s="59">
        <v>2291116681</v>
      </c>
      <c r="O6" s="59">
        <v>79464814</v>
      </c>
      <c r="P6" s="60">
        <v>2165945770</v>
      </c>
      <c r="Q6" s="61">
        <f t="shared" si="0"/>
        <v>0.14316703905143233</v>
      </c>
      <c r="R6" s="60">
        <v>2211651867</v>
      </c>
      <c r="S6" s="61">
        <f t="shared" si="1"/>
        <v>0.1456785768860894</v>
      </c>
      <c r="T6" s="62">
        <f t="shared" si="7"/>
        <v>2.1102142829734837E-2</v>
      </c>
      <c r="U6" s="63">
        <f t="shared" si="8"/>
        <v>3.1539722521799585E-3</v>
      </c>
      <c r="V6" s="64">
        <f t="shared" si="9"/>
        <v>3.2449631156167849E-2</v>
      </c>
      <c r="W6" s="65">
        <f t="shared" si="10"/>
        <v>21.202759053129</v>
      </c>
      <c r="X6" s="65">
        <f t="shared" si="11"/>
        <v>0.6880217107671347</v>
      </c>
      <c r="Y6" s="55">
        <v>21.096800000000002</v>
      </c>
      <c r="Z6" s="55">
        <v>21.732900000000001</v>
      </c>
      <c r="AA6" s="67">
        <v>726</v>
      </c>
      <c r="AB6" s="67">
        <v>105628263</v>
      </c>
      <c r="AC6" s="67">
        <v>203382</v>
      </c>
      <c r="AD6" s="67">
        <v>1522018</v>
      </c>
      <c r="AE6" s="55">
        <v>104309626</v>
      </c>
      <c r="AF6" s="26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</row>
    <row r="7" spans="1:241" s="19" customFormat="1" ht="15" x14ac:dyDescent="0.25">
      <c r="A7" s="52">
        <v>4</v>
      </c>
      <c r="B7" s="68" t="s">
        <v>43</v>
      </c>
      <c r="C7" s="69" t="s">
        <v>42</v>
      </c>
      <c r="D7" s="53">
        <v>185662097.87</v>
      </c>
      <c r="E7" s="54"/>
      <c r="F7" s="55"/>
      <c r="G7" s="55"/>
      <c r="H7" s="55"/>
      <c r="I7" s="55"/>
      <c r="J7" s="56">
        <v>185662097.87</v>
      </c>
      <c r="K7" s="56">
        <v>1342874.26</v>
      </c>
      <c r="L7" s="56">
        <v>458702.8</v>
      </c>
      <c r="M7" s="58">
        <v>-1801577.06</v>
      </c>
      <c r="N7" s="59">
        <v>250759558.69</v>
      </c>
      <c r="O7" s="59">
        <v>1651630.87</v>
      </c>
      <c r="P7" s="60">
        <v>251395171.94</v>
      </c>
      <c r="Q7" s="61">
        <f t="shared" si="0"/>
        <v>1.6616991476418878E-2</v>
      </c>
      <c r="R7" s="60">
        <v>249107927.81999999</v>
      </c>
      <c r="S7" s="61">
        <f t="shared" si="1"/>
        <v>1.6408409007465315E-2</v>
      </c>
      <c r="T7" s="62">
        <f t="shared" si="7"/>
        <v>-9.0982022540428784E-3</v>
      </c>
      <c r="U7" s="63">
        <f t="shared" si="8"/>
        <v>1.8413817818413579E-3</v>
      </c>
      <c r="V7" s="64">
        <f t="shared" si="9"/>
        <v>-7.2321145126371918E-3</v>
      </c>
      <c r="W7" s="65">
        <f t="shared" si="10"/>
        <v>142.25845384361486</v>
      </c>
      <c r="X7" s="65">
        <f t="shared" si="11"/>
        <v>-1.0288294285877351</v>
      </c>
      <c r="Y7" s="55">
        <v>140.84</v>
      </c>
      <c r="Z7" s="55">
        <v>143.68</v>
      </c>
      <c r="AA7" s="67">
        <v>610</v>
      </c>
      <c r="AB7" s="55">
        <v>1772387.37</v>
      </c>
      <c r="AC7" s="55">
        <v>55278.21</v>
      </c>
      <c r="AD7" s="55">
        <v>76571.56</v>
      </c>
      <c r="AE7" s="55">
        <v>1751094.02</v>
      </c>
      <c r="AF7" s="26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</row>
    <row r="8" spans="1:241" ht="18" customHeight="1" x14ac:dyDescent="0.25">
      <c r="A8" s="52">
        <v>5</v>
      </c>
      <c r="B8" s="48" t="s">
        <v>38</v>
      </c>
      <c r="C8" s="48" t="s">
        <v>37</v>
      </c>
      <c r="D8" s="53">
        <v>271590758.14999998</v>
      </c>
      <c r="E8" s="54"/>
      <c r="F8" s="55">
        <v>75933967.269999996</v>
      </c>
      <c r="G8" s="55"/>
      <c r="H8" s="55"/>
      <c r="I8" s="55"/>
      <c r="J8" s="56">
        <v>345441238.42000002</v>
      </c>
      <c r="K8" s="56">
        <v>648634.46</v>
      </c>
      <c r="L8" s="56">
        <v>654149.32999999996</v>
      </c>
      <c r="M8" s="58">
        <v>-3635746.04</v>
      </c>
      <c r="N8" s="59">
        <v>349730932.75</v>
      </c>
      <c r="O8" s="59">
        <v>4289694.33</v>
      </c>
      <c r="P8" s="60">
        <v>361998551.25</v>
      </c>
      <c r="Q8" s="61">
        <f t="shared" si="0"/>
        <v>2.392777392730875E-2</v>
      </c>
      <c r="R8" s="60">
        <v>345441238.42000002</v>
      </c>
      <c r="S8" s="61">
        <f t="shared" si="1"/>
        <v>2.275375648476502E-2</v>
      </c>
      <c r="T8" s="62">
        <f t="shared" si="7"/>
        <v>-4.5738616281271606E-2</v>
      </c>
      <c r="U8" s="63">
        <f t="shared" si="8"/>
        <v>1.893663110380184E-3</v>
      </c>
      <c r="V8" s="64">
        <f t="shared" si="9"/>
        <v>-1.0524933434784436E-2</v>
      </c>
      <c r="W8" s="65">
        <f t="shared" si="10"/>
        <v>153.69344728307854</v>
      </c>
      <c r="X8" s="65">
        <f t="shared" si="11"/>
        <v>-1.6176133020169523</v>
      </c>
      <c r="Y8" s="55">
        <v>153.69</v>
      </c>
      <c r="Z8" s="55">
        <v>122.04</v>
      </c>
      <c r="AA8" s="67">
        <v>1444</v>
      </c>
      <c r="AB8" s="67">
        <v>2336840</v>
      </c>
      <c r="AC8" s="67">
        <v>321.39</v>
      </c>
      <c r="AD8" s="67">
        <v>89563</v>
      </c>
      <c r="AE8" s="55">
        <v>2247599</v>
      </c>
      <c r="AF8" s="5"/>
    </row>
    <row r="9" spans="1:241" ht="15" customHeight="1" x14ac:dyDescent="0.25">
      <c r="A9" s="52">
        <v>6</v>
      </c>
      <c r="B9" s="48" t="s">
        <v>28</v>
      </c>
      <c r="C9" s="49" t="s">
        <v>27</v>
      </c>
      <c r="D9" s="53">
        <v>125401648.7</v>
      </c>
      <c r="E9" s="53"/>
      <c r="F9" s="55">
        <v>127498644.38</v>
      </c>
      <c r="G9" s="55"/>
      <c r="H9" s="55"/>
      <c r="I9" s="55"/>
      <c r="J9" s="56">
        <v>252900293.08000001</v>
      </c>
      <c r="K9" s="56">
        <v>1591158.87</v>
      </c>
      <c r="L9" s="56">
        <v>844753.47</v>
      </c>
      <c r="M9" s="58">
        <v>746405.4</v>
      </c>
      <c r="N9" s="59">
        <v>259043541.75</v>
      </c>
      <c r="O9" s="59">
        <v>11422646.640000001</v>
      </c>
      <c r="P9" s="60">
        <v>251250993.03</v>
      </c>
      <c r="Q9" s="61">
        <f t="shared" si="0"/>
        <v>1.6607461382025811E-2</v>
      </c>
      <c r="R9" s="60">
        <v>247620895.11000001</v>
      </c>
      <c r="S9" s="61">
        <f t="shared" si="1"/>
        <v>1.6310460133952185E-2</v>
      </c>
      <c r="T9" s="62">
        <f t="shared" si="7"/>
        <v>-1.4448093821330863E-2</v>
      </c>
      <c r="U9" s="63">
        <f t="shared" si="8"/>
        <v>3.4114789449603486E-3</v>
      </c>
      <c r="V9" s="64">
        <f t="shared" si="9"/>
        <v>3.0143070101916326E-3</v>
      </c>
      <c r="W9" s="65">
        <f t="shared" si="10"/>
        <v>124.41016676388531</v>
      </c>
      <c r="X9" s="65">
        <f t="shared" si="11"/>
        <v>0.37501043781548959</v>
      </c>
      <c r="Y9" s="55">
        <v>124.41</v>
      </c>
      <c r="Z9" s="55">
        <v>126.96</v>
      </c>
      <c r="AA9" s="67">
        <v>2470</v>
      </c>
      <c r="AB9" s="67">
        <v>1990416</v>
      </c>
      <c r="AC9" s="67"/>
      <c r="AD9" s="67">
        <v>57</v>
      </c>
      <c r="AE9" s="55">
        <v>1990359</v>
      </c>
      <c r="AF9" s="5"/>
    </row>
    <row r="10" spans="1:241" ht="16.5" customHeight="1" x14ac:dyDescent="0.25">
      <c r="A10" s="52">
        <v>7</v>
      </c>
      <c r="B10" s="48" t="s">
        <v>163</v>
      </c>
      <c r="C10" s="48" t="s">
        <v>162</v>
      </c>
      <c r="D10" s="70">
        <v>17880384.600000001</v>
      </c>
      <c r="E10" s="53"/>
      <c r="F10" s="55">
        <v>5711605.4800000004</v>
      </c>
      <c r="G10" s="55"/>
      <c r="H10" s="55"/>
      <c r="I10" s="55"/>
      <c r="J10" s="56">
        <v>23591990.079999998</v>
      </c>
      <c r="K10" s="56">
        <v>61545.21</v>
      </c>
      <c r="L10" s="56">
        <v>25107.82</v>
      </c>
      <c r="M10" s="58">
        <v>36437.39</v>
      </c>
      <c r="N10" s="59">
        <v>24639625.314913828</v>
      </c>
      <c r="O10" s="59">
        <v>650660.19117380783</v>
      </c>
      <c r="P10" s="60">
        <v>23087310.675864901</v>
      </c>
      <c r="Q10" s="61">
        <f t="shared" si="0"/>
        <v>1.5260501693558563E-3</v>
      </c>
      <c r="R10" s="60">
        <v>23988965.123740017</v>
      </c>
      <c r="S10" s="61">
        <f t="shared" si="1"/>
        <v>1.5801213347997854E-3</v>
      </c>
      <c r="T10" s="62">
        <f t="shared" si="7"/>
        <v>3.9054113341043695E-2</v>
      </c>
      <c r="U10" s="63">
        <f t="shared" si="8"/>
        <v>1.046640397803269E-3</v>
      </c>
      <c r="V10" s="64">
        <f t="shared" si="9"/>
        <v>1.5189229636230011E-3</v>
      </c>
      <c r="W10" s="65">
        <f t="shared" si="10"/>
        <v>95.194306046587371</v>
      </c>
      <c r="X10" s="65">
        <f t="shared" si="11"/>
        <v>0.14459281746031746</v>
      </c>
      <c r="Y10" s="55">
        <v>93.65</v>
      </c>
      <c r="Z10" s="55">
        <v>96.51</v>
      </c>
      <c r="AA10" s="71">
        <v>2</v>
      </c>
      <c r="AB10" s="71">
        <v>253000</v>
      </c>
      <c r="AC10" s="72"/>
      <c r="AD10" s="72">
        <v>1000</v>
      </c>
      <c r="AE10" s="55">
        <v>252000</v>
      </c>
      <c r="AF10" s="5"/>
    </row>
    <row r="11" spans="1:241" ht="16.5" customHeight="1" x14ac:dyDescent="0.25">
      <c r="A11" s="52">
        <v>8</v>
      </c>
      <c r="B11" s="48" t="s">
        <v>26</v>
      </c>
      <c r="C11" s="49" t="s">
        <v>25</v>
      </c>
      <c r="D11" s="53">
        <v>661061087.39999998</v>
      </c>
      <c r="E11" s="53"/>
      <c r="F11" s="55">
        <v>55780184.380000003</v>
      </c>
      <c r="G11" s="55"/>
      <c r="H11" s="55"/>
      <c r="I11" s="55"/>
      <c r="J11" s="56">
        <v>930468521.70000005</v>
      </c>
      <c r="K11" s="54">
        <v>3681702.02</v>
      </c>
      <c r="L11" s="56">
        <v>198931.05</v>
      </c>
      <c r="M11" s="58">
        <v>3482770.97</v>
      </c>
      <c r="N11" s="59">
        <v>930468521.70000005</v>
      </c>
      <c r="O11" s="59">
        <v>4169486.08</v>
      </c>
      <c r="P11" s="60">
        <v>891767591.25999999</v>
      </c>
      <c r="Q11" s="61">
        <f t="shared" si="0"/>
        <v>5.8945024077275102E-2</v>
      </c>
      <c r="R11" s="60">
        <v>926299035.62</v>
      </c>
      <c r="S11" s="61">
        <f t="shared" si="1"/>
        <v>6.101408964654139E-2</v>
      </c>
      <c r="T11" s="62">
        <f t="shared" si="7"/>
        <v>3.8722470628484829E-2</v>
      </c>
      <c r="U11" s="63">
        <f t="shared" si="8"/>
        <v>2.1475899504402421E-4</v>
      </c>
      <c r="V11" s="64">
        <f t="shared" si="9"/>
        <v>3.7598775730872656E-3</v>
      </c>
      <c r="W11" s="65">
        <f t="shared" si="10"/>
        <v>1.8854578533333886</v>
      </c>
      <c r="X11" s="65">
        <f t="shared" si="11"/>
        <v>7.0890906977494669E-3</v>
      </c>
      <c r="Y11" s="55">
        <v>1.87</v>
      </c>
      <c r="Z11" s="55">
        <v>1.9</v>
      </c>
      <c r="AA11" s="67">
        <v>3679</v>
      </c>
      <c r="AB11" s="67">
        <v>491280743</v>
      </c>
      <c r="AC11" s="67">
        <v>5251</v>
      </c>
      <c r="AD11" s="67"/>
      <c r="AE11" s="55">
        <v>491285994</v>
      </c>
      <c r="AF11" s="5"/>
    </row>
    <row r="12" spans="1:241" ht="16.5" customHeight="1" x14ac:dyDescent="0.25">
      <c r="A12" s="52">
        <v>9</v>
      </c>
      <c r="B12" s="48" t="s">
        <v>40</v>
      </c>
      <c r="C12" s="48" t="s">
        <v>39</v>
      </c>
      <c r="D12" s="53">
        <v>195255808.55000001</v>
      </c>
      <c r="E12" s="54"/>
      <c r="F12" s="55">
        <v>65330002.509999998</v>
      </c>
      <c r="G12" s="55"/>
      <c r="H12" s="55"/>
      <c r="I12" s="55"/>
      <c r="J12" s="56">
        <v>260585811.06</v>
      </c>
      <c r="K12" s="56">
        <v>5539448.3099999996</v>
      </c>
      <c r="L12" s="56">
        <v>512645.23</v>
      </c>
      <c r="M12" s="58">
        <v>5167193.4000000004</v>
      </c>
      <c r="N12" s="59">
        <v>272413495.99000001</v>
      </c>
      <c r="O12" s="59">
        <v>2236289.0699999998</v>
      </c>
      <c r="P12" s="60">
        <v>264058007.94</v>
      </c>
      <c r="Q12" s="61">
        <f t="shared" si="0"/>
        <v>1.7453993381648426E-2</v>
      </c>
      <c r="R12" s="60">
        <v>270177206.92000002</v>
      </c>
      <c r="S12" s="61">
        <f t="shared" si="1"/>
        <v>1.7796214493989396E-2</v>
      </c>
      <c r="T12" s="62">
        <f t="shared" si="7"/>
        <v>2.3173692128247974E-2</v>
      </c>
      <c r="U12" s="63">
        <f t="shared" si="8"/>
        <v>1.897440705099136E-3</v>
      </c>
      <c r="V12" s="64">
        <f t="shared" si="9"/>
        <v>1.9125201044550053E-2</v>
      </c>
      <c r="W12" s="65">
        <f t="shared" si="10"/>
        <v>11.732088740590266</v>
      </c>
      <c r="X12" s="65">
        <f t="shared" si="11"/>
        <v>0.22437855583629088</v>
      </c>
      <c r="Y12" s="55">
        <v>11.77</v>
      </c>
      <c r="Z12" s="55">
        <v>11.86</v>
      </c>
      <c r="AA12" s="67">
        <v>183</v>
      </c>
      <c r="AB12" s="67">
        <v>22997208.949999999</v>
      </c>
      <c r="AC12" s="67">
        <v>192089.25</v>
      </c>
      <c r="AD12" s="67">
        <v>160388.95000000001</v>
      </c>
      <c r="AE12" s="55">
        <v>23028909.25</v>
      </c>
      <c r="AF12" s="5"/>
    </row>
    <row r="13" spans="1:241" ht="16.5" customHeight="1" x14ac:dyDescent="0.25">
      <c r="A13" s="52">
        <v>10</v>
      </c>
      <c r="B13" s="69" t="s">
        <v>47</v>
      </c>
      <c r="C13" s="69" t="s">
        <v>46</v>
      </c>
      <c r="D13" s="53">
        <v>206409303.5</v>
      </c>
      <c r="E13" s="54"/>
      <c r="F13" s="55">
        <v>66859072.600000001</v>
      </c>
      <c r="G13" s="55">
        <v>1525564.22</v>
      </c>
      <c r="H13" s="55"/>
      <c r="I13" s="55"/>
      <c r="J13" s="56">
        <v>264978845.77000001</v>
      </c>
      <c r="K13" s="56">
        <v>962912.97</v>
      </c>
      <c r="L13" s="56">
        <v>333472.83</v>
      </c>
      <c r="M13" s="58">
        <v>629440.14</v>
      </c>
      <c r="N13" s="59">
        <v>276046922.41000003</v>
      </c>
      <c r="O13" s="59">
        <v>4095259.38</v>
      </c>
      <c r="P13" s="60">
        <v>256302024.43000001</v>
      </c>
      <c r="Q13" s="61">
        <f t="shared" si="0"/>
        <v>1.69413299486861E-2</v>
      </c>
      <c r="R13" s="60">
        <v>271951663.02999997</v>
      </c>
      <c r="S13" s="61">
        <f t="shared" si="1"/>
        <v>1.7913095565874487E-2</v>
      </c>
      <c r="T13" s="62">
        <f t="shared" si="7"/>
        <v>6.105936398592169E-2</v>
      </c>
      <c r="U13" s="63">
        <f t="shared" si="8"/>
        <v>1.2262209625216133E-3</v>
      </c>
      <c r="V13" s="64">
        <f t="shared" si="9"/>
        <v>2.3145294755214062E-3</v>
      </c>
      <c r="W13" s="65">
        <f t="shared" si="10"/>
        <v>1.382457984946647</v>
      </c>
      <c r="X13" s="65">
        <f t="shared" si="11"/>
        <v>3.1997397548289429E-3</v>
      </c>
      <c r="Y13" s="55">
        <v>1.3825000000000001</v>
      </c>
      <c r="Z13" s="55">
        <v>1.4033</v>
      </c>
      <c r="AA13" s="67">
        <v>16</v>
      </c>
      <c r="AB13" s="67">
        <v>196644377</v>
      </c>
      <c r="AC13" s="67">
        <v>71665</v>
      </c>
      <c r="AD13" s="67"/>
      <c r="AE13" s="55">
        <v>196716042</v>
      </c>
      <c r="AF13" s="5"/>
    </row>
    <row r="14" spans="1:241" ht="16.5" customHeight="1" x14ac:dyDescent="0.25">
      <c r="A14" s="52">
        <v>11</v>
      </c>
      <c r="B14" s="48" t="s">
        <v>30</v>
      </c>
      <c r="C14" s="48" t="s">
        <v>29</v>
      </c>
      <c r="D14" s="53">
        <v>556245009.79999995</v>
      </c>
      <c r="E14" s="54"/>
      <c r="F14" s="55">
        <v>112877289.23</v>
      </c>
      <c r="G14" s="55">
        <v>10095096.699999999</v>
      </c>
      <c r="H14" s="55"/>
      <c r="I14" s="55"/>
      <c r="J14" s="56">
        <v>684172778.59000003</v>
      </c>
      <c r="K14" s="56">
        <v>2687724.72</v>
      </c>
      <c r="L14" s="56">
        <v>1163100.54</v>
      </c>
      <c r="M14" s="58">
        <v>1524624.18</v>
      </c>
      <c r="N14" s="59">
        <v>684172778.59000003</v>
      </c>
      <c r="O14" s="59">
        <v>9360804.9100000001</v>
      </c>
      <c r="P14" s="60">
        <v>673313358.89999998</v>
      </c>
      <c r="Q14" s="61">
        <f t="shared" si="0"/>
        <v>4.4505398649702738E-2</v>
      </c>
      <c r="R14" s="60">
        <v>680968003.22000003</v>
      </c>
      <c r="S14" s="61">
        <f t="shared" si="1"/>
        <v>4.4854459734033514E-2</v>
      </c>
      <c r="T14" s="62">
        <f t="shared" si="7"/>
        <v>1.1368620893703246E-2</v>
      </c>
      <c r="U14" s="63">
        <f t="shared" si="8"/>
        <v>1.7080105592336291E-3</v>
      </c>
      <c r="V14" s="64">
        <f t="shared" si="9"/>
        <v>2.2389072214710802E-3</v>
      </c>
      <c r="W14" s="65">
        <f t="shared" si="10"/>
        <v>18.020195404435526</v>
      </c>
      <c r="X14" s="65">
        <f t="shared" si="11"/>
        <v>4.0345545623310677E-2</v>
      </c>
      <c r="Y14" s="55">
        <v>17.79</v>
      </c>
      <c r="Z14" s="55">
        <v>18.100000000000001</v>
      </c>
      <c r="AA14" s="67">
        <v>8834</v>
      </c>
      <c r="AB14" s="67">
        <v>37829577.700000003</v>
      </c>
      <c r="AC14" s="67"/>
      <c r="AD14" s="67">
        <v>40420.15</v>
      </c>
      <c r="AE14" s="55">
        <v>37789157.549999997</v>
      </c>
      <c r="AF14" s="5"/>
    </row>
    <row r="15" spans="1:241" ht="15.95" customHeight="1" x14ac:dyDescent="0.25">
      <c r="A15" s="52">
        <v>12</v>
      </c>
      <c r="B15" s="49" t="s">
        <v>41</v>
      </c>
      <c r="C15" s="48" t="s">
        <v>23</v>
      </c>
      <c r="D15" s="73">
        <v>214009025.47999999</v>
      </c>
      <c r="E15" s="73"/>
      <c r="F15" s="73">
        <v>83542785.349999994</v>
      </c>
      <c r="G15" s="73"/>
      <c r="H15" s="73"/>
      <c r="I15" s="73">
        <v>19571.650000000001</v>
      </c>
      <c r="J15" s="73">
        <v>297841929.68000001</v>
      </c>
      <c r="K15" s="73">
        <v>1610915.24</v>
      </c>
      <c r="L15" s="73">
        <v>620737.51</v>
      </c>
      <c r="M15" s="74">
        <v>-13117201.449999999</v>
      </c>
      <c r="N15" s="73">
        <v>321878211.30000001</v>
      </c>
      <c r="O15" s="73">
        <v>4339450.5</v>
      </c>
      <c r="P15" s="75">
        <v>323565511.04000002</v>
      </c>
      <c r="Q15" s="61">
        <f t="shared" si="0"/>
        <v>2.1387385038158336E-2</v>
      </c>
      <c r="R15" s="75">
        <v>317538760.80000001</v>
      </c>
      <c r="S15" s="61">
        <f t="shared" si="1"/>
        <v>2.0915857269283491E-2</v>
      </c>
      <c r="T15" s="62">
        <f t="shared" si="7"/>
        <v>-1.862605881766851E-2</v>
      </c>
      <c r="U15" s="63">
        <f t="shared" si="8"/>
        <v>1.9548401223086209E-3</v>
      </c>
      <c r="V15" s="64">
        <f t="shared" si="9"/>
        <v>-4.1308977262973556E-2</v>
      </c>
      <c r="W15" s="65">
        <f t="shared" si="10"/>
        <v>3074.2842371497054</v>
      </c>
      <c r="X15" s="65">
        <f t="shared" si="11"/>
        <v>-126.99553765233519</v>
      </c>
      <c r="Y15" s="73">
        <v>3053.05</v>
      </c>
      <c r="Z15" s="73">
        <v>3088.84</v>
      </c>
      <c r="AA15" s="76">
        <v>19</v>
      </c>
      <c r="AB15" s="73">
        <v>103613.61</v>
      </c>
      <c r="AC15" s="76">
        <v>0</v>
      </c>
      <c r="AD15" s="76">
        <v>324.93</v>
      </c>
      <c r="AE15" s="73">
        <v>103288.68</v>
      </c>
      <c r="AF15" s="5"/>
    </row>
    <row r="16" spans="1:241" ht="15.95" customHeight="1" x14ac:dyDescent="0.25">
      <c r="A16" s="52">
        <v>13</v>
      </c>
      <c r="B16" s="48" t="s">
        <v>24</v>
      </c>
      <c r="C16" s="48" t="s">
        <v>23</v>
      </c>
      <c r="D16" s="73">
        <v>4472119113.0100002</v>
      </c>
      <c r="E16" s="73"/>
      <c r="F16" s="73">
        <v>2044999072.5999999</v>
      </c>
      <c r="G16" s="73">
        <v>55642963.710000001</v>
      </c>
      <c r="H16" s="73"/>
      <c r="I16" s="73"/>
      <c r="J16" s="73">
        <v>6587610416.7200003</v>
      </c>
      <c r="K16" s="73">
        <v>116478136.59999999</v>
      </c>
      <c r="L16" s="73">
        <v>22765337.640000001</v>
      </c>
      <c r="M16" s="74">
        <v>-71283982.859999999</v>
      </c>
      <c r="N16" s="73">
        <v>6844357264.5200005</v>
      </c>
      <c r="O16" s="73">
        <v>45623466.530000001</v>
      </c>
      <c r="P16" s="75">
        <v>6876230858.9099998</v>
      </c>
      <c r="Q16" s="78"/>
      <c r="R16" s="77">
        <v>6798733797.9899998</v>
      </c>
      <c r="S16" s="61">
        <f t="shared" si="1"/>
        <v>0.44782358340239664</v>
      </c>
      <c r="T16" s="62">
        <f t="shared" si="7"/>
        <v>-1.1270282006250833E-2</v>
      </c>
      <c r="U16" s="63">
        <f t="shared" si="8"/>
        <v>3.3484672758816387E-3</v>
      </c>
      <c r="V16" s="64">
        <f t="shared" si="9"/>
        <v>-1.0484891007362964E-2</v>
      </c>
      <c r="W16" s="65">
        <f t="shared" si="10"/>
        <v>11556.154687932003</v>
      </c>
      <c r="X16" s="65">
        <f t="shared" si="11"/>
        <v>-121.16502236719361</v>
      </c>
      <c r="Y16" s="73">
        <v>11478.24</v>
      </c>
      <c r="Z16" s="73">
        <v>11609.56</v>
      </c>
      <c r="AA16" s="76">
        <v>16937</v>
      </c>
      <c r="AB16" s="73">
        <v>585932.13</v>
      </c>
      <c r="AC16" s="76">
        <v>3985.3</v>
      </c>
      <c r="AD16" s="76">
        <v>1595.97</v>
      </c>
      <c r="AE16" s="73">
        <v>588321.46</v>
      </c>
      <c r="AF16" s="5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</row>
    <row r="17" spans="1:241" ht="16.5" customHeight="1" x14ac:dyDescent="0.25">
      <c r="A17" s="52">
        <v>14</v>
      </c>
      <c r="B17" s="48" t="s">
        <v>34</v>
      </c>
      <c r="C17" s="48" t="s">
        <v>33</v>
      </c>
      <c r="D17" s="53">
        <v>1383830099</v>
      </c>
      <c r="E17" s="54"/>
      <c r="F17" s="55">
        <v>9953827</v>
      </c>
      <c r="G17" s="55"/>
      <c r="H17" s="55"/>
      <c r="I17" s="55"/>
      <c r="J17" s="56">
        <v>1393783926</v>
      </c>
      <c r="K17" s="56">
        <v>38944097</v>
      </c>
      <c r="L17" s="56">
        <v>2985050</v>
      </c>
      <c r="M17" s="58">
        <v>17627589</v>
      </c>
      <c r="N17" s="59">
        <v>1969402086</v>
      </c>
      <c r="O17" s="59">
        <v>22944829.309999999</v>
      </c>
      <c r="P17" s="60">
        <v>1699382098</v>
      </c>
      <c r="Q17" s="61">
        <f>(P17/$P$19)</f>
        <v>0.11232760605436164</v>
      </c>
      <c r="R17" s="60">
        <v>1733461418</v>
      </c>
      <c r="S17" s="61">
        <f t="shared" si="1"/>
        <v>0.11418080586241856</v>
      </c>
      <c r="T17" s="62">
        <f t="shared" si="7"/>
        <v>2.0053947867350076E-2</v>
      </c>
      <c r="U17" s="63">
        <f t="shared" si="8"/>
        <v>1.722016982324322E-3</v>
      </c>
      <c r="V17" s="64">
        <f t="shared" si="9"/>
        <v>1.0169011445514619E-2</v>
      </c>
      <c r="W17" s="65">
        <f t="shared" si="10"/>
        <v>0.90885874388507171</v>
      </c>
      <c r="X17" s="65">
        <f t="shared" si="11"/>
        <v>9.2421949689233326E-3</v>
      </c>
      <c r="Y17" s="55">
        <v>0.91</v>
      </c>
      <c r="Z17" s="55">
        <v>0.93</v>
      </c>
      <c r="AA17" s="67">
        <v>2762</v>
      </c>
      <c r="AB17" s="67">
        <v>1909371226</v>
      </c>
      <c r="AC17" s="67">
        <v>562873</v>
      </c>
      <c r="AD17" s="67">
        <v>2639450</v>
      </c>
      <c r="AE17" s="55">
        <v>1907294648</v>
      </c>
      <c r="AF17" s="5"/>
    </row>
    <row r="18" spans="1:241" ht="16.5" customHeight="1" x14ac:dyDescent="0.25">
      <c r="A18" s="52">
        <v>15</v>
      </c>
      <c r="B18" s="79" t="s">
        <v>45</v>
      </c>
      <c r="C18" s="48" t="s">
        <v>44</v>
      </c>
      <c r="D18" s="53">
        <v>224382547.5</v>
      </c>
      <c r="E18" s="54"/>
      <c r="F18" s="55">
        <v>86543001.670000002</v>
      </c>
      <c r="G18" s="55"/>
      <c r="H18" s="55"/>
      <c r="I18" s="55"/>
      <c r="J18" s="56">
        <v>310925549.17000002</v>
      </c>
      <c r="K18" s="56">
        <v>1278188.05</v>
      </c>
      <c r="L18" s="56">
        <v>627982.5</v>
      </c>
      <c r="M18" s="58">
        <v>-5711065.5</v>
      </c>
      <c r="N18" s="59">
        <v>313731695.13999999</v>
      </c>
      <c r="O18" s="59">
        <v>6667293.7400000002</v>
      </c>
      <c r="P18" s="60">
        <v>303304408.57999998</v>
      </c>
      <c r="Q18" s="61">
        <f>(P18/$P$19)</f>
        <v>2.0048144653060471E-2</v>
      </c>
      <c r="R18" s="60">
        <v>307064401.39999998</v>
      </c>
      <c r="S18" s="61">
        <f t="shared" si="1"/>
        <v>2.0225925099599282E-2</v>
      </c>
      <c r="T18" s="62">
        <f t="shared" si="7"/>
        <v>1.239676283507845E-2</v>
      </c>
      <c r="U18" s="63">
        <f t="shared" si="8"/>
        <v>2.0451165851099536E-3</v>
      </c>
      <c r="V18" s="64">
        <f t="shared" si="9"/>
        <v>-1.8598917601524358E-2</v>
      </c>
      <c r="W18" s="65">
        <f t="shared" si="10"/>
        <v>1.2042378349219494</v>
      </c>
      <c r="X18" s="65">
        <f t="shared" si="11"/>
        <v>-2.2397520264351427E-2</v>
      </c>
      <c r="Y18" s="55">
        <v>1.1299999999999999</v>
      </c>
      <c r="Z18" s="55">
        <v>1.17</v>
      </c>
      <c r="AA18" s="67">
        <v>153</v>
      </c>
      <c r="AB18" s="55">
        <v>255027762.66</v>
      </c>
      <c r="AC18" s="67">
        <v>660950</v>
      </c>
      <c r="AD18" s="67">
        <v>702203.77</v>
      </c>
      <c r="AE18" s="55">
        <v>254986508.88999999</v>
      </c>
      <c r="AF18" s="24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</row>
    <row r="19" spans="1:241" ht="16.5" customHeight="1" x14ac:dyDescent="0.25">
      <c r="A19" s="80"/>
      <c r="B19" s="23"/>
      <c r="C19" s="81" t="s">
        <v>50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>
        <f>SUM(P4:P18)</f>
        <v>15128801883.105864</v>
      </c>
      <c r="Q19" s="84">
        <f>(P19/$P$153)</f>
        <v>1.1006443317754045E-2</v>
      </c>
      <c r="R19" s="83">
        <f>SUM(R4:R18)</f>
        <v>15181723450.863741</v>
      </c>
      <c r="S19" s="84">
        <f>(R19/$R$153)</f>
        <v>1.1081345179337787E-2</v>
      </c>
      <c r="T19" s="85">
        <f>((R19-P19)/P19)</f>
        <v>3.4980673398185072E-3</v>
      </c>
      <c r="U19" s="86"/>
      <c r="V19" s="87"/>
      <c r="W19" s="88"/>
      <c r="X19" s="88"/>
      <c r="Y19" s="82"/>
      <c r="Z19" s="82"/>
      <c r="AA19" s="89">
        <f>SUM(AA4:AA18)</f>
        <v>39851</v>
      </c>
      <c r="AB19" s="89"/>
      <c r="AC19" s="89"/>
      <c r="AD19" s="89"/>
      <c r="AE19" s="82"/>
      <c r="AF19" s="5"/>
    </row>
    <row r="20" spans="1:241" ht="15.75" customHeight="1" x14ac:dyDescent="0.25">
      <c r="A20" s="155" t="s">
        <v>51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7"/>
      <c r="AF20" s="5"/>
    </row>
    <row r="21" spans="1:241" ht="18" customHeight="1" x14ac:dyDescent="0.25">
      <c r="A21" s="52">
        <v>16</v>
      </c>
      <c r="B21" s="90" t="s">
        <v>66</v>
      </c>
      <c r="C21" s="48" t="s">
        <v>44</v>
      </c>
      <c r="D21" s="55"/>
      <c r="E21" s="55"/>
      <c r="F21" s="55">
        <v>12854538547.51</v>
      </c>
      <c r="G21" s="55"/>
      <c r="H21" s="55"/>
      <c r="I21" s="55"/>
      <c r="J21" s="55">
        <v>12854538547.51</v>
      </c>
      <c r="K21" s="55">
        <v>141530654.62</v>
      </c>
      <c r="L21" s="55">
        <v>11736375.380000001</v>
      </c>
      <c r="M21" s="58">
        <v>129794279.23</v>
      </c>
      <c r="N21" s="72">
        <v>13091200843.120001</v>
      </c>
      <c r="O21" s="72">
        <v>205144496.52000001</v>
      </c>
      <c r="P21" s="75">
        <v>12057019389.65</v>
      </c>
      <c r="Q21" s="61">
        <f t="shared" ref="Q21:Q49" si="12">(P21/$P$50)</f>
        <v>2.0842398141474615E-2</v>
      </c>
      <c r="R21" s="75">
        <v>12886056346.6</v>
      </c>
      <c r="S21" s="61">
        <f t="shared" ref="S21" si="13">(R21/$R$50)</f>
        <v>2.2102203127579524E-2</v>
      </c>
      <c r="T21" s="62">
        <f t="shared" ref="T21:T50" si="14">((R21-P21)/P21)</f>
        <v>6.8759693433160074E-2</v>
      </c>
      <c r="U21" s="63">
        <f t="shared" ref="U21" si="15">(L21/R21)</f>
        <v>9.1078100734028338E-4</v>
      </c>
      <c r="V21" s="64">
        <f t="shared" ref="V21" si="16">M21/R21</f>
        <v>1.0072459388573632E-2</v>
      </c>
      <c r="W21" s="65">
        <f t="shared" ref="W21" si="17">R21/AE21</f>
        <v>99.99999999689588</v>
      </c>
      <c r="X21" s="65">
        <f t="shared" ref="X21" si="18">M21/AE21</f>
        <v>1.007245938826097</v>
      </c>
      <c r="Y21" s="72">
        <v>100</v>
      </c>
      <c r="Z21" s="72">
        <v>100</v>
      </c>
      <c r="AA21" s="67">
        <v>5924</v>
      </c>
      <c r="AB21" s="67">
        <v>120570193.90000001</v>
      </c>
      <c r="AC21" s="67">
        <v>16391788.35</v>
      </c>
      <c r="AD21" s="67">
        <v>8101418.7800000003</v>
      </c>
      <c r="AE21" s="55">
        <v>128860563.47</v>
      </c>
      <c r="AF21" s="5"/>
    </row>
    <row r="22" spans="1:241" ht="18" customHeight="1" x14ac:dyDescent="0.25">
      <c r="A22" s="52">
        <v>17</v>
      </c>
      <c r="B22" s="48" t="s">
        <v>73</v>
      </c>
      <c r="C22" s="48" t="s">
        <v>31</v>
      </c>
      <c r="D22" s="55"/>
      <c r="E22" s="55"/>
      <c r="F22" s="55">
        <v>637739298.86000001</v>
      </c>
      <c r="G22" s="55"/>
      <c r="H22" s="55"/>
      <c r="I22" s="55"/>
      <c r="J22" s="55">
        <v>637739298.86000001</v>
      </c>
      <c r="K22" s="55">
        <v>7176780.54</v>
      </c>
      <c r="L22" s="55">
        <v>1343117.3</v>
      </c>
      <c r="M22" s="58">
        <v>5833663.2400000002</v>
      </c>
      <c r="N22" s="72">
        <v>656388856.53999996</v>
      </c>
      <c r="O22" s="72">
        <v>28997148.77</v>
      </c>
      <c r="P22" s="75">
        <v>625001757.15999997</v>
      </c>
      <c r="Q22" s="61">
        <f t="shared" si="12"/>
        <v>1.0804109241984139E-3</v>
      </c>
      <c r="R22" s="75">
        <v>627391707.76999998</v>
      </c>
      <c r="S22" s="61">
        <f t="shared" ref="S22:S49" si="19">(R22/$R$50)</f>
        <v>1.0761041697097892E-3</v>
      </c>
      <c r="T22" s="62">
        <f t="shared" ref="T22:T49" si="20">((R22-P22)/P22)</f>
        <v>3.8239102252446769E-3</v>
      </c>
      <c r="U22" s="63">
        <f t="shared" ref="U22:U49" si="21">(L22/R22)</f>
        <v>2.1407954287027062E-3</v>
      </c>
      <c r="V22" s="64">
        <f t="shared" ref="V22:V49" si="22">M22/R22</f>
        <v>9.2982791575858779E-3</v>
      </c>
      <c r="W22" s="65">
        <f t="shared" ref="W22:W49" si="23">R22/AE22</f>
        <v>100.816263830683</v>
      </c>
      <c r="X22" s="65">
        <f t="shared" ref="X22:X49" si="24">M22/AE22</f>
        <v>0.9374177647225187</v>
      </c>
      <c r="Y22" s="72">
        <v>100</v>
      </c>
      <c r="Z22" s="72">
        <v>100</v>
      </c>
      <c r="AA22" s="67">
        <v>661</v>
      </c>
      <c r="AB22" s="67">
        <v>6194720</v>
      </c>
      <c r="AC22" s="67">
        <v>135850</v>
      </c>
      <c r="AD22" s="67">
        <v>107450</v>
      </c>
      <c r="AE22" s="55">
        <v>6223120</v>
      </c>
      <c r="AF22" s="5"/>
    </row>
    <row r="23" spans="1:241" ht="18" customHeight="1" x14ac:dyDescent="0.25">
      <c r="A23" s="52">
        <v>18</v>
      </c>
      <c r="B23" s="48" t="s">
        <v>57</v>
      </c>
      <c r="C23" s="48" t="s">
        <v>56</v>
      </c>
      <c r="D23" s="55"/>
      <c r="E23" s="55"/>
      <c r="F23" s="55">
        <v>1079602997.48</v>
      </c>
      <c r="G23" s="55"/>
      <c r="H23" s="55"/>
      <c r="I23" s="55"/>
      <c r="J23" s="55">
        <v>1079602997.48</v>
      </c>
      <c r="K23" s="55">
        <v>12498222.15</v>
      </c>
      <c r="L23" s="55">
        <v>2014416.54</v>
      </c>
      <c r="M23" s="58">
        <v>10432489.68</v>
      </c>
      <c r="N23" s="91">
        <v>1142496810.8499999</v>
      </c>
      <c r="O23" s="72">
        <v>21656671.690000001</v>
      </c>
      <c r="P23" s="75">
        <v>1084840750.8099999</v>
      </c>
      <c r="Q23" s="61">
        <f t="shared" si="12"/>
        <v>1.8753128047457367E-3</v>
      </c>
      <c r="R23" s="75">
        <v>1120840139.1600001</v>
      </c>
      <c r="S23" s="61">
        <f t="shared" si="19"/>
        <v>1.9224684234595338E-3</v>
      </c>
      <c r="T23" s="62">
        <f t="shared" si="20"/>
        <v>3.3184030304098625E-2</v>
      </c>
      <c r="U23" s="63">
        <f t="shared" si="21"/>
        <v>1.7972380445883031E-3</v>
      </c>
      <c r="V23" s="64">
        <f t="shared" si="22"/>
        <v>9.307740966359843E-3</v>
      </c>
      <c r="W23" s="65">
        <f t="shared" si="23"/>
        <v>102.03719032814935</v>
      </c>
      <c r="X23" s="65">
        <f t="shared" si="24"/>
        <v>0.9497357365095721</v>
      </c>
      <c r="Y23" s="72">
        <v>100</v>
      </c>
      <c r="Z23" s="72">
        <v>100</v>
      </c>
      <c r="AA23" s="67">
        <v>823</v>
      </c>
      <c r="AB23" s="67">
        <v>10720389.869999999</v>
      </c>
      <c r="AC23" s="67">
        <v>615685</v>
      </c>
      <c r="AD23" s="67">
        <v>351451.11</v>
      </c>
      <c r="AE23" s="55">
        <v>10984623.699999999</v>
      </c>
      <c r="AF23" s="5"/>
    </row>
    <row r="24" spans="1:241" ht="18" customHeight="1" x14ac:dyDescent="0.25">
      <c r="A24" s="52">
        <v>19</v>
      </c>
      <c r="B24" s="48" t="s">
        <v>81</v>
      </c>
      <c r="C24" s="48" t="s">
        <v>48</v>
      </c>
      <c r="D24" s="55"/>
      <c r="E24" s="55"/>
      <c r="F24" s="55">
        <v>478947595.30000001</v>
      </c>
      <c r="G24" s="55"/>
      <c r="H24" s="55"/>
      <c r="I24" s="55"/>
      <c r="J24" s="55">
        <v>478947595.30000001</v>
      </c>
      <c r="K24" s="55">
        <v>3617311.31</v>
      </c>
      <c r="L24" s="55">
        <v>652636.31999999995</v>
      </c>
      <c r="M24" s="58">
        <v>2964674.99</v>
      </c>
      <c r="N24" s="72">
        <v>487521603.74000001</v>
      </c>
      <c r="O24" s="72">
        <v>652636.31999999995</v>
      </c>
      <c r="P24" s="75">
        <v>488783701.47000003</v>
      </c>
      <c r="Q24" s="61">
        <f t="shared" si="12"/>
        <v>8.4493722551748677E-4</v>
      </c>
      <c r="R24" s="75">
        <v>486868967.42000002</v>
      </c>
      <c r="S24" s="61">
        <f t="shared" si="19"/>
        <v>8.350791370915437E-4</v>
      </c>
      <c r="T24" s="62">
        <f t="shared" si="20"/>
        <v>-3.9173443063701095E-3</v>
      </c>
      <c r="U24" s="63">
        <f t="shared" si="21"/>
        <v>1.3404763163658363E-3</v>
      </c>
      <c r="V24" s="64">
        <f t="shared" si="22"/>
        <v>6.0892666988210569E-3</v>
      </c>
      <c r="W24" s="65">
        <f t="shared" si="23"/>
        <v>101.1420169301131</v>
      </c>
      <c r="X24" s="65">
        <f t="shared" si="24"/>
        <v>0.61588071554413326</v>
      </c>
      <c r="Y24" s="72">
        <v>100</v>
      </c>
      <c r="Z24" s="72">
        <v>100</v>
      </c>
      <c r="AA24" s="67">
        <v>1073</v>
      </c>
      <c r="AB24" s="67">
        <v>4826216.88</v>
      </c>
      <c r="AC24" s="67">
        <v>685489.96</v>
      </c>
      <c r="AD24" s="67">
        <v>697990.62</v>
      </c>
      <c r="AE24" s="55">
        <v>4813716.22</v>
      </c>
      <c r="AF24" s="5"/>
    </row>
    <row r="25" spans="1:241" ht="18" customHeight="1" x14ac:dyDescent="0.25">
      <c r="A25" s="52">
        <v>20</v>
      </c>
      <c r="B25" s="48" t="s">
        <v>58</v>
      </c>
      <c r="C25" s="49" t="s">
        <v>35</v>
      </c>
      <c r="D25" s="55"/>
      <c r="E25" s="55"/>
      <c r="F25" s="55">
        <v>17062294165.74</v>
      </c>
      <c r="G25" s="55"/>
      <c r="H25" s="55"/>
      <c r="I25" s="92"/>
      <c r="J25" s="55">
        <v>17062294165.74</v>
      </c>
      <c r="K25" s="55">
        <v>662568200.16999996</v>
      </c>
      <c r="L25" s="55">
        <v>118785913.43000001</v>
      </c>
      <c r="M25" s="58">
        <v>543782286.74000001</v>
      </c>
      <c r="N25" s="72">
        <v>67936453561</v>
      </c>
      <c r="O25" s="72">
        <v>2001142799</v>
      </c>
      <c r="P25" s="75">
        <v>66631897134</v>
      </c>
      <c r="Q25" s="61">
        <f t="shared" si="12"/>
        <v>0.11518340346875097</v>
      </c>
      <c r="R25" s="75">
        <v>65935310762</v>
      </c>
      <c r="S25" s="61">
        <f t="shared" si="19"/>
        <v>0.11309244601637324</v>
      </c>
      <c r="T25" s="62">
        <f t="shared" si="20"/>
        <v>-1.0454247919718251E-2</v>
      </c>
      <c r="U25" s="63">
        <f t="shared" si="21"/>
        <v>1.8015523405777135E-3</v>
      </c>
      <c r="V25" s="64">
        <f t="shared" si="22"/>
        <v>8.2472089758223142E-3</v>
      </c>
      <c r="W25" s="65">
        <f t="shared" si="23"/>
        <v>1</v>
      </c>
      <c r="X25" s="65">
        <f t="shared" si="24"/>
        <v>8.2472089758223142E-3</v>
      </c>
      <c r="Y25" s="72">
        <v>1</v>
      </c>
      <c r="Z25" s="72">
        <v>1</v>
      </c>
      <c r="AA25" s="67">
        <v>28873</v>
      </c>
      <c r="AB25" s="67">
        <v>66631897134</v>
      </c>
      <c r="AC25" s="67">
        <v>6037666468</v>
      </c>
      <c r="AD25" s="67">
        <v>6734252839</v>
      </c>
      <c r="AE25" s="55">
        <v>65935310762</v>
      </c>
      <c r="AF25" s="5"/>
    </row>
    <row r="26" spans="1:241" ht="18" customHeight="1" x14ac:dyDescent="0.25">
      <c r="A26" s="52">
        <v>21</v>
      </c>
      <c r="B26" s="90" t="s">
        <v>60</v>
      </c>
      <c r="C26" s="48" t="s">
        <v>183</v>
      </c>
      <c r="D26" s="55"/>
      <c r="E26" s="55"/>
      <c r="F26" s="93">
        <v>11640274194.290001</v>
      </c>
      <c r="G26" s="55"/>
      <c r="H26" s="55"/>
      <c r="I26" s="55"/>
      <c r="J26" s="55">
        <v>11640274194.290001</v>
      </c>
      <c r="K26" s="55">
        <v>337730119.48000002</v>
      </c>
      <c r="L26" s="55">
        <v>40467872.640000001</v>
      </c>
      <c r="M26" s="58">
        <v>297262246.85000002</v>
      </c>
      <c r="N26" s="72">
        <v>31612529212.330002</v>
      </c>
      <c r="O26" s="72">
        <v>90369989.560000002</v>
      </c>
      <c r="P26" s="75">
        <v>31386614163.939999</v>
      </c>
      <c r="Q26" s="61">
        <f t="shared" si="12"/>
        <v>5.4256552766203496E-2</v>
      </c>
      <c r="R26" s="75">
        <v>31522159222.77</v>
      </c>
      <c r="S26" s="61">
        <f t="shared" si="19"/>
        <v>5.4066903591135883E-2</v>
      </c>
      <c r="T26" s="62">
        <f t="shared" si="20"/>
        <v>4.3185626242453765E-3</v>
      </c>
      <c r="U26" s="63">
        <f t="shared" si="21"/>
        <v>1.2837912642344651E-3</v>
      </c>
      <c r="V26" s="64">
        <f t="shared" si="22"/>
        <v>9.4302628430121289E-3</v>
      </c>
      <c r="W26" s="65">
        <f t="shared" si="23"/>
        <v>1.0185026133780339</v>
      </c>
      <c r="X26" s="65">
        <f t="shared" si="24"/>
        <v>9.604747350449621E-3</v>
      </c>
      <c r="Y26" s="72">
        <v>1</v>
      </c>
      <c r="Z26" s="72">
        <v>1</v>
      </c>
      <c r="AA26" s="67">
        <v>21385</v>
      </c>
      <c r="AB26" s="67">
        <v>31104206352.810001</v>
      </c>
      <c r="AC26" s="67">
        <v>5952521338.4099998</v>
      </c>
      <c r="AD26" s="67">
        <v>6107215329.9099998</v>
      </c>
      <c r="AE26" s="55">
        <v>30949512361.310001</v>
      </c>
      <c r="AF26" s="5"/>
    </row>
    <row r="27" spans="1:241" ht="18" customHeight="1" x14ac:dyDescent="0.25">
      <c r="A27" s="52">
        <v>22</v>
      </c>
      <c r="B27" s="49" t="s">
        <v>214</v>
      </c>
      <c r="C27" s="49" t="s">
        <v>29</v>
      </c>
      <c r="D27" s="55"/>
      <c r="E27" s="55"/>
      <c r="F27" s="55">
        <v>4468096543.3400002</v>
      </c>
      <c r="G27" s="55"/>
      <c r="H27" s="55"/>
      <c r="I27" s="55"/>
      <c r="J27" s="55">
        <v>4482640493.5600004</v>
      </c>
      <c r="K27" s="55">
        <v>45232352.18</v>
      </c>
      <c r="L27" s="55">
        <v>7888513.3899999997</v>
      </c>
      <c r="M27" s="58">
        <v>37343838.789999999</v>
      </c>
      <c r="N27" s="72">
        <v>4482640493.5600004</v>
      </c>
      <c r="O27" s="72">
        <v>86203869.489999995</v>
      </c>
      <c r="P27" s="75">
        <v>4258746765.0799999</v>
      </c>
      <c r="Q27" s="61">
        <f t="shared" si="12"/>
        <v>7.3618937477789928E-3</v>
      </c>
      <c r="R27" s="75">
        <v>4396436624.0799999</v>
      </c>
      <c r="S27" s="61">
        <f t="shared" si="19"/>
        <v>7.5407814997320568E-3</v>
      </c>
      <c r="T27" s="62">
        <f t="shared" si="20"/>
        <v>3.2331074514456021E-2</v>
      </c>
      <c r="U27" s="63">
        <f t="shared" si="21"/>
        <v>1.7942970784096662E-3</v>
      </c>
      <c r="V27" s="64">
        <f t="shared" si="22"/>
        <v>8.494115117106819E-3</v>
      </c>
      <c r="W27" s="65">
        <f t="shared" si="23"/>
        <v>100.00000000181964</v>
      </c>
      <c r="X27" s="65">
        <f t="shared" si="24"/>
        <v>0.84941151172613827</v>
      </c>
      <c r="Y27" s="72">
        <v>100</v>
      </c>
      <c r="Z27" s="72">
        <v>100</v>
      </c>
      <c r="AA27" s="71">
        <v>1666</v>
      </c>
      <c r="AB27" s="72">
        <v>42571924.240000002</v>
      </c>
      <c r="AC27" s="72">
        <v>2170177.54</v>
      </c>
      <c r="AD27" s="72">
        <v>777735.54</v>
      </c>
      <c r="AE27" s="55">
        <v>43964366.240000002</v>
      </c>
      <c r="AF27" s="5"/>
    </row>
    <row r="28" spans="1:241" ht="16.5" customHeight="1" x14ac:dyDescent="0.25">
      <c r="A28" s="52">
        <v>23</v>
      </c>
      <c r="B28" s="48" t="s">
        <v>215</v>
      </c>
      <c r="C28" s="48" t="s">
        <v>79</v>
      </c>
      <c r="D28" s="55"/>
      <c r="E28" s="55"/>
      <c r="F28" s="53">
        <v>7316380585.6199999</v>
      </c>
      <c r="G28" s="53"/>
      <c r="H28" s="53"/>
      <c r="I28" s="53"/>
      <c r="J28" s="53">
        <v>7316380585.6199999</v>
      </c>
      <c r="K28" s="55">
        <v>87745150.099999994</v>
      </c>
      <c r="L28" s="55">
        <v>12014159.5</v>
      </c>
      <c r="M28" s="58">
        <v>76895439.019999996</v>
      </c>
      <c r="N28" s="72">
        <v>7327251443.79</v>
      </c>
      <c r="O28" s="72">
        <v>238897040.09999999</v>
      </c>
      <c r="P28" s="75">
        <v>6664453734.3999996</v>
      </c>
      <c r="Q28" s="61">
        <f t="shared" si="12"/>
        <v>1.1520525400086822E-2</v>
      </c>
      <c r="R28" s="75">
        <v>7088354403.6800003</v>
      </c>
      <c r="S28" s="61">
        <f t="shared" si="19"/>
        <v>1.2157967081351874E-2</v>
      </c>
      <c r="T28" s="62">
        <f t="shared" si="20"/>
        <v>6.3606213828441324E-2</v>
      </c>
      <c r="U28" s="63">
        <f t="shared" si="21"/>
        <v>1.6949151828191196E-3</v>
      </c>
      <c r="V28" s="64">
        <f t="shared" si="22"/>
        <v>1.0848136907499835E-2</v>
      </c>
      <c r="W28" s="65">
        <f t="shared" si="23"/>
        <v>99.999999995485553</v>
      </c>
      <c r="X28" s="65">
        <f t="shared" si="24"/>
        <v>1.0848136907010102</v>
      </c>
      <c r="Y28" s="72">
        <v>100</v>
      </c>
      <c r="Z28" s="72">
        <v>100</v>
      </c>
      <c r="AA28" s="67">
        <v>1252</v>
      </c>
      <c r="AB28" s="67">
        <v>66644537.340000004</v>
      </c>
      <c r="AC28" s="67">
        <v>10351230.34</v>
      </c>
      <c r="AD28" s="67">
        <v>6112223.6500000004</v>
      </c>
      <c r="AE28" s="55">
        <v>70883544.040000007</v>
      </c>
      <c r="AF28" s="5"/>
    </row>
    <row r="29" spans="1:241" ht="18" customHeight="1" x14ac:dyDescent="0.25">
      <c r="A29" s="52">
        <v>24</v>
      </c>
      <c r="B29" s="48" t="s">
        <v>64</v>
      </c>
      <c r="C29" s="48" t="s">
        <v>63</v>
      </c>
      <c r="D29" s="55"/>
      <c r="E29" s="55"/>
      <c r="F29" s="55">
        <v>2387223793.2199998</v>
      </c>
      <c r="G29" s="55"/>
      <c r="H29" s="55"/>
      <c r="I29" s="55"/>
      <c r="J29" s="55">
        <v>2387223793.2199998</v>
      </c>
      <c r="K29" s="55">
        <v>44317518.200000003</v>
      </c>
      <c r="L29" s="55">
        <v>5394660.0899999999</v>
      </c>
      <c r="M29" s="58">
        <v>38922858.109999999</v>
      </c>
      <c r="N29" s="72">
        <v>4364008543.8299999</v>
      </c>
      <c r="O29" s="72">
        <v>71998543.829999998</v>
      </c>
      <c r="P29" s="75">
        <v>4652326572.8800001</v>
      </c>
      <c r="Q29" s="61">
        <f t="shared" si="12"/>
        <v>8.0422565131946667E-3</v>
      </c>
      <c r="R29" s="75">
        <v>4292010000</v>
      </c>
      <c r="S29" s="61">
        <f t="shared" si="19"/>
        <v>7.3616686357756205E-3</v>
      </c>
      <c r="T29" s="62">
        <f t="shared" si="20"/>
        <v>-7.7448684488403807E-2</v>
      </c>
      <c r="U29" s="63">
        <f t="shared" si="21"/>
        <v>1.2569076237007835E-3</v>
      </c>
      <c r="V29" s="64">
        <f t="shared" si="22"/>
        <v>9.0686783371893356E-3</v>
      </c>
      <c r="W29" s="65">
        <f t="shared" si="23"/>
        <v>100</v>
      </c>
      <c r="X29" s="65">
        <f t="shared" si="24"/>
        <v>0.90686783371893354</v>
      </c>
      <c r="Y29" s="72">
        <v>100</v>
      </c>
      <c r="Z29" s="72">
        <v>100</v>
      </c>
      <c r="AA29" s="67">
        <v>5258</v>
      </c>
      <c r="AB29" s="67">
        <v>45892874</v>
      </c>
      <c r="AC29" s="67">
        <v>5772155</v>
      </c>
      <c r="AD29" s="67">
        <v>8744929</v>
      </c>
      <c r="AE29" s="55">
        <v>42920100</v>
      </c>
      <c r="AF29" s="5"/>
    </row>
    <row r="30" spans="1:241" ht="18" customHeight="1" x14ac:dyDescent="0.25">
      <c r="A30" s="52">
        <v>25</v>
      </c>
      <c r="B30" s="48" t="s">
        <v>149</v>
      </c>
      <c r="C30" s="49" t="s">
        <v>148</v>
      </c>
      <c r="D30" s="55">
        <v>0</v>
      </c>
      <c r="E30" s="55">
        <v>0</v>
      </c>
      <c r="F30" s="55">
        <v>21744342.690000001</v>
      </c>
      <c r="G30" s="55"/>
      <c r="H30" s="55"/>
      <c r="I30" s="55"/>
      <c r="J30" s="55">
        <v>21744342.690000001</v>
      </c>
      <c r="K30" s="55">
        <v>151686.26</v>
      </c>
      <c r="L30" s="55">
        <v>17510.55</v>
      </c>
      <c r="M30" s="58">
        <v>134175.71</v>
      </c>
      <c r="N30" s="72">
        <v>26976894.149999999</v>
      </c>
      <c r="O30" s="72">
        <v>319770.59999999998</v>
      </c>
      <c r="P30" s="98">
        <v>26657123.550000001</v>
      </c>
      <c r="Q30" s="61">
        <f t="shared" si="12"/>
        <v>4.6080906431362022E-5</v>
      </c>
      <c r="R30" s="75">
        <v>26657123.550000001</v>
      </c>
      <c r="S30" s="61">
        <f t="shared" si="19"/>
        <v>4.5722379574612051E-5</v>
      </c>
      <c r="T30" s="62">
        <f t="shared" si="20"/>
        <v>0</v>
      </c>
      <c r="U30" s="63">
        <f t="shared" si="21"/>
        <v>6.568807008436587E-4</v>
      </c>
      <c r="V30" s="64">
        <f t="shared" si="22"/>
        <v>5.0333904086962145E-3</v>
      </c>
      <c r="W30" s="65">
        <f t="shared" si="23"/>
        <v>100.88529606557874</v>
      </c>
      <c r="X30" s="65">
        <f t="shared" si="24"/>
        <v>0.50779508159496201</v>
      </c>
      <c r="Y30" s="72">
        <v>100</v>
      </c>
      <c r="Z30" s="72">
        <v>100</v>
      </c>
      <c r="AA30" s="67">
        <v>86</v>
      </c>
      <c r="AB30" s="67">
        <v>186375</v>
      </c>
      <c r="AC30" s="67">
        <v>77857</v>
      </c>
      <c r="AD30" s="67">
        <v>0</v>
      </c>
      <c r="AE30" s="55">
        <v>264232</v>
      </c>
      <c r="AF30" s="5"/>
    </row>
    <row r="31" spans="1:241" ht="18" customHeight="1" x14ac:dyDescent="0.25">
      <c r="A31" s="52">
        <v>26</v>
      </c>
      <c r="B31" s="48" t="s">
        <v>70</v>
      </c>
      <c r="C31" s="48" t="s">
        <v>69</v>
      </c>
      <c r="D31" s="55"/>
      <c r="E31" s="55"/>
      <c r="F31" s="55">
        <v>1071813824.66</v>
      </c>
      <c r="G31" s="55"/>
      <c r="H31" s="55"/>
      <c r="I31" s="55"/>
      <c r="J31" s="55">
        <v>1071813824.66</v>
      </c>
      <c r="K31" s="55">
        <v>45889752.920000002</v>
      </c>
      <c r="L31" s="55">
        <v>5804377.7000000002</v>
      </c>
      <c r="M31" s="58">
        <v>45143776.259999998</v>
      </c>
      <c r="N31" s="72">
        <v>4332660023.1599998</v>
      </c>
      <c r="O31" s="72">
        <v>29096308</v>
      </c>
      <c r="P31" s="75">
        <v>4605252293.3100004</v>
      </c>
      <c r="Q31" s="61">
        <f t="shared" si="12"/>
        <v>7.9608814365431969E-3</v>
      </c>
      <c r="R31" s="75">
        <v>4303563715.1499996</v>
      </c>
      <c r="S31" s="61">
        <f t="shared" si="19"/>
        <v>7.3814856032212777E-3</v>
      </c>
      <c r="T31" s="62">
        <f t="shared" si="20"/>
        <v>-6.5509674377288843E-2</v>
      </c>
      <c r="U31" s="63">
        <f t="shared" si="21"/>
        <v>1.3487374846029648E-3</v>
      </c>
      <c r="V31" s="64">
        <f t="shared" si="22"/>
        <v>1.0489858928096878E-2</v>
      </c>
      <c r="W31" s="65">
        <f t="shared" si="23"/>
        <v>1.0192453110877215</v>
      </c>
      <c r="X31" s="65">
        <f t="shared" si="24"/>
        <v>1.0691739526434417E-2</v>
      </c>
      <c r="Y31" s="72">
        <v>1</v>
      </c>
      <c r="Z31" s="72">
        <v>1</v>
      </c>
      <c r="AA31" s="67">
        <v>1744</v>
      </c>
      <c r="AB31" s="67">
        <v>4568712106.8299999</v>
      </c>
      <c r="AC31" s="67">
        <v>775216653.44000006</v>
      </c>
      <c r="AD31" s="67">
        <v>1121624602.1400001</v>
      </c>
      <c r="AE31" s="55">
        <v>4222304158.1199999</v>
      </c>
      <c r="AF31" s="5"/>
    </row>
    <row r="32" spans="1:241" ht="16.5" customHeight="1" x14ac:dyDescent="0.25">
      <c r="A32" s="52">
        <v>27</v>
      </c>
      <c r="B32" s="48" t="s">
        <v>160</v>
      </c>
      <c r="C32" s="48" t="s">
        <v>67</v>
      </c>
      <c r="D32" s="55"/>
      <c r="E32" s="55"/>
      <c r="F32" s="55">
        <v>2798734442.8400002</v>
      </c>
      <c r="G32" s="55"/>
      <c r="H32" s="55"/>
      <c r="I32" s="55"/>
      <c r="J32" s="55">
        <v>10906254129.58</v>
      </c>
      <c r="K32" s="55">
        <v>106037880.63</v>
      </c>
      <c r="L32" s="55">
        <v>16840960.25</v>
      </c>
      <c r="M32" s="58">
        <v>99828084.219999999</v>
      </c>
      <c r="N32" s="72">
        <v>10906254129.58</v>
      </c>
      <c r="O32" s="72">
        <v>151829272.87</v>
      </c>
      <c r="P32" s="75">
        <v>10607182761.92</v>
      </c>
      <c r="Q32" s="61">
        <f t="shared" si="12"/>
        <v>1.8336134258281279E-2</v>
      </c>
      <c r="R32" s="75">
        <v>10754424856.719999</v>
      </c>
      <c r="S32" s="61">
        <f t="shared" si="19"/>
        <v>1.8446022298065787E-2</v>
      </c>
      <c r="T32" s="62">
        <f t="shared" si="20"/>
        <v>1.3881357388184291E-2</v>
      </c>
      <c r="U32" s="63">
        <f t="shared" si="21"/>
        <v>1.5659563830116656E-3</v>
      </c>
      <c r="V32" s="64">
        <f t="shared" si="22"/>
        <v>9.2825125983024108E-3</v>
      </c>
      <c r="W32" s="65">
        <f t="shared" si="23"/>
        <v>99.999999597561001</v>
      </c>
      <c r="X32" s="65">
        <f t="shared" si="24"/>
        <v>0.92825125609459602</v>
      </c>
      <c r="Y32" s="72">
        <v>100</v>
      </c>
      <c r="Z32" s="72">
        <v>100</v>
      </c>
      <c r="AA32" s="67">
        <v>2305</v>
      </c>
      <c r="AB32" s="67">
        <v>106071828</v>
      </c>
      <c r="AC32" s="67">
        <v>1472421</v>
      </c>
      <c r="AD32" s="67"/>
      <c r="AE32" s="55">
        <v>107544249</v>
      </c>
      <c r="AF32" s="5"/>
    </row>
    <row r="33" spans="1:241" ht="16.5" customHeight="1" x14ac:dyDescent="0.25">
      <c r="A33" s="52">
        <v>28</v>
      </c>
      <c r="B33" s="48" t="s">
        <v>68</v>
      </c>
      <c r="C33" s="48" t="s">
        <v>67</v>
      </c>
      <c r="D33" s="55"/>
      <c r="E33" s="55"/>
      <c r="F33" s="55">
        <v>124585576.48</v>
      </c>
      <c r="G33" s="55"/>
      <c r="H33" s="55"/>
      <c r="I33" s="55"/>
      <c r="J33" s="55">
        <v>400874018.16000003</v>
      </c>
      <c r="K33" s="55">
        <v>4415487.9800000004</v>
      </c>
      <c r="L33" s="55">
        <v>357101.69</v>
      </c>
      <c r="M33" s="58">
        <v>4058386.28</v>
      </c>
      <c r="N33" s="72">
        <v>400874018.16000003</v>
      </c>
      <c r="O33" s="72">
        <v>3945283.56</v>
      </c>
      <c r="P33" s="75">
        <v>393199166.01999998</v>
      </c>
      <c r="Q33" s="61">
        <f t="shared" si="12"/>
        <v>6.7970476800589385E-4</v>
      </c>
      <c r="R33" s="75">
        <v>396928734.60000002</v>
      </c>
      <c r="S33" s="61">
        <f t="shared" si="19"/>
        <v>6.8081337558461544E-4</v>
      </c>
      <c r="T33" s="62">
        <f t="shared" si="20"/>
        <v>9.4851894467404326E-3</v>
      </c>
      <c r="U33" s="63">
        <f t="shared" si="21"/>
        <v>8.9966197675223688E-4</v>
      </c>
      <c r="V33" s="64">
        <f t="shared" si="22"/>
        <v>1.0224470858956048E-2</v>
      </c>
      <c r="W33" s="65">
        <f t="shared" si="23"/>
        <v>999820.49017632252</v>
      </c>
      <c r="X33" s="65">
        <f t="shared" si="24"/>
        <v>10222.635465994961</v>
      </c>
      <c r="Y33" s="72">
        <v>1000000</v>
      </c>
      <c r="Z33" s="72">
        <v>1000000</v>
      </c>
      <c r="AA33" s="67">
        <v>15</v>
      </c>
      <c r="AB33" s="67">
        <v>393</v>
      </c>
      <c r="AC33" s="67">
        <v>4</v>
      </c>
      <c r="AD33" s="67">
        <v>0</v>
      </c>
      <c r="AE33" s="55">
        <v>397</v>
      </c>
      <c r="AF33" s="5"/>
    </row>
    <row r="34" spans="1:241" ht="16.5" customHeight="1" x14ac:dyDescent="0.25">
      <c r="A34" s="52">
        <v>29</v>
      </c>
      <c r="B34" s="49" t="s">
        <v>153</v>
      </c>
      <c r="C34" s="49" t="s">
        <v>152</v>
      </c>
      <c r="D34" s="55"/>
      <c r="E34" s="55"/>
      <c r="F34" s="55">
        <v>369660844.38999999</v>
      </c>
      <c r="G34" s="55"/>
      <c r="H34" s="55"/>
      <c r="I34" s="55">
        <v>1030322.74</v>
      </c>
      <c r="J34" s="55">
        <v>370691167.13</v>
      </c>
      <c r="K34" s="55">
        <v>10983895.630000001</v>
      </c>
      <c r="L34" s="55">
        <v>1863687.39</v>
      </c>
      <c r="M34" s="58">
        <v>9120208.2400000002</v>
      </c>
      <c r="N34" s="72">
        <v>1071403383.7</v>
      </c>
      <c r="O34" s="72">
        <v>1020025475.97</v>
      </c>
      <c r="P34" s="75">
        <v>1031589239.77</v>
      </c>
      <c r="Q34" s="61">
        <f t="shared" si="12"/>
        <v>1.7832594407374176E-3</v>
      </c>
      <c r="R34" s="75">
        <v>1019959025.2</v>
      </c>
      <c r="S34" s="61">
        <f t="shared" si="19"/>
        <v>1.7494368292690641E-3</v>
      </c>
      <c r="T34" s="62">
        <f t="shared" si="20"/>
        <v>-1.1274075108221341E-2</v>
      </c>
      <c r="U34" s="63">
        <f t="shared" si="21"/>
        <v>1.8272179018510634E-3</v>
      </c>
      <c r="V34" s="64">
        <f t="shared" si="22"/>
        <v>8.9417398294129036E-3</v>
      </c>
      <c r="W34" s="65">
        <f t="shared" si="23"/>
        <v>1.0000000012843653</v>
      </c>
      <c r="X34" s="65">
        <f t="shared" si="24"/>
        <v>8.9417398408973645E-3</v>
      </c>
      <c r="Y34" s="72">
        <v>1</v>
      </c>
      <c r="Z34" s="72">
        <v>1</v>
      </c>
      <c r="AA34" s="67">
        <v>306</v>
      </c>
      <c r="AB34" s="67">
        <v>1031895799.5599999</v>
      </c>
      <c r="AC34" s="67">
        <v>28935931.199999999</v>
      </c>
      <c r="AD34" s="67">
        <v>40872706.869999997</v>
      </c>
      <c r="AE34" s="55">
        <v>1019959023.89</v>
      </c>
      <c r="AF34" s="5"/>
    </row>
    <row r="35" spans="1:241" ht="16.5" customHeight="1" x14ac:dyDescent="0.25">
      <c r="A35" s="52">
        <v>30</v>
      </c>
      <c r="B35" s="48" t="s">
        <v>80</v>
      </c>
      <c r="C35" s="48" t="s">
        <v>164</v>
      </c>
      <c r="D35" s="55"/>
      <c r="E35" s="55"/>
      <c r="F35" s="55">
        <v>142763673.88</v>
      </c>
      <c r="G35" s="55"/>
      <c r="H35" s="55"/>
      <c r="I35" s="55"/>
      <c r="J35" s="55">
        <v>142763673.88</v>
      </c>
      <c r="K35" s="55">
        <v>1947782.92</v>
      </c>
      <c r="L35" s="55">
        <v>662889.73</v>
      </c>
      <c r="M35" s="58">
        <v>1284893.19</v>
      </c>
      <c r="N35" s="72">
        <v>274209791.83999997</v>
      </c>
      <c r="O35" s="72">
        <v>2832145.55</v>
      </c>
      <c r="P35" s="75">
        <v>287696155.88</v>
      </c>
      <c r="Q35" s="61">
        <f t="shared" si="12"/>
        <v>4.9732671324805488E-4</v>
      </c>
      <c r="R35" s="75">
        <v>271377646.29000002</v>
      </c>
      <c r="S35" s="61">
        <f t="shared" si="19"/>
        <v>4.6546776618500499E-4</v>
      </c>
      <c r="T35" s="62">
        <f t="shared" si="20"/>
        <v>-5.6721333450164467E-2</v>
      </c>
      <c r="U35" s="63">
        <f t="shared" si="21"/>
        <v>2.4426836147426146E-3</v>
      </c>
      <c r="V35" s="64">
        <f t="shared" si="22"/>
        <v>4.7347053361459822E-3</v>
      </c>
      <c r="W35" s="65">
        <f t="shared" si="23"/>
        <v>1.0090975416429719</v>
      </c>
      <c r="X35" s="65">
        <f t="shared" si="24"/>
        <v>4.777779515108771E-3</v>
      </c>
      <c r="Y35" s="72">
        <v>1</v>
      </c>
      <c r="Z35" s="72">
        <v>1</v>
      </c>
      <c r="AA35" s="67">
        <v>260</v>
      </c>
      <c r="AB35" s="67">
        <v>278272121</v>
      </c>
      <c r="AC35" s="67">
        <v>22000</v>
      </c>
      <c r="AD35" s="67">
        <v>9363086</v>
      </c>
      <c r="AE35" s="55">
        <v>268931035</v>
      </c>
      <c r="AF35" s="5"/>
    </row>
    <row r="36" spans="1:241" s="22" customFormat="1" ht="16.5" customHeight="1" x14ac:dyDescent="0.3">
      <c r="A36" s="52">
        <v>31</v>
      </c>
      <c r="B36" s="48" t="s">
        <v>54</v>
      </c>
      <c r="C36" s="48" t="s">
        <v>53</v>
      </c>
      <c r="D36" s="55"/>
      <c r="E36" s="55"/>
      <c r="F36" s="55">
        <v>144725467657.17001</v>
      </c>
      <c r="G36" s="55"/>
      <c r="H36" s="55"/>
      <c r="I36" s="55"/>
      <c r="J36" s="55">
        <v>145977848399.56</v>
      </c>
      <c r="K36" s="70">
        <v>1456162073.0599999</v>
      </c>
      <c r="L36" s="70">
        <v>200849232.66999999</v>
      </c>
      <c r="M36" s="58">
        <v>1255312840.3900001</v>
      </c>
      <c r="N36" s="70">
        <v>148900640285.92999</v>
      </c>
      <c r="O36" s="70">
        <v>2922791886.3699999</v>
      </c>
      <c r="P36" s="75">
        <v>150366111213.95001</v>
      </c>
      <c r="Q36" s="61">
        <f t="shared" si="12"/>
        <v>0.25993077191172809</v>
      </c>
      <c r="R36" s="75">
        <v>145977848399.56</v>
      </c>
      <c r="S36" s="61">
        <f t="shared" si="19"/>
        <v>0.25038165057421796</v>
      </c>
      <c r="T36" s="62">
        <f t="shared" si="20"/>
        <v>-2.9183855184936772E-2</v>
      </c>
      <c r="U36" s="63">
        <f t="shared" si="21"/>
        <v>1.3758884301421543E-3</v>
      </c>
      <c r="V36" s="64">
        <f t="shared" si="22"/>
        <v>8.5993378731959984E-3</v>
      </c>
      <c r="W36" s="65">
        <f t="shared" si="23"/>
        <v>100.0362525165652</v>
      </c>
      <c r="X36" s="65">
        <f t="shared" si="24"/>
        <v>0.86024553495829759</v>
      </c>
      <c r="Y36" s="72">
        <v>100</v>
      </c>
      <c r="Z36" s="72">
        <v>100</v>
      </c>
      <c r="AA36" s="67">
        <v>23632</v>
      </c>
      <c r="AB36" s="70">
        <v>1503177340</v>
      </c>
      <c r="AC36" s="70">
        <v>87852643</v>
      </c>
      <c r="AD36" s="70">
        <v>131780513.54000001</v>
      </c>
      <c r="AE36" s="55">
        <v>1459249469.3399999</v>
      </c>
      <c r="AF36" s="20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</row>
    <row r="37" spans="1:241" ht="16.5" customHeight="1" x14ac:dyDescent="0.25">
      <c r="A37" s="52">
        <v>32</v>
      </c>
      <c r="B37" s="48" t="s">
        <v>76</v>
      </c>
      <c r="C37" s="48" t="s">
        <v>75</v>
      </c>
      <c r="D37" s="55"/>
      <c r="E37" s="55"/>
      <c r="F37" s="55">
        <v>155510755.62</v>
      </c>
      <c r="G37" s="55"/>
      <c r="H37" s="55"/>
      <c r="I37" s="55">
        <v>15153911.779999999</v>
      </c>
      <c r="J37" s="55">
        <v>616999595.97000003</v>
      </c>
      <c r="K37" s="55">
        <v>4749858.84</v>
      </c>
      <c r="L37" s="55">
        <v>1496335.86</v>
      </c>
      <c r="M37" s="58">
        <v>3253522.98</v>
      </c>
      <c r="N37" s="72">
        <v>622159091.78999996</v>
      </c>
      <c r="O37" s="72">
        <v>10296959.02</v>
      </c>
      <c r="P37" s="75">
        <v>577489455.38</v>
      </c>
      <c r="Q37" s="61">
        <f t="shared" si="12"/>
        <v>9.9827865930658482E-4</v>
      </c>
      <c r="R37" s="75">
        <v>611862132.76999998</v>
      </c>
      <c r="S37" s="61">
        <f t="shared" si="19"/>
        <v>1.0494677953293882E-3</v>
      </c>
      <c r="T37" s="62">
        <f t="shared" si="20"/>
        <v>5.952087448485454E-2</v>
      </c>
      <c r="U37" s="63">
        <f t="shared" si="21"/>
        <v>2.445544150977023E-3</v>
      </c>
      <c r="V37" s="64">
        <f t="shared" si="22"/>
        <v>5.3174118902746424E-3</v>
      </c>
      <c r="W37" s="65">
        <f t="shared" si="23"/>
        <v>9.9658980810411375</v>
      </c>
      <c r="X37" s="65">
        <f t="shared" si="24"/>
        <v>5.2992784953393393E-2</v>
      </c>
      <c r="Y37" s="72">
        <v>10</v>
      </c>
      <c r="Z37" s="72">
        <v>10</v>
      </c>
      <c r="AA37" s="67">
        <v>275</v>
      </c>
      <c r="AB37" s="67">
        <v>58139646</v>
      </c>
      <c r="AC37" s="67">
        <v>7562090</v>
      </c>
      <c r="AD37" s="67">
        <v>4306152</v>
      </c>
      <c r="AE37" s="55">
        <v>61395584</v>
      </c>
      <c r="AF37" s="5"/>
    </row>
    <row r="38" spans="1:241" ht="16.5" customHeight="1" x14ac:dyDescent="0.25">
      <c r="A38" s="52">
        <v>33</v>
      </c>
      <c r="B38" s="48" t="s">
        <v>62</v>
      </c>
      <c r="C38" s="48" t="s">
        <v>61</v>
      </c>
      <c r="D38" s="55"/>
      <c r="E38" s="55"/>
      <c r="F38" s="55">
        <v>636993446.58000004</v>
      </c>
      <c r="G38" s="55"/>
      <c r="H38" s="55"/>
      <c r="I38" s="55"/>
      <c r="J38" s="55">
        <v>636993446.58000004</v>
      </c>
      <c r="K38" s="94">
        <v>21191337.710000001</v>
      </c>
      <c r="L38" s="55">
        <v>3816280.62</v>
      </c>
      <c r="M38" s="58">
        <v>17375057.09</v>
      </c>
      <c r="N38" s="72">
        <v>2052136532.5699999</v>
      </c>
      <c r="O38" s="72">
        <v>40501840.939999998</v>
      </c>
      <c r="P38" s="75">
        <v>2065362415.8900001</v>
      </c>
      <c r="Q38" s="61">
        <f t="shared" si="12"/>
        <v>3.5702941487653081E-3</v>
      </c>
      <c r="R38" s="75">
        <v>2052001442.8699999</v>
      </c>
      <c r="S38" s="61">
        <f t="shared" si="19"/>
        <v>3.51959913013772E-3</v>
      </c>
      <c r="T38" s="62">
        <f t="shared" si="20"/>
        <v>-6.4690695043188081E-3</v>
      </c>
      <c r="U38" s="63">
        <f t="shared" si="21"/>
        <v>1.8597845694798434E-3</v>
      </c>
      <c r="V38" s="64">
        <f t="shared" si="22"/>
        <v>8.4673707956553126E-3</v>
      </c>
      <c r="W38" s="65">
        <f t="shared" si="23"/>
        <v>100.00000208917986</v>
      </c>
      <c r="X38" s="65">
        <f t="shared" si="24"/>
        <v>0.8467370972553917</v>
      </c>
      <c r="Y38" s="72">
        <v>100</v>
      </c>
      <c r="Z38" s="72">
        <v>100</v>
      </c>
      <c r="AA38" s="66">
        <v>539</v>
      </c>
      <c r="AB38" s="66">
        <v>20653624</v>
      </c>
      <c r="AC38" s="66">
        <v>730970</v>
      </c>
      <c r="AD38" s="66">
        <v>864580</v>
      </c>
      <c r="AE38" s="55">
        <v>20520014</v>
      </c>
      <c r="AF38" s="5"/>
    </row>
    <row r="39" spans="1:241" ht="16.5" customHeight="1" x14ac:dyDescent="0.25">
      <c r="A39" s="52">
        <v>34</v>
      </c>
      <c r="B39" s="48" t="s">
        <v>74</v>
      </c>
      <c r="C39" s="48" t="s">
        <v>25</v>
      </c>
      <c r="D39" s="55"/>
      <c r="E39" s="55"/>
      <c r="F39" s="55">
        <v>3484918579.25</v>
      </c>
      <c r="G39" s="55"/>
      <c r="H39" s="55"/>
      <c r="I39" s="55">
        <v>-59007810</v>
      </c>
      <c r="J39" s="55">
        <v>3428894279.9200001</v>
      </c>
      <c r="K39" s="55">
        <v>38411721.020000003</v>
      </c>
      <c r="L39" s="55">
        <v>3922042.16</v>
      </c>
      <c r="M39" s="58">
        <v>34489678.859999999</v>
      </c>
      <c r="N39" s="72">
        <v>3428894279.9200001</v>
      </c>
      <c r="O39" s="72">
        <v>14341097.189999999</v>
      </c>
      <c r="P39" s="75">
        <v>3357981189.96</v>
      </c>
      <c r="Q39" s="61">
        <f t="shared" si="12"/>
        <v>5.8047829775249868E-3</v>
      </c>
      <c r="R39" s="75">
        <v>3414553182.73</v>
      </c>
      <c r="S39" s="61">
        <f t="shared" si="19"/>
        <v>5.8566520279522321E-3</v>
      </c>
      <c r="T39" s="62">
        <f t="shared" si="20"/>
        <v>1.6847024914595742E-2</v>
      </c>
      <c r="U39" s="63">
        <f t="shared" si="21"/>
        <v>1.1486252959352805E-3</v>
      </c>
      <c r="V39" s="64">
        <f t="shared" si="22"/>
        <v>1.0100788306487835E-2</v>
      </c>
      <c r="W39" s="65">
        <f t="shared" si="23"/>
        <v>0.98548442117285262</v>
      </c>
      <c r="X39" s="65">
        <f t="shared" si="24"/>
        <v>9.9541695176086804E-3</v>
      </c>
      <c r="Y39" s="72">
        <v>0.98</v>
      </c>
      <c r="Z39" s="72">
        <v>0.98</v>
      </c>
      <c r="AA39" s="67">
        <v>794</v>
      </c>
      <c r="AB39" s="67">
        <v>3407643995</v>
      </c>
      <c r="AC39" s="67">
        <v>186585110</v>
      </c>
      <c r="AD39" s="67">
        <v>129381656</v>
      </c>
      <c r="AE39" s="55">
        <v>3464847449</v>
      </c>
      <c r="AF39" s="5"/>
    </row>
    <row r="40" spans="1:241" ht="16.5" customHeight="1" x14ac:dyDescent="0.25">
      <c r="A40" s="52">
        <v>35</v>
      </c>
      <c r="B40" s="48" t="s">
        <v>59</v>
      </c>
      <c r="C40" s="48" t="s">
        <v>39</v>
      </c>
      <c r="D40" s="55"/>
      <c r="E40" s="55"/>
      <c r="F40" s="55">
        <v>1230752892.96</v>
      </c>
      <c r="G40" s="55"/>
      <c r="H40" s="55"/>
      <c r="I40" s="55"/>
      <c r="J40" s="55">
        <v>1944176604.1600001</v>
      </c>
      <c r="K40" s="55">
        <v>19868411.649999999</v>
      </c>
      <c r="L40" s="55">
        <v>3013010.21</v>
      </c>
      <c r="M40" s="58">
        <v>16855401.440000001</v>
      </c>
      <c r="N40" s="72">
        <v>1960294034.55</v>
      </c>
      <c r="O40" s="72">
        <v>8217780.0199999996</v>
      </c>
      <c r="P40" s="75">
        <v>1979998268.5999999</v>
      </c>
      <c r="Q40" s="61">
        <f t="shared" si="12"/>
        <v>3.4227291920104937E-3</v>
      </c>
      <c r="R40" s="75">
        <v>1952076254.53</v>
      </c>
      <c r="S40" s="61">
        <f t="shared" si="19"/>
        <v>3.3482071424847208E-3</v>
      </c>
      <c r="T40" s="62">
        <f t="shared" si="20"/>
        <v>-1.4102039639530993E-2</v>
      </c>
      <c r="U40" s="63">
        <f t="shared" si="21"/>
        <v>1.5434900163392646E-3</v>
      </c>
      <c r="V40" s="64">
        <f t="shared" si="22"/>
        <v>8.6346019531179964E-3</v>
      </c>
      <c r="W40" s="65">
        <f t="shared" si="23"/>
        <v>9.9545955345593153</v>
      </c>
      <c r="X40" s="65">
        <f t="shared" si="24"/>
        <v>8.5953970045205552E-2</v>
      </c>
      <c r="Y40" s="72">
        <v>10</v>
      </c>
      <c r="Z40" s="72">
        <v>10</v>
      </c>
      <c r="AA40" s="67">
        <v>1540</v>
      </c>
      <c r="AB40" s="67">
        <v>189792964.88999999</v>
      </c>
      <c r="AC40" s="67">
        <v>24014570.32</v>
      </c>
      <c r="AD40" s="67">
        <v>17709537.280000001</v>
      </c>
      <c r="AE40" s="55">
        <v>196097997.93000001</v>
      </c>
      <c r="AF40" s="5"/>
    </row>
    <row r="41" spans="1:241" ht="16.5" customHeight="1" x14ac:dyDescent="0.25">
      <c r="A41" s="52">
        <v>36</v>
      </c>
      <c r="B41" s="48" t="s">
        <v>161</v>
      </c>
      <c r="C41" s="48" t="s">
        <v>219</v>
      </c>
      <c r="D41" s="55"/>
      <c r="E41" s="55"/>
      <c r="F41" s="55">
        <v>1035716572.87</v>
      </c>
      <c r="G41" s="55"/>
      <c r="H41" s="55"/>
      <c r="I41" s="55"/>
      <c r="J41" s="55">
        <v>1035716572.87</v>
      </c>
      <c r="K41" s="55">
        <v>24550591.059999999</v>
      </c>
      <c r="L41" s="55">
        <v>4868855.93</v>
      </c>
      <c r="M41" s="58">
        <v>19681735.129999999</v>
      </c>
      <c r="N41" s="72">
        <v>2294517422.3600001</v>
      </c>
      <c r="O41" s="72">
        <v>48736048.539999999</v>
      </c>
      <c r="P41" s="75">
        <v>2280626545.52</v>
      </c>
      <c r="Q41" s="61">
        <f t="shared" si="12"/>
        <v>3.9424110501595179E-3</v>
      </c>
      <c r="R41" s="75">
        <v>2245781373.8200002</v>
      </c>
      <c r="S41" s="61">
        <f t="shared" si="19"/>
        <v>3.8519710584224592E-3</v>
      </c>
      <c r="T41" s="62">
        <f t="shared" si="20"/>
        <v>-1.52787714272855E-2</v>
      </c>
      <c r="U41" s="63">
        <f t="shared" si="21"/>
        <v>2.1680008511773502E-3</v>
      </c>
      <c r="V41" s="64">
        <f t="shared" si="22"/>
        <v>8.7638696087865477E-3</v>
      </c>
      <c r="W41" s="65">
        <f t="shared" si="23"/>
        <v>99.823051253903586</v>
      </c>
      <c r="X41" s="65">
        <f t="shared" si="24"/>
        <v>0.87483620514042748</v>
      </c>
      <c r="Y41" s="72">
        <v>100</v>
      </c>
      <c r="Z41" s="72">
        <v>100</v>
      </c>
      <c r="AA41" s="67">
        <v>1003</v>
      </c>
      <c r="AB41" s="67">
        <v>22880796</v>
      </c>
      <c r="AC41" s="67">
        <v>2440296</v>
      </c>
      <c r="AD41" s="67">
        <v>2823469</v>
      </c>
      <c r="AE41" s="55">
        <v>22497623</v>
      </c>
      <c r="AF41" s="5"/>
    </row>
    <row r="42" spans="1:241" ht="16.5" customHeight="1" x14ac:dyDescent="0.25">
      <c r="A42" s="52">
        <v>37</v>
      </c>
      <c r="B42" s="48" t="s">
        <v>87</v>
      </c>
      <c r="C42" s="49" t="s">
        <v>86</v>
      </c>
      <c r="D42" s="55"/>
      <c r="E42" s="55"/>
      <c r="F42" s="55">
        <v>78116078.5</v>
      </c>
      <c r="G42" s="55"/>
      <c r="H42" s="55"/>
      <c r="I42" s="55">
        <v>7211412.6299999999</v>
      </c>
      <c r="J42" s="55">
        <f>78116078.5+7211412.63</f>
        <v>85327491.129999995</v>
      </c>
      <c r="K42" s="55">
        <v>932353.67</v>
      </c>
      <c r="L42" s="55">
        <v>55040.31</v>
      </c>
      <c r="M42" s="58">
        <v>877313.36</v>
      </c>
      <c r="N42" s="72">
        <v>149934161.96000001</v>
      </c>
      <c r="O42" s="72">
        <v>5106079.34</v>
      </c>
      <c r="P42" s="75">
        <v>143762084.81999999</v>
      </c>
      <c r="Q42" s="61">
        <f t="shared" si="12"/>
        <v>2.4851470439195039E-4</v>
      </c>
      <c r="R42" s="75">
        <v>141458938.33000001</v>
      </c>
      <c r="S42" s="61">
        <f t="shared" si="19"/>
        <v>2.4263080224745022E-4</v>
      </c>
      <c r="T42" s="62">
        <f t="shared" si="20"/>
        <v>-1.6020541806163129E-2</v>
      </c>
      <c r="U42" s="63">
        <f t="shared" si="21"/>
        <v>3.8909036537231864E-4</v>
      </c>
      <c r="V42" s="64">
        <f t="shared" si="22"/>
        <v>6.2018941351968497E-3</v>
      </c>
      <c r="W42" s="65">
        <f t="shared" si="23"/>
        <v>1.0013055174669807</v>
      </c>
      <c r="X42" s="65">
        <f t="shared" si="24"/>
        <v>6.2099908163187152E-3</v>
      </c>
      <c r="Y42" s="72">
        <v>1</v>
      </c>
      <c r="Z42" s="72">
        <v>1</v>
      </c>
      <c r="AA42" s="67">
        <v>42</v>
      </c>
      <c r="AB42" s="67">
        <v>143762084.81999999</v>
      </c>
      <c r="AC42" s="67">
        <v>535000</v>
      </c>
      <c r="AD42" s="67">
        <v>7900862.5899999999</v>
      </c>
      <c r="AE42" s="55">
        <v>141274502</v>
      </c>
      <c r="AF42" s="5"/>
    </row>
    <row r="43" spans="1:241" ht="16.5" customHeight="1" x14ac:dyDescent="0.25">
      <c r="A43" s="52">
        <v>38</v>
      </c>
      <c r="B43" s="49" t="s">
        <v>65</v>
      </c>
      <c r="C43" s="49" t="s">
        <v>46</v>
      </c>
      <c r="D43" s="55"/>
      <c r="E43" s="55"/>
      <c r="F43" s="55">
        <v>654722203.16999996</v>
      </c>
      <c r="G43" s="55"/>
      <c r="H43" s="55"/>
      <c r="I43" s="55"/>
      <c r="J43" s="55">
        <v>654722203.16999996</v>
      </c>
      <c r="K43" s="55">
        <v>12084899.52</v>
      </c>
      <c r="L43" s="55">
        <v>909668.31</v>
      </c>
      <c r="M43" s="58">
        <v>11175231.210000001</v>
      </c>
      <c r="N43" s="72">
        <v>673437984.42999995</v>
      </c>
      <c r="O43" s="72">
        <v>909668.31</v>
      </c>
      <c r="P43" s="75">
        <v>700674945</v>
      </c>
      <c r="Q43" s="61">
        <f t="shared" si="12"/>
        <v>1.2112235785223995E-3</v>
      </c>
      <c r="R43" s="75">
        <v>672528316.12</v>
      </c>
      <c r="S43" s="61">
        <f t="shared" si="19"/>
        <v>1.1535226179462759E-3</v>
      </c>
      <c r="T43" s="62">
        <f t="shared" si="20"/>
        <v>-4.0170736917102115E-2</v>
      </c>
      <c r="U43" s="63">
        <f t="shared" si="21"/>
        <v>1.3526096793189701E-3</v>
      </c>
      <c r="V43" s="64">
        <f t="shared" si="22"/>
        <v>1.6616744517870964E-2</v>
      </c>
      <c r="W43" s="65">
        <f t="shared" si="23"/>
        <v>10.360635312365009</v>
      </c>
      <c r="X43" s="65">
        <f t="shared" si="24"/>
        <v>0.17216003002840161</v>
      </c>
      <c r="Y43" s="72">
        <v>100</v>
      </c>
      <c r="Z43" s="72">
        <v>100</v>
      </c>
      <c r="AA43" s="67">
        <v>521</v>
      </c>
      <c r="AB43" s="67">
        <v>69350391</v>
      </c>
      <c r="AC43" s="67">
        <v>3353839</v>
      </c>
      <c r="AD43" s="67">
        <v>7792350</v>
      </c>
      <c r="AE43" s="55">
        <v>64911880</v>
      </c>
      <c r="AF43" s="5"/>
    </row>
    <row r="44" spans="1:241" ht="16.5" customHeight="1" x14ac:dyDescent="0.25">
      <c r="A44" s="52">
        <v>39</v>
      </c>
      <c r="B44" s="48" t="s">
        <v>52</v>
      </c>
      <c r="C44" s="48" t="s">
        <v>23</v>
      </c>
      <c r="D44" s="55"/>
      <c r="E44" s="55"/>
      <c r="F44" s="55">
        <v>207911009926.42001</v>
      </c>
      <c r="G44" s="55">
        <v>15153035300.940001</v>
      </c>
      <c r="H44" s="55"/>
      <c r="I44" s="55"/>
      <c r="J44" s="55">
        <v>223064045227.35999</v>
      </c>
      <c r="K44" s="55">
        <v>2436348982.9000001</v>
      </c>
      <c r="L44" s="55">
        <v>393521838.31999999</v>
      </c>
      <c r="M44" s="58">
        <v>2042827144.5799999</v>
      </c>
      <c r="N44" s="72">
        <v>237058100723.37</v>
      </c>
      <c r="O44" s="72">
        <v>766073551.77999997</v>
      </c>
      <c r="P44" s="75">
        <v>228462541315.23001</v>
      </c>
      <c r="Q44" s="61">
        <f t="shared" si="12"/>
        <v>0.39493237031638745</v>
      </c>
      <c r="R44" s="75">
        <v>236292027171.59</v>
      </c>
      <c r="S44" s="61">
        <f t="shared" si="19"/>
        <v>0.40528880531800593</v>
      </c>
      <c r="T44" s="62">
        <f t="shared" si="20"/>
        <v>3.4270326379487084E-2</v>
      </c>
      <c r="U44" s="63">
        <f t="shared" si="21"/>
        <v>1.6654046394643405E-3</v>
      </c>
      <c r="V44" s="64">
        <f t="shared" si="22"/>
        <v>8.645349439135093E-3</v>
      </c>
      <c r="W44" s="65">
        <f t="shared" si="23"/>
        <v>1</v>
      </c>
      <c r="X44" s="65">
        <f t="shared" si="24"/>
        <v>8.645349439135093E-3</v>
      </c>
      <c r="Y44" s="72">
        <v>1</v>
      </c>
      <c r="Z44" s="72">
        <v>1</v>
      </c>
      <c r="AA44" s="67">
        <v>114661</v>
      </c>
      <c r="AB44" s="67">
        <v>228462541315.23001</v>
      </c>
      <c r="AC44" s="67">
        <v>32030164433.029999</v>
      </c>
      <c r="AD44" s="67">
        <v>24200678576.669998</v>
      </c>
      <c r="AE44" s="67">
        <v>236292027171.59</v>
      </c>
      <c r="AF44" s="5"/>
    </row>
    <row r="45" spans="1:241" ht="16.5" customHeight="1" x14ac:dyDescent="0.25">
      <c r="A45" s="52">
        <v>40</v>
      </c>
      <c r="B45" s="48" t="s">
        <v>83</v>
      </c>
      <c r="C45" s="48" t="s">
        <v>82</v>
      </c>
      <c r="D45" s="55"/>
      <c r="E45" s="55"/>
      <c r="F45" s="55">
        <v>475770168.86000001</v>
      </c>
      <c r="G45" s="55"/>
      <c r="H45" s="55"/>
      <c r="I45" s="55"/>
      <c r="J45" s="55">
        <v>475770168.86000001</v>
      </c>
      <c r="K45" s="55">
        <v>5843216.8700000001</v>
      </c>
      <c r="L45" s="55">
        <v>719604.74</v>
      </c>
      <c r="M45" s="58">
        <v>5123612.13</v>
      </c>
      <c r="N45" s="72">
        <v>490168965.54000002</v>
      </c>
      <c r="O45" s="72">
        <v>5092807.09</v>
      </c>
      <c r="P45" s="75">
        <v>468570118.99000001</v>
      </c>
      <c r="Q45" s="61">
        <f t="shared" si="12"/>
        <v>8.0999496323039537E-4</v>
      </c>
      <c r="R45" s="75">
        <v>485076158.44999999</v>
      </c>
      <c r="S45" s="61">
        <f t="shared" si="19"/>
        <v>8.3200410568099565E-4</v>
      </c>
      <c r="T45" s="62">
        <f t="shared" si="20"/>
        <v>3.5226402177711724E-2</v>
      </c>
      <c r="U45" s="63">
        <f t="shared" si="21"/>
        <v>1.4834881646201838E-3</v>
      </c>
      <c r="V45" s="64">
        <f t="shared" si="22"/>
        <v>1.0562490117782453E-2</v>
      </c>
      <c r="W45" s="65">
        <f t="shared" si="23"/>
        <v>1.0051794424846594</v>
      </c>
      <c r="X45" s="65">
        <f t="shared" si="24"/>
        <v>1.0617197927842291E-2</v>
      </c>
      <c r="Y45" s="72">
        <v>1</v>
      </c>
      <c r="Z45" s="72">
        <v>1</v>
      </c>
      <c r="AA45" s="67">
        <v>107</v>
      </c>
      <c r="AB45" s="67">
        <v>468727020.29000002</v>
      </c>
      <c r="AC45" s="67">
        <v>40933691</v>
      </c>
      <c r="AD45" s="67">
        <v>27084031</v>
      </c>
      <c r="AE45" s="55">
        <v>482576680.29000002</v>
      </c>
      <c r="AF45" s="5"/>
    </row>
    <row r="46" spans="1:241" ht="16.5" customHeight="1" x14ac:dyDescent="0.25">
      <c r="A46" s="52">
        <v>41</v>
      </c>
      <c r="B46" s="48" t="s">
        <v>55</v>
      </c>
      <c r="C46" s="48" t="s">
        <v>33</v>
      </c>
      <c r="D46" s="55"/>
      <c r="E46" s="55"/>
      <c r="F46" s="55">
        <v>10087535429</v>
      </c>
      <c r="G46" s="55"/>
      <c r="H46" s="55"/>
      <c r="I46" s="55"/>
      <c r="J46" s="55">
        <v>10087535429</v>
      </c>
      <c r="K46" s="55">
        <v>302461981</v>
      </c>
      <c r="L46" s="55">
        <v>29828412</v>
      </c>
      <c r="M46" s="58">
        <v>272633569</v>
      </c>
      <c r="N46" s="72">
        <v>26201974349.599998</v>
      </c>
      <c r="O46" s="72">
        <v>592443384.50999999</v>
      </c>
      <c r="P46" s="75">
        <v>24574935750</v>
      </c>
      <c r="Q46" s="61">
        <f t="shared" si="12"/>
        <v>4.2481527038294546E-2</v>
      </c>
      <c r="R46" s="75">
        <v>25609530965</v>
      </c>
      <c r="S46" s="61">
        <f t="shared" si="19"/>
        <v>4.3925545579335798E-2</v>
      </c>
      <c r="T46" s="62">
        <f t="shared" si="20"/>
        <v>4.2099610168868908E-2</v>
      </c>
      <c r="U46" s="63">
        <f t="shared" si="21"/>
        <v>1.164738707661841E-3</v>
      </c>
      <c r="V46" s="64">
        <f t="shared" si="22"/>
        <v>1.0645785327837613E-2</v>
      </c>
      <c r="W46" s="65">
        <f t="shared" si="23"/>
        <v>1.0139838784515522</v>
      </c>
      <c r="X46" s="65">
        <f t="shared" si="24"/>
        <v>1.0794654695883411E-2</v>
      </c>
      <c r="Y46" s="72">
        <v>1</v>
      </c>
      <c r="Z46" s="72">
        <v>1</v>
      </c>
      <c r="AA46" s="67">
        <v>4026</v>
      </c>
      <c r="AB46" s="67">
        <v>24083580633</v>
      </c>
      <c r="AC46" s="55">
        <v>3260662465</v>
      </c>
      <c r="AD46" s="67">
        <v>2087893850</v>
      </c>
      <c r="AE46" s="55">
        <v>25256349247</v>
      </c>
      <c r="AF46" s="5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</row>
    <row r="47" spans="1:241" ht="16.5" customHeight="1" x14ac:dyDescent="0.25">
      <c r="A47" s="52">
        <v>42</v>
      </c>
      <c r="B47" s="95" t="s">
        <v>85</v>
      </c>
      <c r="C47" s="48" t="s">
        <v>84</v>
      </c>
      <c r="D47" s="55"/>
      <c r="E47" s="55"/>
      <c r="F47" s="55">
        <v>478867414.39999998</v>
      </c>
      <c r="G47" s="55"/>
      <c r="H47" s="55"/>
      <c r="I47" s="55">
        <v>163311986.31</v>
      </c>
      <c r="J47" s="55">
        <v>642179400.70000005</v>
      </c>
      <c r="K47" s="55">
        <v>14593252.18</v>
      </c>
      <c r="L47" s="55">
        <v>2244265.1800000002</v>
      </c>
      <c r="M47" s="58">
        <v>12348987</v>
      </c>
      <c r="N47" s="72">
        <v>1617093626.8800001</v>
      </c>
      <c r="O47" s="72">
        <v>6498574.4800000004</v>
      </c>
      <c r="P47" s="75">
        <v>1633255265.3900001</v>
      </c>
      <c r="Q47" s="61">
        <f t="shared" si="12"/>
        <v>2.8233309915002415E-3</v>
      </c>
      <c r="R47" s="75">
        <v>1610595052.3900001</v>
      </c>
      <c r="S47" s="61">
        <f t="shared" si="19"/>
        <v>2.7624975436019153E-3</v>
      </c>
      <c r="T47" s="62">
        <f t="shared" si="20"/>
        <v>-1.3874262939901827E-2</v>
      </c>
      <c r="U47" s="63">
        <f t="shared" si="21"/>
        <v>1.3934385161991415E-3</v>
      </c>
      <c r="V47" s="64">
        <f t="shared" si="22"/>
        <v>7.6673444275611336E-3</v>
      </c>
      <c r="W47" s="65">
        <f t="shared" si="23"/>
        <v>1.014995039541539</v>
      </c>
      <c r="X47" s="65">
        <f t="shared" si="24"/>
        <v>7.7823165604310124E-3</v>
      </c>
      <c r="Y47" s="72">
        <v>1</v>
      </c>
      <c r="Z47" s="72">
        <v>1.01</v>
      </c>
      <c r="AA47" s="67">
        <v>49</v>
      </c>
      <c r="AB47" s="67">
        <v>1621810110</v>
      </c>
      <c r="AC47" s="67">
        <v>72550000</v>
      </c>
      <c r="AD47" s="67">
        <v>107559200</v>
      </c>
      <c r="AE47" s="55">
        <v>1586800910</v>
      </c>
      <c r="AF47" s="5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</row>
    <row r="48" spans="1:241" ht="16.5" customHeight="1" x14ac:dyDescent="0.25">
      <c r="A48" s="154">
        <v>43</v>
      </c>
      <c r="B48" s="90" t="s">
        <v>78</v>
      </c>
      <c r="C48" s="90" t="s">
        <v>77</v>
      </c>
      <c r="D48" s="55"/>
      <c r="E48" s="55"/>
      <c r="F48" s="72">
        <v>410936048.73000002</v>
      </c>
      <c r="G48" s="72"/>
      <c r="H48" s="96"/>
      <c r="I48" s="97">
        <v>10274272.300000001</v>
      </c>
      <c r="J48" s="72">
        <v>421210321.01999998</v>
      </c>
      <c r="K48" s="70">
        <v>6241100.6200000001</v>
      </c>
      <c r="L48" s="70">
        <v>1139843.1499999999</v>
      </c>
      <c r="M48" s="58">
        <v>5101257.47</v>
      </c>
      <c r="N48" s="70">
        <v>603949080.25</v>
      </c>
      <c r="O48" s="91">
        <v>3173333.85</v>
      </c>
      <c r="P48" s="98">
        <v>592836000.15999997</v>
      </c>
      <c r="Q48" s="61">
        <f t="shared" si="12"/>
        <v>1.0248075041283243E-3</v>
      </c>
      <c r="R48" s="98">
        <v>597425746.39999998</v>
      </c>
      <c r="S48" s="61">
        <f t="shared" si="19"/>
        <v>1.0247064614196423E-3</v>
      </c>
      <c r="T48" s="62">
        <f t="shared" si="20"/>
        <v>7.7420167445318554E-3</v>
      </c>
      <c r="U48" s="63">
        <f t="shared" si="21"/>
        <v>1.9079243853625789E-3</v>
      </c>
      <c r="V48" s="64">
        <f t="shared" si="22"/>
        <v>8.5387305464142277E-3</v>
      </c>
      <c r="W48" s="65">
        <f t="shared" si="23"/>
        <v>1.0170949222570898</v>
      </c>
      <c r="X48" s="65">
        <f t="shared" si="24"/>
        <v>8.6846994812794179E-3</v>
      </c>
      <c r="Y48" s="72">
        <v>1</v>
      </c>
      <c r="Z48" s="72">
        <v>1</v>
      </c>
      <c r="AA48" s="67">
        <v>144</v>
      </c>
      <c r="AB48" s="55">
        <v>587774035.46000004</v>
      </c>
      <c r="AC48" s="67">
        <v>2470000</v>
      </c>
      <c r="AD48" s="67">
        <v>2859580.65</v>
      </c>
      <c r="AE48" s="55">
        <v>587384454.80999994</v>
      </c>
      <c r="AF48" s="5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</row>
    <row r="49" spans="1:241" ht="16.5" customHeight="1" x14ac:dyDescent="0.25">
      <c r="A49" s="52">
        <v>44</v>
      </c>
      <c r="B49" s="48" t="s">
        <v>72</v>
      </c>
      <c r="C49" s="48" t="s">
        <v>71</v>
      </c>
      <c r="D49" s="55"/>
      <c r="E49" s="55"/>
      <c r="F49" s="55">
        <v>16163537566.98</v>
      </c>
      <c r="G49" s="55"/>
      <c r="H49" s="55"/>
      <c r="I49" s="55"/>
      <c r="J49" s="55">
        <v>16163537566.98</v>
      </c>
      <c r="K49" s="55">
        <v>160132217.99000001</v>
      </c>
      <c r="L49" s="55">
        <v>18741870.079999998</v>
      </c>
      <c r="M49" s="58">
        <v>141390347.91</v>
      </c>
      <c r="N49" s="72">
        <v>16268405033.389999</v>
      </c>
      <c r="O49" s="72">
        <v>38157579.579999998</v>
      </c>
      <c r="P49" s="75">
        <v>16479820260.530001</v>
      </c>
      <c r="Q49" s="61">
        <f t="shared" si="12"/>
        <v>2.8487884448851083E-2</v>
      </c>
      <c r="R49" s="75">
        <v>16230247453.809999</v>
      </c>
      <c r="S49" s="61">
        <f t="shared" si="19"/>
        <v>2.7838169909107899E-2</v>
      </c>
      <c r="T49" s="62">
        <f t="shared" si="20"/>
        <v>-1.5144146160243061E-2</v>
      </c>
      <c r="U49" s="63">
        <f t="shared" si="21"/>
        <v>1.1547494967860397E-3</v>
      </c>
      <c r="V49" s="64">
        <f t="shared" si="22"/>
        <v>8.7115337158220011E-3</v>
      </c>
      <c r="W49" s="65">
        <f t="shared" si="23"/>
        <v>1.0183539050196162</v>
      </c>
      <c r="X49" s="65">
        <f t="shared" si="24"/>
        <v>8.871424378217382E-3</v>
      </c>
      <c r="Y49" s="72">
        <v>1</v>
      </c>
      <c r="Z49" s="72">
        <v>1</v>
      </c>
      <c r="AA49" s="67">
        <v>2665</v>
      </c>
      <c r="AB49" s="67">
        <v>16312817851.469999</v>
      </c>
      <c r="AC49" s="67">
        <v>1113933267.75</v>
      </c>
      <c r="AD49" s="67">
        <v>1489023209.6900001</v>
      </c>
      <c r="AE49" s="55">
        <v>15937727909.530001</v>
      </c>
      <c r="AF49" s="5"/>
    </row>
    <row r="50" spans="1:241" ht="16.5" customHeight="1" x14ac:dyDescent="0.25">
      <c r="A50" s="99" t="s">
        <v>88</v>
      </c>
      <c r="B50" s="23"/>
      <c r="C50" s="81" t="s">
        <v>50</v>
      </c>
      <c r="D50" s="82"/>
      <c r="E50" s="82"/>
      <c r="F50" s="82">
        <f>SUM(F21:F49)</f>
        <v>449984255166.81</v>
      </c>
      <c r="G50" s="82"/>
      <c r="H50" s="82"/>
      <c r="I50" s="82">
        <f t="shared" ref="I50:O50" si="25">SUM(I21:I49)</f>
        <v>137974095.76000002</v>
      </c>
      <c r="J50" s="82">
        <f t="shared" si="25"/>
        <v>476088739534.96002</v>
      </c>
      <c r="K50" s="82">
        <f t="shared" si="25"/>
        <v>6015414793.1800003</v>
      </c>
      <c r="L50" s="82">
        <f t="shared" si="25"/>
        <v>890970491.43999994</v>
      </c>
      <c r="M50" s="82">
        <f t="shared" si="25"/>
        <v>5141246999.1000004</v>
      </c>
      <c r="N50" s="82">
        <f t="shared" si="25"/>
        <v>590434575181.89001</v>
      </c>
      <c r="O50" s="82">
        <f t="shared" si="25"/>
        <v>8415452042.8500004</v>
      </c>
      <c r="P50" s="101">
        <f>SUM(P21:P49)</f>
        <v>578485225539.26013</v>
      </c>
      <c r="Q50" s="84">
        <f>(P50/$P$153)</f>
        <v>0.42085717654654792</v>
      </c>
      <c r="R50" s="101">
        <f>SUM(R21:R49)</f>
        <v>583021351863.36011</v>
      </c>
      <c r="S50" s="84">
        <f>(R50/$R$153)</f>
        <v>0.42555516623868395</v>
      </c>
      <c r="T50" s="85">
        <f t="shared" si="14"/>
        <v>7.8413866488490323E-3</v>
      </c>
      <c r="U50" s="86"/>
      <c r="V50" s="87"/>
      <c r="W50" s="88"/>
      <c r="X50" s="88"/>
      <c r="Y50" s="82"/>
      <c r="Z50" s="82"/>
      <c r="AA50" s="89">
        <f>SUM(AA21:AA49)</f>
        <v>221629</v>
      </c>
      <c r="AB50" s="89"/>
      <c r="AC50" s="89"/>
      <c r="AD50" s="89"/>
      <c r="AE50" s="82"/>
      <c r="AF50" s="5"/>
    </row>
    <row r="51" spans="1:241" ht="16.5" customHeight="1" x14ac:dyDescent="0.25">
      <c r="A51" s="155" t="s">
        <v>175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7"/>
      <c r="AF51" s="5"/>
    </row>
    <row r="52" spans="1:241" ht="16.5" customHeight="1" x14ac:dyDescent="0.25">
      <c r="A52" s="52">
        <v>45</v>
      </c>
      <c r="B52" s="48" t="s">
        <v>114</v>
      </c>
      <c r="C52" s="48" t="s">
        <v>48</v>
      </c>
      <c r="D52" s="72"/>
      <c r="E52" s="72"/>
      <c r="F52" s="72">
        <v>17634369.350000001</v>
      </c>
      <c r="G52" s="72">
        <v>333441100.37</v>
      </c>
      <c r="H52" s="72"/>
      <c r="I52" s="72"/>
      <c r="J52" s="72">
        <v>351075469.72000003</v>
      </c>
      <c r="K52" s="72">
        <v>4335278.8</v>
      </c>
      <c r="L52" s="72">
        <v>581483.87</v>
      </c>
      <c r="M52" s="58">
        <v>3753794.93</v>
      </c>
      <c r="N52" s="72">
        <v>408122067</v>
      </c>
      <c r="O52" s="72">
        <v>581483.87</v>
      </c>
      <c r="P52" s="75">
        <v>410608431.67000002</v>
      </c>
      <c r="Q52" s="61">
        <f t="shared" ref="Q52:Q61" si="26">(P52/$P$82)</f>
        <v>1.1332470265583634E-3</v>
      </c>
      <c r="R52" s="75">
        <v>407540583.13</v>
      </c>
      <c r="S52" s="61">
        <f t="shared" ref="S52:S81" si="27">(R52/$R$82)</f>
        <v>1.186091560451234E-3</v>
      </c>
      <c r="T52" s="62">
        <f t="shared" ref="T52:T82" si="28">((R52-P52)/P52)</f>
        <v>-7.4714699050934408E-3</v>
      </c>
      <c r="U52" s="63">
        <f>(L52/R52)</f>
        <v>1.4268121852652755E-3</v>
      </c>
      <c r="V52" s="64">
        <f>M52/R52</f>
        <v>9.2108493862624475E-3</v>
      </c>
      <c r="W52" s="65">
        <f>R52/AE52</f>
        <v>1.1625709991814297</v>
      </c>
      <c r="X52" s="65">
        <f>M52/AE52</f>
        <v>1.0708266374296791E-2</v>
      </c>
      <c r="Y52" s="102">
        <v>1.1599999999999999</v>
      </c>
      <c r="Z52" s="102">
        <v>1.1599999999999999</v>
      </c>
      <c r="AA52" s="67">
        <v>338</v>
      </c>
      <c r="AB52" s="67">
        <v>355528162.02999997</v>
      </c>
      <c r="AC52" s="67"/>
      <c r="AD52" s="67">
        <v>4977027.16</v>
      </c>
      <c r="AE52" s="55">
        <v>350551134.87</v>
      </c>
      <c r="AF52" s="5"/>
    </row>
    <row r="53" spans="1:241" ht="16.5" customHeight="1" x14ac:dyDescent="0.25">
      <c r="A53" s="52">
        <v>46</v>
      </c>
      <c r="B53" s="48" t="s">
        <v>116</v>
      </c>
      <c r="C53" s="49" t="s">
        <v>35</v>
      </c>
      <c r="D53" s="72"/>
      <c r="E53" s="72"/>
      <c r="F53" s="72">
        <v>60336573.460000001</v>
      </c>
      <c r="G53" s="72">
        <v>891184657.19000006</v>
      </c>
      <c r="H53" s="72"/>
      <c r="I53" s="72"/>
      <c r="J53" s="72">
        <v>951521230.64999998</v>
      </c>
      <c r="K53" s="72">
        <v>8204971.96</v>
      </c>
      <c r="L53" s="72">
        <v>14093301.189999999</v>
      </c>
      <c r="M53" s="58">
        <v>-5888329.2300000004</v>
      </c>
      <c r="N53" s="72">
        <v>1000652670</v>
      </c>
      <c r="O53" s="72">
        <v>48106223</v>
      </c>
      <c r="P53" s="75">
        <v>947120860</v>
      </c>
      <c r="Q53" s="61">
        <f t="shared" si="26"/>
        <v>2.6139791967277792E-3</v>
      </c>
      <c r="R53" s="75">
        <v>952546447</v>
      </c>
      <c r="S53" s="61">
        <f t="shared" si="27"/>
        <v>2.7722571652799427E-3</v>
      </c>
      <c r="T53" s="62">
        <f t="shared" ref="T53:T81" si="29">((R53-P53)/P53)</f>
        <v>5.7285054412168687E-3</v>
      </c>
      <c r="U53" s="63">
        <f t="shared" ref="U53:U81" si="30">(L53/R53)</f>
        <v>1.4795395263282106E-2</v>
      </c>
      <c r="V53" s="64">
        <f t="shared" ref="V53:V81" si="31">M53/R53</f>
        <v>-6.1816715064604089E-3</v>
      </c>
      <c r="W53" s="65">
        <f t="shared" ref="W53:W81" si="32">R53/AE53</f>
        <v>1.0583045123199626</v>
      </c>
      <c r="X53" s="65">
        <f t="shared" ref="X53:X81" si="33">M53/AE53</f>
        <v>-6.5420908489667922E-3</v>
      </c>
      <c r="Y53" s="102">
        <v>1.0583</v>
      </c>
      <c r="Z53" s="102">
        <v>1.0583</v>
      </c>
      <c r="AA53" s="67">
        <v>254</v>
      </c>
      <c r="AB53" s="55">
        <v>889439256</v>
      </c>
      <c r="AC53" s="55">
        <v>13410038</v>
      </c>
      <c r="AD53" s="67">
        <v>2780895</v>
      </c>
      <c r="AE53" s="55">
        <v>900068398</v>
      </c>
      <c r="AF53" s="5"/>
    </row>
    <row r="54" spans="1:241" ht="16.5" customHeight="1" x14ac:dyDescent="0.25">
      <c r="A54" s="52">
        <v>47</v>
      </c>
      <c r="B54" s="48" t="s">
        <v>199</v>
      </c>
      <c r="C54" s="48" t="s">
        <v>198</v>
      </c>
      <c r="D54" s="72"/>
      <c r="E54" s="72"/>
      <c r="F54" s="72">
        <v>59757946.740000002</v>
      </c>
      <c r="G54" s="72">
        <v>655092476.33000004</v>
      </c>
      <c r="H54" s="72"/>
      <c r="I54" s="72"/>
      <c r="J54" s="72">
        <v>714850423.07000005</v>
      </c>
      <c r="K54" s="72">
        <v>6801560.79</v>
      </c>
      <c r="L54" s="72">
        <v>7576992.6299999999</v>
      </c>
      <c r="M54" s="58">
        <v>-775431.84</v>
      </c>
      <c r="N54" s="72">
        <v>913316993</v>
      </c>
      <c r="O54" s="72">
        <v>10494754</v>
      </c>
      <c r="P54" s="75">
        <v>913862887</v>
      </c>
      <c r="Q54" s="61">
        <f t="shared" si="26"/>
        <v>2.5221898029778264E-3</v>
      </c>
      <c r="R54" s="75">
        <v>902822239</v>
      </c>
      <c r="S54" s="61">
        <f t="shared" si="27"/>
        <v>2.6275416058969677E-3</v>
      </c>
      <c r="T54" s="62">
        <f t="shared" si="29"/>
        <v>-1.2081295954849297E-2</v>
      </c>
      <c r="U54" s="63">
        <f t="shared" si="30"/>
        <v>8.3925631233813681E-3</v>
      </c>
      <c r="V54" s="64">
        <f t="shared" si="31"/>
        <v>-8.5889758415665259E-4</v>
      </c>
      <c r="W54" s="65">
        <f t="shared" si="32"/>
        <v>1.0243188847428986</v>
      </c>
      <c r="X54" s="65">
        <f t="shared" si="33"/>
        <v>-8.7978501551171226E-4</v>
      </c>
      <c r="Y54" s="102">
        <v>1.0243</v>
      </c>
      <c r="Z54" s="102">
        <v>1.0243</v>
      </c>
      <c r="AA54" s="67">
        <v>34</v>
      </c>
      <c r="AB54" s="67">
        <v>891361088</v>
      </c>
      <c r="AC54" s="67">
        <v>38955</v>
      </c>
      <c r="AD54" s="67">
        <v>10012174</v>
      </c>
      <c r="AE54" s="55">
        <v>881387869</v>
      </c>
      <c r="AF54" s="5"/>
    </row>
    <row r="55" spans="1:241" ht="16.5" customHeight="1" x14ac:dyDescent="0.25">
      <c r="A55" s="52">
        <v>48</v>
      </c>
      <c r="B55" s="48" t="s">
        <v>146</v>
      </c>
      <c r="C55" s="49" t="s">
        <v>117</v>
      </c>
      <c r="D55" s="72"/>
      <c r="E55" s="72"/>
      <c r="F55" s="72">
        <v>0</v>
      </c>
      <c r="G55" s="72">
        <v>229945294.22</v>
      </c>
      <c r="H55" s="103"/>
      <c r="I55" s="97">
        <v>0</v>
      </c>
      <c r="J55" s="97">
        <v>229945294.22</v>
      </c>
      <c r="K55" s="97">
        <v>2556842.25</v>
      </c>
      <c r="L55" s="72">
        <v>376424.6</v>
      </c>
      <c r="M55" s="58">
        <v>2180417.65</v>
      </c>
      <c r="N55" s="72">
        <v>252615722.21000001</v>
      </c>
      <c r="O55" s="72">
        <v>3838568.01</v>
      </c>
      <c r="P55" s="75">
        <v>241116701.41</v>
      </c>
      <c r="Q55" s="61">
        <f t="shared" si="26"/>
        <v>6.6546316113168876E-4</v>
      </c>
      <c r="R55" s="75">
        <v>241116701.41</v>
      </c>
      <c r="S55" s="61">
        <f t="shared" si="27"/>
        <v>7.0173743785171769E-4</v>
      </c>
      <c r="T55" s="62">
        <f t="shared" si="29"/>
        <v>0</v>
      </c>
      <c r="U55" s="63">
        <f t="shared" si="30"/>
        <v>1.5611718217723937E-3</v>
      </c>
      <c r="V55" s="64">
        <f t="shared" si="31"/>
        <v>9.0429971762610133E-3</v>
      </c>
      <c r="W55" s="65">
        <f t="shared" si="32"/>
        <v>1089.3006614411565</v>
      </c>
      <c r="X55" s="65">
        <f t="shared" si="33"/>
        <v>9.8505428055116333</v>
      </c>
      <c r="Y55" s="102">
        <v>1078.73</v>
      </c>
      <c r="Z55" s="102">
        <v>1078.73</v>
      </c>
      <c r="AA55" s="67">
        <v>110</v>
      </c>
      <c r="AB55" s="67">
        <v>224970</v>
      </c>
      <c r="AC55" s="67">
        <v>70</v>
      </c>
      <c r="AD55" s="67">
        <v>3690</v>
      </c>
      <c r="AE55" s="55">
        <v>221350</v>
      </c>
      <c r="AF55" s="5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</row>
    <row r="56" spans="1:241" ht="16.5" customHeight="1" x14ac:dyDescent="0.25">
      <c r="A56" s="52">
        <v>49</v>
      </c>
      <c r="B56" s="48" t="s">
        <v>144</v>
      </c>
      <c r="C56" s="49" t="s">
        <v>143</v>
      </c>
      <c r="D56" s="72"/>
      <c r="E56" s="72"/>
      <c r="F56" s="72">
        <v>143585401.90000001</v>
      </c>
      <c r="G56" s="72">
        <v>1035982546.52</v>
      </c>
      <c r="H56" s="72"/>
      <c r="I56" s="72"/>
      <c r="J56" s="72">
        <v>1179567948.4200001</v>
      </c>
      <c r="K56" s="72">
        <v>11874085.65</v>
      </c>
      <c r="L56" s="72">
        <v>1879129.67</v>
      </c>
      <c r="M56" s="58">
        <v>9994955.9800000004</v>
      </c>
      <c r="N56" s="72">
        <v>1382412539.97</v>
      </c>
      <c r="O56" s="72">
        <v>5628198.1799999997</v>
      </c>
      <c r="P56" s="75">
        <v>1393379721</v>
      </c>
      <c r="Q56" s="61">
        <f t="shared" si="26"/>
        <v>3.8456186086286365E-3</v>
      </c>
      <c r="R56" s="75">
        <v>1376784341.79</v>
      </c>
      <c r="S56" s="61">
        <f t="shared" si="27"/>
        <v>4.0069439853493644E-3</v>
      </c>
      <c r="T56" s="62">
        <f t="shared" si="29"/>
        <v>-1.1910162721537153E-2</v>
      </c>
      <c r="U56" s="63">
        <f t="shared" si="30"/>
        <v>1.3648685658037665E-3</v>
      </c>
      <c r="V56" s="64">
        <f t="shared" si="31"/>
        <v>7.2596380396113807E-3</v>
      </c>
      <c r="W56" s="65">
        <f t="shared" si="32"/>
        <v>1.0355144157900611</v>
      </c>
      <c r="X56" s="65">
        <f t="shared" si="33"/>
        <v>7.5174598434354836E-3</v>
      </c>
      <c r="Y56" s="54">
        <v>1.0350999999999999</v>
      </c>
      <c r="Z56" s="54">
        <v>1.0350999999999999</v>
      </c>
      <c r="AA56" s="67">
        <v>682</v>
      </c>
      <c r="AB56" s="67">
        <v>1355754485.22</v>
      </c>
      <c r="AC56" s="67">
        <v>46365447.229999997</v>
      </c>
      <c r="AD56" s="67">
        <v>72554336.069999993</v>
      </c>
      <c r="AE56" s="91">
        <v>1329565596.3800001</v>
      </c>
      <c r="AF56" s="5"/>
    </row>
    <row r="57" spans="1:241" ht="16.5" customHeight="1" x14ac:dyDescent="0.25">
      <c r="A57" s="52">
        <v>50</v>
      </c>
      <c r="B57" s="48" t="s">
        <v>216</v>
      </c>
      <c r="C57" s="48" t="s">
        <v>98</v>
      </c>
      <c r="D57" s="72"/>
      <c r="E57" s="72"/>
      <c r="F57" s="72">
        <v>31176272.370000001</v>
      </c>
      <c r="G57" s="72">
        <v>379154053.54000002</v>
      </c>
      <c r="H57" s="72"/>
      <c r="I57" s="72"/>
      <c r="J57" s="72">
        <v>410330325.91000003</v>
      </c>
      <c r="K57" s="72">
        <v>2846668.38</v>
      </c>
      <c r="L57" s="72">
        <v>828300.52</v>
      </c>
      <c r="M57" s="58">
        <v>1571123.25</v>
      </c>
      <c r="N57" s="72">
        <v>438546509.04000002</v>
      </c>
      <c r="O57" s="72">
        <v>21921950.98</v>
      </c>
      <c r="P57" s="75">
        <v>425842848.91000003</v>
      </c>
      <c r="Q57" s="61">
        <f t="shared" si="26"/>
        <v>1.1752928217904851E-3</v>
      </c>
      <c r="R57" s="75">
        <v>416624558.04000002</v>
      </c>
      <c r="S57" s="61">
        <f t="shared" si="27"/>
        <v>1.2125292366535691E-3</v>
      </c>
      <c r="T57" s="62">
        <f t="shared" si="29"/>
        <v>-2.1647166069819923E-2</v>
      </c>
      <c r="U57" s="63">
        <f t="shared" si="30"/>
        <v>1.9881221690260398E-3</v>
      </c>
      <c r="V57" s="64">
        <f t="shared" si="31"/>
        <v>3.771076907687129E-3</v>
      </c>
      <c r="W57" s="65">
        <f t="shared" si="32"/>
        <v>2.117570196910759</v>
      </c>
      <c r="X57" s="65">
        <f t="shared" si="33"/>
        <v>7.9855200699766489E-3</v>
      </c>
      <c r="Y57" s="102">
        <v>2.0489000000000002</v>
      </c>
      <c r="Z57" s="102">
        <v>2.0489000000000002</v>
      </c>
      <c r="AA57" s="67">
        <v>1406</v>
      </c>
      <c r="AB57" s="67">
        <v>197197691.45249999</v>
      </c>
      <c r="AC57" s="67">
        <v>296450.28999999998</v>
      </c>
      <c r="AD57" s="67">
        <v>747626.02</v>
      </c>
      <c r="AE57" s="55">
        <v>196746515.7225</v>
      </c>
      <c r="AF57" s="5"/>
    </row>
    <row r="58" spans="1:241" ht="16.5" customHeight="1" x14ac:dyDescent="0.25">
      <c r="A58" s="52">
        <v>51</v>
      </c>
      <c r="B58" s="48" t="s">
        <v>181</v>
      </c>
      <c r="C58" s="48" t="s">
        <v>29</v>
      </c>
      <c r="D58" s="72"/>
      <c r="E58" s="72"/>
      <c r="F58" s="72">
        <v>759705318.91999996</v>
      </c>
      <c r="G58" s="72">
        <v>2698350720.5500002</v>
      </c>
      <c r="H58" s="72"/>
      <c r="I58" s="72"/>
      <c r="J58" s="72">
        <v>3462072731.8800001</v>
      </c>
      <c r="K58" s="72">
        <v>33052785.969999999</v>
      </c>
      <c r="L58" s="72">
        <v>5543418.1600000001</v>
      </c>
      <c r="M58" s="58">
        <v>27509367.800000001</v>
      </c>
      <c r="N58" s="72">
        <v>3462072731.8800001</v>
      </c>
      <c r="O58" s="72">
        <v>12501900.57</v>
      </c>
      <c r="P58" s="75">
        <v>3193071297.6199999</v>
      </c>
      <c r="Q58" s="61">
        <f t="shared" si="26"/>
        <v>8.8126260313253543E-3</v>
      </c>
      <c r="R58" s="75">
        <v>3449570831.3099999</v>
      </c>
      <c r="S58" s="61">
        <f t="shared" si="27"/>
        <v>1.0039507768212625E-2</v>
      </c>
      <c r="T58" s="62">
        <f t="shared" si="29"/>
        <v>8.0330036438956295E-2</v>
      </c>
      <c r="U58" s="63">
        <f t="shared" si="30"/>
        <v>1.6069877764750364E-3</v>
      </c>
      <c r="V58" s="64">
        <f t="shared" si="31"/>
        <v>7.974721826353429E-3</v>
      </c>
      <c r="W58" s="65">
        <f t="shared" si="32"/>
        <v>108.98697153967704</v>
      </c>
      <c r="X58" s="65">
        <f t="shared" si="33"/>
        <v>0.86914078072562251</v>
      </c>
      <c r="Y58" s="102">
        <v>108.99</v>
      </c>
      <c r="Z58" s="102">
        <v>108.99</v>
      </c>
      <c r="AA58" s="67">
        <v>116</v>
      </c>
      <c r="AB58" s="67">
        <v>29541180</v>
      </c>
      <c r="AC58" s="67">
        <v>2133785</v>
      </c>
      <c r="AD58" s="67">
        <v>23743</v>
      </c>
      <c r="AE58" s="55">
        <v>31651222</v>
      </c>
      <c r="AF58" s="5"/>
    </row>
    <row r="59" spans="1:241" ht="16.5" customHeight="1" x14ac:dyDescent="0.25">
      <c r="A59" s="52">
        <v>52</v>
      </c>
      <c r="B59" s="49" t="s">
        <v>95</v>
      </c>
      <c r="C59" s="48" t="s">
        <v>79</v>
      </c>
      <c r="D59" s="72"/>
      <c r="E59" s="72"/>
      <c r="F59" s="72">
        <v>715632301.5</v>
      </c>
      <c r="G59" s="72">
        <v>2100655384.8099999</v>
      </c>
      <c r="H59" s="72"/>
      <c r="I59" s="72"/>
      <c r="J59" s="72">
        <v>2816287686.3000002</v>
      </c>
      <c r="K59" s="72">
        <v>24493549.379999999</v>
      </c>
      <c r="L59" s="72">
        <v>4822814.8499999996</v>
      </c>
      <c r="M59" s="58">
        <v>19670734.530000001</v>
      </c>
      <c r="N59" s="72">
        <v>2824073416.6399999</v>
      </c>
      <c r="O59" s="72">
        <v>47408675.939999998</v>
      </c>
      <c r="P59" s="75">
        <v>2808238109.0999999</v>
      </c>
      <c r="Q59" s="61">
        <f t="shared" si="26"/>
        <v>7.7505166517455393E-3</v>
      </c>
      <c r="R59" s="75">
        <v>2776664740.6999998</v>
      </c>
      <c r="S59" s="61">
        <f t="shared" si="27"/>
        <v>8.0811059106136677E-3</v>
      </c>
      <c r="T59" s="62">
        <f t="shared" si="29"/>
        <v>-1.124312368587538E-2</v>
      </c>
      <c r="U59" s="63">
        <f t="shared" si="30"/>
        <v>1.7369093140082023E-3</v>
      </c>
      <c r="V59" s="64">
        <f t="shared" si="31"/>
        <v>7.0843030639129272E-3</v>
      </c>
      <c r="W59" s="65">
        <f t="shared" si="32"/>
        <v>3683.6505682136653</v>
      </c>
      <c r="X59" s="65">
        <f t="shared" si="33"/>
        <v>26.096097006780663</v>
      </c>
      <c r="Y59" s="102">
        <v>3683.65</v>
      </c>
      <c r="Z59" s="102">
        <v>3683.65</v>
      </c>
      <c r="AA59" s="67">
        <v>1013</v>
      </c>
      <c r="AB59" s="67">
        <v>767742.67</v>
      </c>
      <c r="AC59" s="67">
        <v>1764.88</v>
      </c>
      <c r="AD59" s="67">
        <v>15726.84</v>
      </c>
      <c r="AE59" s="55">
        <v>753780.71</v>
      </c>
      <c r="AF59" s="5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</row>
    <row r="60" spans="1:241" ht="16.5" customHeight="1" x14ac:dyDescent="0.25">
      <c r="A60" s="52">
        <v>53</v>
      </c>
      <c r="B60" s="48" t="s">
        <v>195</v>
      </c>
      <c r="C60" s="48" t="s">
        <v>63</v>
      </c>
      <c r="D60" s="72"/>
      <c r="E60" s="72"/>
      <c r="F60" s="72">
        <v>48002531.329999998</v>
      </c>
      <c r="G60" s="72">
        <v>277530234.5</v>
      </c>
      <c r="H60" s="72"/>
      <c r="I60" s="72"/>
      <c r="J60" s="72">
        <v>325532765.82999998</v>
      </c>
      <c r="K60" s="72">
        <v>3660480.77</v>
      </c>
      <c r="L60" s="72">
        <v>737614.23</v>
      </c>
      <c r="M60" s="58">
        <v>2922866.54</v>
      </c>
      <c r="N60" s="72">
        <v>371111955.38</v>
      </c>
      <c r="O60" s="72">
        <v>5398826.9100000001</v>
      </c>
      <c r="P60" s="75">
        <v>370001733.69</v>
      </c>
      <c r="Q60" s="61">
        <f t="shared" si="26"/>
        <v>1.0211757289548791E-3</v>
      </c>
      <c r="R60" s="75">
        <v>365713128.47000003</v>
      </c>
      <c r="S60" s="61">
        <f t="shared" si="27"/>
        <v>1.0643584300072475E-3</v>
      </c>
      <c r="T60" s="62">
        <f t="shared" si="29"/>
        <v>-1.1590770608640196E-2</v>
      </c>
      <c r="U60" s="63">
        <f t="shared" si="30"/>
        <v>2.0169202923774926E-3</v>
      </c>
      <c r="V60" s="64">
        <f t="shared" si="31"/>
        <v>7.9922384854711793E-3</v>
      </c>
      <c r="W60" s="65">
        <f t="shared" si="32"/>
        <v>104.44246616736756</v>
      </c>
      <c r="X60" s="65">
        <f t="shared" si="33"/>
        <v>0.83472909762035652</v>
      </c>
      <c r="Y60" s="102">
        <v>104.43</v>
      </c>
      <c r="Z60" s="102">
        <v>104.43</v>
      </c>
      <c r="AA60" s="67">
        <v>127</v>
      </c>
      <c r="AB60" s="67">
        <v>3589626</v>
      </c>
      <c r="AC60" s="67">
        <v>7710</v>
      </c>
      <c r="AD60" s="67">
        <v>95761</v>
      </c>
      <c r="AE60" s="67">
        <v>3501575</v>
      </c>
      <c r="AF60" s="5"/>
    </row>
    <row r="61" spans="1:241" ht="18" customHeight="1" x14ac:dyDescent="0.25">
      <c r="A61" s="52">
        <v>54</v>
      </c>
      <c r="B61" s="49" t="s">
        <v>112</v>
      </c>
      <c r="C61" s="49" t="s">
        <v>69</v>
      </c>
      <c r="D61" s="72"/>
      <c r="E61" s="72"/>
      <c r="F61" s="72">
        <v>46545135.479999997</v>
      </c>
      <c r="G61" s="72">
        <v>241945585.58000001</v>
      </c>
      <c r="H61" s="72"/>
      <c r="I61" s="72"/>
      <c r="J61" s="72">
        <v>288490721.06</v>
      </c>
      <c r="K61" s="72">
        <v>2774438.93</v>
      </c>
      <c r="L61" s="72">
        <v>665369.14</v>
      </c>
      <c r="M61" s="58">
        <v>4650336.82</v>
      </c>
      <c r="N61" s="72">
        <v>324150451.33999997</v>
      </c>
      <c r="O61" s="72">
        <v>4674890.1399999997</v>
      </c>
      <c r="P61" s="75">
        <v>324214987.75999999</v>
      </c>
      <c r="Q61" s="61">
        <f t="shared" si="26"/>
        <v>8.9480790579566749E-4</v>
      </c>
      <c r="R61" s="75">
        <v>319475561.19999999</v>
      </c>
      <c r="S61" s="61">
        <f t="shared" si="27"/>
        <v>9.2979026530191954E-4</v>
      </c>
      <c r="T61" s="62">
        <f t="shared" si="29"/>
        <v>-1.4618159983117008E-2</v>
      </c>
      <c r="U61" s="63">
        <f t="shared" si="30"/>
        <v>2.0826918262566623E-3</v>
      </c>
      <c r="V61" s="64">
        <f t="shared" si="31"/>
        <v>1.4556158231736446E-2</v>
      </c>
      <c r="W61" s="65">
        <f t="shared" si="32"/>
        <v>1.3570453324722738</v>
      </c>
      <c r="X61" s="65">
        <f t="shared" si="33"/>
        <v>1.975336658710581E-2</v>
      </c>
      <c r="Y61" s="102">
        <v>1.357</v>
      </c>
      <c r="Z61" s="102">
        <v>1.357</v>
      </c>
      <c r="AA61" s="67">
        <v>259</v>
      </c>
      <c r="AB61" s="67">
        <v>242411073.59</v>
      </c>
      <c r="AC61" s="67">
        <v>107872.01</v>
      </c>
      <c r="AD61" s="67">
        <v>7098983.1600000001</v>
      </c>
      <c r="AE61" s="55">
        <v>235419962.44</v>
      </c>
      <c r="AF61" s="5"/>
    </row>
    <row r="62" spans="1:241" ht="18" customHeight="1" x14ac:dyDescent="0.25">
      <c r="A62" s="52">
        <v>55</v>
      </c>
      <c r="B62" s="48" t="s">
        <v>201</v>
      </c>
      <c r="C62" s="48" t="s">
        <v>202</v>
      </c>
      <c r="D62" s="72"/>
      <c r="E62" s="72"/>
      <c r="F62" s="72">
        <v>260023561.63999999</v>
      </c>
      <c r="G62" s="72">
        <v>16487973.48</v>
      </c>
      <c r="H62" s="72"/>
      <c r="I62" s="72"/>
      <c r="J62" s="72">
        <f>260023561.64+16487973.48</f>
        <v>276511535.12</v>
      </c>
      <c r="K62" s="72">
        <v>8844437.9100000001</v>
      </c>
      <c r="L62" s="72">
        <v>2767403.93</v>
      </c>
      <c r="M62" s="58">
        <v>6077033.9800000004</v>
      </c>
      <c r="N62" s="72">
        <v>399917000</v>
      </c>
      <c r="O62" s="72">
        <v>3013057.46</v>
      </c>
      <c r="P62" s="75">
        <v>390775332.36000001</v>
      </c>
      <c r="Q62" s="61"/>
      <c r="R62" s="75">
        <v>396903942.54000002</v>
      </c>
      <c r="S62" s="61">
        <f t="shared" si="27"/>
        <v>1.1551350614972939E-3</v>
      </c>
      <c r="T62" s="62">
        <f t="shared" si="29"/>
        <v>1.5683206365631218E-2</v>
      </c>
      <c r="U62" s="63">
        <f t="shared" si="30"/>
        <v>6.9724778048056322E-3</v>
      </c>
      <c r="V62" s="64">
        <f t="shared" si="31"/>
        <v>1.5311095024931772E-2</v>
      </c>
      <c r="W62" s="65">
        <f t="shared" si="32"/>
        <v>1047.2067969879581</v>
      </c>
      <c r="X62" s="65">
        <f t="shared" si="33"/>
        <v>16.033882779437064</v>
      </c>
      <c r="Y62" s="102">
        <v>1000</v>
      </c>
      <c r="Z62" s="102">
        <v>1000</v>
      </c>
      <c r="AA62" s="67">
        <v>126</v>
      </c>
      <c r="AB62" s="67">
        <v>374127</v>
      </c>
      <c r="AC62" s="67">
        <v>11151</v>
      </c>
      <c r="AD62" s="67">
        <v>32056</v>
      </c>
      <c r="AE62" s="55">
        <v>379012</v>
      </c>
      <c r="AF62" s="5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</row>
    <row r="63" spans="1:241" ht="16.5" customHeight="1" x14ac:dyDescent="0.25">
      <c r="A63" s="52">
        <v>56</v>
      </c>
      <c r="B63" s="48" t="s">
        <v>184</v>
      </c>
      <c r="C63" s="48" t="s">
        <v>67</v>
      </c>
      <c r="D63" s="72"/>
      <c r="E63" s="72"/>
      <c r="F63" s="72">
        <v>11050928.789999999</v>
      </c>
      <c r="G63" s="72">
        <v>249202203.84</v>
      </c>
      <c r="H63" s="72"/>
      <c r="I63" s="72"/>
      <c r="J63" s="72">
        <v>397667365.06</v>
      </c>
      <c r="K63" s="72">
        <v>4175784.12</v>
      </c>
      <c r="L63" s="72">
        <v>776016.31</v>
      </c>
      <c r="M63" s="58">
        <v>3399767.81</v>
      </c>
      <c r="N63" s="72">
        <v>397667365.06</v>
      </c>
      <c r="O63" s="72">
        <v>3981033.52</v>
      </c>
      <c r="P63" s="75">
        <v>393446487.29000002</v>
      </c>
      <c r="Q63" s="61">
        <f t="shared" ref="Q63:Q81" si="34">(P63/$P$82)</f>
        <v>1.0858814077874715E-3</v>
      </c>
      <c r="R63" s="75">
        <v>393686331.54000002</v>
      </c>
      <c r="S63" s="61">
        <f t="shared" si="27"/>
        <v>1.1457706413391727E-3</v>
      </c>
      <c r="T63" s="62">
        <f t="shared" si="29"/>
        <v>6.0959814802773041E-4</v>
      </c>
      <c r="U63" s="63">
        <f t="shared" si="30"/>
        <v>1.9711538040053946E-3</v>
      </c>
      <c r="V63" s="64">
        <f t="shared" si="31"/>
        <v>8.6357273230721013E-3</v>
      </c>
      <c r="W63" s="65">
        <f t="shared" si="32"/>
        <v>1143.9215805087824</v>
      </c>
      <c r="X63" s="65">
        <f t="shared" si="33"/>
        <v>9.8785948482515149</v>
      </c>
      <c r="Y63" s="55">
        <v>1143.92</v>
      </c>
      <c r="Z63" s="102">
        <v>1134.9000000000001</v>
      </c>
      <c r="AA63" s="67">
        <v>102</v>
      </c>
      <c r="AB63" s="67">
        <v>346870</v>
      </c>
      <c r="AC63" s="66"/>
      <c r="AD63" s="66">
        <v>2715</v>
      </c>
      <c r="AE63" s="55">
        <v>344155</v>
      </c>
      <c r="AF63" s="5"/>
      <c r="AG63" s="43"/>
    </row>
    <row r="64" spans="1:241" ht="15.75" customHeight="1" x14ac:dyDescent="0.25">
      <c r="A64" s="52">
        <v>57</v>
      </c>
      <c r="B64" s="48" t="s">
        <v>154</v>
      </c>
      <c r="C64" s="49" t="s">
        <v>152</v>
      </c>
      <c r="D64" s="72"/>
      <c r="E64" s="72"/>
      <c r="F64" s="72">
        <v>18052359.52</v>
      </c>
      <c r="G64" s="72">
        <v>517809565.69</v>
      </c>
      <c r="H64" s="72"/>
      <c r="I64" s="72">
        <v>806854.01</v>
      </c>
      <c r="J64" s="72">
        <v>18859213.530000001</v>
      </c>
      <c r="K64" s="94">
        <v>6497779.6399999997</v>
      </c>
      <c r="L64" s="94">
        <v>1260543.5900000001</v>
      </c>
      <c r="M64" s="58">
        <v>5237236.05</v>
      </c>
      <c r="N64" s="72">
        <v>677967890.05999994</v>
      </c>
      <c r="O64" s="72">
        <v>634063752.50999999</v>
      </c>
      <c r="P64" s="75">
        <v>665037731.13999999</v>
      </c>
      <c r="Q64" s="61">
        <f t="shared" si="34"/>
        <v>1.8354519129047608E-3</v>
      </c>
      <c r="R64" s="75">
        <v>670102283.37</v>
      </c>
      <c r="S64" s="61">
        <f t="shared" si="27"/>
        <v>1.950241757127601E-3</v>
      </c>
      <c r="T64" s="62">
        <f t="shared" si="29"/>
        <v>7.6154359261968825E-3</v>
      </c>
      <c r="U64" s="63">
        <f t="shared" si="30"/>
        <v>1.8811211680411261E-3</v>
      </c>
      <c r="V64" s="64">
        <f t="shared" si="31"/>
        <v>7.8155770842348194E-3</v>
      </c>
      <c r="W64" s="65">
        <f t="shared" si="32"/>
        <v>1.05990535455938</v>
      </c>
      <c r="X64" s="65">
        <f t="shared" si="33"/>
        <v>8.2837720005520723E-3</v>
      </c>
      <c r="Y64" s="104">
        <v>1.06</v>
      </c>
      <c r="Z64" s="104">
        <v>1.06</v>
      </c>
      <c r="AA64" s="94">
        <v>36</v>
      </c>
      <c r="AB64" s="94">
        <v>632397999.87</v>
      </c>
      <c r="AC64" s="94">
        <v>876028.4</v>
      </c>
      <c r="AD64" s="94">
        <v>1045612.33</v>
      </c>
      <c r="AE64" s="55">
        <v>632228415.95000005</v>
      </c>
      <c r="AF64" s="5"/>
    </row>
    <row r="65" spans="1:241" ht="16.5" customHeight="1" x14ac:dyDescent="0.25">
      <c r="A65" s="52">
        <v>58</v>
      </c>
      <c r="B65" s="48" t="s">
        <v>217</v>
      </c>
      <c r="C65" s="48" t="s">
        <v>37</v>
      </c>
      <c r="D65" s="72"/>
      <c r="E65" s="72"/>
      <c r="F65" s="72">
        <v>11017430399.85</v>
      </c>
      <c r="G65" s="72">
        <v>45923267648.93</v>
      </c>
      <c r="H65" s="72"/>
      <c r="I65" s="72"/>
      <c r="J65" s="72">
        <v>59297479576.199997</v>
      </c>
      <c r="K65" s="72">
        <v>638525601.01999998</v>
      </c>
      <c r="L65" s="72">
        <v>67038026.829999998</v>
      </c>
      <c r="M65" s="58">
        <v>571487574.19000006</v>
      </c>
      <c r="N65" s="72">
        <v>59462584012.139999</v>
      </c>
      <c r="O65" s="72">
        <v>165104435.94999999</v>
      </c>
      <c r="P65" s="75">
        <v>58446263647.540001</v>
      </c>
      <c r="Q65" s="61">
        <f t="shared" si="34"/>
        <v>0.16130709791476522</v>
      </c>
      <c r="R65" s="75">
        <v>59297479576.190002</v>
      </c>
      <c r="S65" s="61">
        <f t="shared" si="27"/>
        <v>0.17257726713050645</v>
      </c>
      <c r="T65" s="62">
        <f t="shared" si="29"/>
        <v>1.4564077761809657E-2</v>
      </c>
      <c r="U65" s="63">
        <f t="shared" si="30"/>
        <v>1.1305375423902181E-3</v>
      </c>
      <c r="V65" s="64">
        <f t="shared" si="31"/>
        <v>9.6376368485562441E-3</v>
      </c>
      <c r="W65" s="65">
        <f t="shared" si="32"/>
        <v>1455.4032738292717</v>
      </c>
      <c r="X65" s="65">
        <f t="shared" si="33"/>
        <v>14.026648221366381</v>
      </c>
      <c r="Y65" s="54">
        <v>1455.4</v>
      </c>
      <c r="Z65" s="54">
        <v>1455.4</v>
      </c>
      <c r="AA65" s="67">
        <v>2501</v>
      </c>
      <c r="AB65" s="67">
        <v>40518167</v>
      </c>
      <c r="AC65" s="67">
        <v>4346565</v>
      </c>
      <c r="AD65" s="67">
        <v>4121742</v>
      </c>
      <c r="AE65" s="55">
        <v>40742989</v>
      </c>
      <c r="AF65" s="5"/>
    </row>
    <row r="66" spans="1:241" ht="16.5" customHeight="1" x14ac:dyDescent="0.25">
      <c r="A66" s="52">
        <v>59</v>
      </c>
      <c r="B66" s="48" t="s">
        <v>145</v>
      </c>
      <c r="C66" s="48" t="s">
        <v>75</v>
      </c>
      <c r="D66" s="55"/>
      <c r="E66" s="72"/>
      <c r="F66" s="72"/>
      <c r="G66" s="72">
        <v>18411061.199999999</v>
      </c>
      <c r="H66" s="72"/>
      <c r="I66" s="72"/>
      <c r="J66" s="72">
        <v>25807368.379999999</v>
      </c>
      <c r="K66" s="72">
        <v>193483.12</v>
      </c>
      <c r="L66" s="72">
        <v>245079.13</v>
      </c>
      <c r="M66" s="58">
        <v>-51596.01</v>
      </c>
      <c r="N66" s="72">
        <v>25807368.379999999</v>
      </c>
      <c r="O66" s="72">
        <v>2668123.5099999998</v>
      </c>
      <c r="P66" s="75">
        <v>22967481.84</v>
      </c>
      <c r="Q66" s="61">
        <f t="shared" si="34"/>
        <v>6.3388446254877191E-5</v>
      </c>
      <c r="R66" s="75">
        <v>23139244.870000001</v>
      </c>
      <c r="S66" s="61">
        <f t="shared" si="27"/>
        <v>6.7343632000366546E-5</v>
      </c>
      <c r="T66" s="62">
        <f t="shared" si="29"/>
        <v>7.4785312206434376E-3</v>
      </c>
      <c r="U66" s="63">
        <f t="shared" si="30"/>
        <v>1.0591492132819976E-2</v>
      </c>
      <c r="V66" s="64">
        <f t="shared" si="31"/>
        <v>-2.2298052633037374E-3</v>
      </c>
      <c r="W66" s="65">
        <f t="shared" si="32"/>
        <v>0.68476069985517463</v>
      </c>
      <c r="X66" s="65">
        <f t="shared" si="33"/>
        <v>-1.5268830126406189E-3</v>
      </c>
      <c r="Y66" s="54">
        <v>0.68479999999999996</v>
      </c>
      <c r="Z66" s="54">
        <v>0.68479999999999996</v>
      </c>
      <c r="AA66" s="67">
        <v>752</v>
      </c>
      <c r="AB66" s="67">
        <v>33791724.43</v>
      </c>
      <c r="AC66" s="67"/>
      <c r="AD66" s="67"/>
      <c r="AE66" s="55">
        <v>33791724.43</v>
      </c>
      <c r="AF66" s="5"/>
    </row>
    <row r="67" spans="1:241" ht="16.5" customHeight="1" x14ac:dyDescent="0.25">
      <c r="A67" s="52">
        <v>60</v>
      </c>
      <c r="B67" s="90" t="s">
        <v>107</v>
      </c>
      <c r="C67" s="48" t="s">
        <v>44</v>
      </c>
      <c r="D67" s="72"/>
      <c r="E67" s="72"/>
      <c r="F67" s="72">
        <v>8391338.1199999992</v>
      </c>
      <c r="G67" s="72">
        <v>160564350.33000001</v>
      </c>
      <c r="H67" s="72"/>
      <c r="I67" s="72"/>
      <c r="J67" s="72">
        <v>168955688.44999999</v>
      </c>
      <c r="K67" s="72">
        <v>1290550.51</v>
      </c>
      <c r="L67" s="72">
        <v>558710.86</v>
      </c>
      <c r="M67" s="58">
        <v>731839.65</v>
      </c>
      <c r="N67" s="72">
        <v>179515847.34999999</v>
      </c>
      <c r="O67" s="72">
        <v>7904697.2999999998</v>
      </c>
      <c r="P67" s="75">
        <v>171177505.03999999</v>
      </c>
      <c r="Q67" s="61">
        <f t="shared" si="34"/>
        <v>4.7243647143652248E-4</v>
      </c>
      <c r="R67" s="75">
        <v>171611150.05000001</v>
      </c>
      <c r="S67" s="61">
        <f t="shared" si="27"/>
        <v>4.9945096311722836E-4</v>
      </c>
      <c r="T67" s="62">
        <f t="shared" si="29"/>
        <v>2.5333060550139929E-3</v>
      </c>
      <c r="U67" s="63">
        <f t="shared" si="30"/>
        <v>3.2556792483309856E-3</v>
      </c>
      <c r="V67" s="64">
        <f t="shared" si="31"/>
        <v>4.2645227293609646E-3</v>
      </c>
      <c r="W67" s="65">
        <f t="shared" si="32"/>
        <v>148.77787226735845</v>
      </c>
      <c r="X67" s="65">
        <f t="shared" si="33"/>
        <v>0.63446661791011238</v>
      </c>
      <c r="Y67" s="54">
        <v>144.54</v>
      </c>
      <c r="Z67" s="54">
        <v>144.54</v>
      </c>
      <c r="AA67" s="67">
        <v>15</v>
      </c>
      <c r="AB67" s="67">
        <v>1153472.27</v>
      </c>
      <c r="AC67" s="67"/>
      <c r="AD67" s="67"/>
      <c r="AE67" s="55">
        <v>1153472.27</v>
      </c>
      <c r="AF67" s="5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</row>
    <row r="68" spans="1:241" ht="16.5" customHeight="1" x14ac:dyDescent="0.25">
      <c r="A68" s="52">
        <v>61</v>
      </c>
      <c r="B68" s="49" t="s">
        <v>111</v>
      </c>
      <c r="C68" s="49" t="s">
        <v>110</v>
      </c>
      <c r="D68" s="72"/>
      <c r="E68" s="72"/>
      <c r="F68" s="72">
        <v>441173184.14999998</v>
      </c>
      <c r="G68" s="72">
        <v>273850846.31999999</v>
      </c>
      <c r="H68" s="72"/>
      <c r="I68" s="72"/>
      <c r="J68" s="72">
        <v>762686586.75</v>
      </c>
      <c r="K68" s="72">
        <v>19525805.199999999</v>
      </c>
      <c r="L68" s="72">
        <v>12336083.560000001</v>
      </c>
      <c r="M68" s="58">
        <v>7189721.6399999997</v>
      </c>
      <c r="N68" s="72">
        <v>762686586.75</v>
      </c>
      <c r="O68" s="72">
        <v>6930365.5099999998</v>
      </c>
      <c r="P68" s="75">
        <v>768250699.51999998</v>
      </c>
      <c r="Q68" s="61">
        <f t="shared" si="34"/>
        <v>2.1203116003767927E-3</v>
      </c>
      <c r="R68" s="75">
        <v>755756221.24000001</v>
      </c>
      <c r="S68" s="61">
        <f t="shared" si="27"/>
        <v>2.1995259193250487E-3</v>
      </c>
      <c r="T68" s="62">
        <f t="shared" si="29"/>
        <v>-1.6263542991638631E-2</v>
      </c>
      <c r="U68" s="63">
        <f t="shared" si="30"/>
        <v>1.6322834286113697E-2</v>
      </c>
      <c r="V68" s="64">
        <f t="shared" si="31"/>
        <v>9.5132814496763658E-3</v>
      </c>
      <c r="W68" s="65">
        <f t="shared" si="32"/>
        <v>195.61354193953983</v>
      </c>
      <c r="X68" s="65">
        <f t="shared" si="33"/>
        <v>1.8609266798389139</v>
      </c>
      <c r="Y68" s="54">
        <v>195.61349999999999</v>
      </c>
      <c r="Z68" s="54">
        <v>197.40729999999999</v>
      </c>
      <c r="AA68" s="67">
        <v>460</v>
      </c>
      <c r="AB68" s="67">
        <v>3952607.05</v>
      </c>
      <c r="AC68" s="67">
        <v>47541.2</v>
      </c>
      <c r="AD68" s="67">
        <v>136631.37</v>
      </c>
      <c r="AE68" s="55">
        <v>3863516.88</v>
      </c>
      <c r="AF68" s="5"/>
    </row>
    <row r="69" spans="1:241" ht="18.75" customHeight="1" x14ac:dyDescent="0.25">
      <c r="A69" s="52">
        <v>62</v>
      </c>
      <c r="B69" s="48" t="s">
        <v>176</v>
      </c>
      <c r="C69" s="49" t="s">
        <v>25</v>
      </c>
      <c r="D69" s="72"/>
      <c r="E69" s="72"/>
      <c r="F69" s="72">
        <v>80680547.939999998</v>
      </c>
      <c r="G69" s="72">
        <v>1612172292</v>
      </c>
      <c r="H69" s="72"/>
      <c r="I69" s="72"/>
      <c r="J69" s="72">
        <v>1728737411.1500001</v>
      </c>
      <c r="K69" s="72">
        <v>14202933.789999999</v>
      </c>
      <c r="L69" s="72">
        <v>2167315.77</v>
      </c>
      <c r="M69" s="58">
        <v>12035618.02</v>
      </c>
      <c r="N69" s="72">
        <v>1728737411.1500001</v>
      </c>
      <c r="O69" s="72">
        <v>11254931.199999999</v>
      </c>
      <c r="P69" s="75">
        <v>1806242229.46</v>
      </c>
      <c r="Q69" s="61">
        <f t="shared" si="34"/>
        <v>4.9850867101160082E-3</v>
      </c>
      <c r="R69" s="75">
        <v>1717482479.95</v>
      </c>
      <c r="S69" s="61">
        <f t="shared" si="27"/>
        <v>4.9984996808078519E-3</v>
      </c>
      <c r="T69" s="62">
        <f t="shared" si="29"/>
        <v>-4.9140557153586145E-2</v>
      </c>
      <c r="U69" s="63">
        <f t="shared" si="30"/>
        <v>1.261914339914021E-3</v>
      </c>
      <c r="V69" s="64">
        <f t="shared" si="31"/>
        <v>7.007709342310371E-3</v>
      </c>
      <c r="W69" s="65">
        <f t="shared" si="32"/>
        <v>3.5388893141208553</v>
      </c>
      <c r="X69" s="65">
        <f t="shared" si="33"/>
        <v>2.4799507707967058E-2</v>
      </c>
      <c r="Y69" s="54">
        <v>3.56</v>
      </c>
      <c r="Z69" s="54">
        <v>3.56</v>
      </c>
      <c r="AA69" s="67">
        <v>823</v>
      </c>
      <c r="AB69" s="67">
        <v>506206060</v>
      </c>
      <c r="AC69" s="67">
        <v>27846</v>
      </c>
      <c r="AD69" s="67">
        <v>20917094</v>
      </c>
      <c r="AE69" s="55">
        <v>485316812</v>
      </c>
      <c r="AF69" s="5"/>
    </row>
    <row r="70" spans="1:241" ht="16.5" customHeight="1" x14ac:dyDescent="0.25">
      <c r="A70" s="52">
        <v>63</v>
      </c>
      <c r="B70" s="79" t="s">
        <v>200</v>
      </c>
      <c r="C70" s="48" t="s">
        <v>104</v>
      </c>
      <c r="D70" s="72"/>
      <c r="E70" s="72"/>
      <c r="F70" s="72"/>
      <c r="G70" s="72">
        <v>5382210850.0900002</v>
      </c>
      <c r="H70" s="72"/>
      <c r="I70" s="72">
        <f>6239471980.38+15997138.58</f>
        <v>6255469118.96</v>
      </c>
      <c r="J70" s="72">
        <v>11637679969.049999</v>
      </c>
      <c r="K70" s="72">
        <v>113741262.45</v>
      </c>
      <c r="L70" s="72">
        <v>20778279.149999999</v>
      </c>
      <c r="M70" s="58">
        <v>92962983.299999997</v>
      </c>
      <c r="N70" s="72">
        <v>15183073368.74</v>
      </c>
      <c r="O70" s="72">
        <v>255901806.63999999</v>
      </c>
      <c r="P70" s="75">
        <v>15584117032.860001</v>
      </c>
      <c r="Q70" s="61">
        <f t="shared" si="34"/>
        <v>4.3010939198685892E-2</v>
      </c>
      <c r="R70" s="75">
        <v>14927171562.1</v>
      </c>
      <c r="S70" s="61">
        <f t="shared" si="27"/>
        <v>4.3443507086426331E-2</v>
      </c>
      <c r="T70" s="62">
        <f t="shared" si="29"/>
        <v>-4.2154808602553051E-2</v>
      </c>
      <c r="U70" s="63">
        <f t="shared" si="30"/>
        <v>1.3919769772564232E-3</v>
      </c>
      <c r="V70" s="64">
        <f t="shared" si="31"/>
        <v>6.2277694681310194E-3</v>
      </c>
      <c r="W70" s="65">
        <f t="shared" si="32"/>
        <v>1173.5485805005371</v>
      </c>
      <c r="X70" s="65">
        <f t="shared" si="33"/>
        <v>7.3085900190097428</v>
      </c>
      <c r="Y70" s="54">
        <v>1173.55</v>
      </c>
      <c r="Z70" s="54">
        <v>1173.55</v>
      </c>
      <c r="AA70" s="67">
        <v>7001</v>
      </c>
      <c r="AB70" s="67">
        <v>13386384.779999999</v>
      </c>
      <c r="AC70" s="67">
        <v>529519</v>
      </c>
      <c r="AD70" s="67">
        <v>1196216</v>
      </c>
      <c r="AE70" s="67">
        <v>12719687.800000001</v>
      </c>
      <c r="AF70" s="5"/>
    </row>
    <row r="71" spans="1:241" ht="16.5" customHeight="1" x14ac:dyDescent="0.25">
      <c r="A71" s="52">
        <v>64</v>
      </c>
      <c r="B71" s="48" t="s">
        <v>90</v>
      </c>
      <c r="C71" s="48" t="s">
        <v>31</v>
      </c>
      <c r="D71" s="72"/>
      <c r="E71" s="72"/>
      <c r="F71" s="72">
        <v>262283013.69999999</v>
      </c>
      <c r="G71" s="72">
        <v>1186470553.4400001</v>
      </c>
      <c r="H71" s="72"/>
      <c r="I71" s="72"/>
      <c r="J71" s="72">
        <v>1448753567.1400001</v>
      </c>
      <c r="K71" s="72">
        <v>16011378.02</v>
      </c>
      <c r="L71" s="72">
        <v>1869344.53</v>
      </c>
      <c r="M71" s="58">
        <v>14142033.49</v>
      </c>
      <c r="N71" s="72">
        <v>1454216886.6800001</v>
      </c>
      <c r="O71" s="72">
        <v>35118086.409999996</v>
      </c>
      <c r="P71" s="75">
        <v>1406533719.47</v>
      </c>
      <c r="Q71" s="61">
        <f t="shared" si="34"/>
        <v>3.8819226114296824E-3</v>
      </c>
      <c r="R71" s="75">
        <v>1419098800.27</v>
      </c>
      <c r="S71" s="61">
        <f t="shared" si="27"/>
        <v>4.1300944743208707E-3</v>
      </c>
      <c r="T71" s="62">
        <f t="shared" si="29"/>
        <v>8.9333662080526843E-3</v>
      </c>
      <c r="U71" s="63">
        <f t="shared" si="30"/>
        <v>1.3172758159222849E-3</v>
      </c>
      <c r="V71" s="64">
        <f t="shared" si="31"/>
        <v>9.9655030976767197E-3</v>
      </c>
      <c r="W71" s="65">
        <f t="shared" si="32"/>
        <v>320.27028113307108</v>
      </c>
      <c r="X71" s="65">
        <f t="shared" si="33"/>
        <v>3.1916544787254137</v>
      </c>
      <c r="Y71" s="102">
        <v>320.27030000000002</v>
      </c>
      <c r="Z71" s="102">
        <v>320.27030000000002</v>
      </c>
      <c r="AA71" s="67">
        <v>97</v>
      </c>
      <c r="AB71" s="67">
        <v>4430941.2514000004</v>
      </c>
      <c r="AC71" s="67"/>
      <c r="AD71" s="67"/>
      <c r="AE71" s="55">
        <v>4430941.2514000004</v>
      </c>
      <c r="AF71" s="5"/>
    </row>
    <row r="72" spans="1:241" ht="16.5" customHeight="1" x14ac:dyDescent="0.25">
      <c r="A72" s="52">
        <v>65</v>
      </c>
      <c r="B72" s="49" t="s">
        <v>105</v>
      </c>
      <c r="C72" s="49" t="s">
        <v>46</v>
      </c>
      <c r="D72" s="72"/>
      <c r="E72" s="72"/>
      <c r="F72" s="72">
        <v>11465397.26</v>
      </c>
      <c r="G72" s="72">
        <v>43344883.159999996</v>
      </c>
      <c r="H72" s="72"/>
      <c r="I72" s="72"/>
      <c r="J72" s="72">
        <v>54810280.420000002</v>
      </c>
      <c r="K72" s="72">
        <v>554695.9</v>
      </c>
      <c r="L72" s="72">
        <v>73907.19</v>
      </c>
      <c r="M72" s="58">
        <v>480788.71</v>
      </c>
      <c r="N72" s="72">
        <v>54979513.520000003</v>
      </c>
      <c r="O72" s="72">
        <v>718047.51</v>
      </c>
      <c r="P72" s="75">
        <v>56414784.789999999</v>
      </c>
      <c r="Q72" s="61">
        <f t="shared" si="34"/>
        <v>1.5570037579885502E-4</v>
      </c>
      <c r="R72" s="75">
        <v>54261466.009999998</v>
      </c>
      <c r="S72" s="61">
        <f t="shared" si="27"/>
        <v>1.5792063307629614E-4</v>
      </c>
      <c r="T72" s="62">
        <f t="shared" si="29"/>
        <v>-3.8169405201412647E-2</v>
      </c>
      <c r="U72" s="63">
        <f t="shared" si="30"/>
        <v>1.3620566386167937E-3</v>
      </c>
      <c r="V72" s="64">
        <f t="shared" si="31"/>
        <v>8.8605919698408839E-3</v>
      </c>
      <c r="W72" s="65">
        <f t="shared" si="32"/>
        <v>11.431208464764451</v>
      </c>
      <c r="X72" s="65">
        <f t="shared" si="33"/>
        <v>0.10128727392846903</v>
      </c>
      <c r="Y72" s="102">
        <v>11.4312</v>
      </c>
      <c r="Z72" s="102">
        <v>11.5825</v>
      </c>
      <c r="AA72" s="67">
        <v>54</v>
      </c>
      <c r="AB72" s="67">
        <v>4753753</v>
      </c>
      <c r="AC72" s="67">
        <v>12891</v>
      </c>
      <c r="AD72" s="67">
        <v>19861</v>
      </c>
      <c r="AE72" s="55">
        <v>4746783</v>
      </c>
      <c r="AF72" s="5"/>
    </row>
    <row r="73" spans="1:241" ht="16.5" customHeight="1" x14ac:dyDescent="0.25">
      <c r="A73" s="52">
        <v>66</v>
      </c>
      <c r="B73" s="48" t="s">
        <v>101</v>
      </c>
      <c r="C73" s="48" t="s">
        <v>100</v>
      </c>
      <c r="D73" s="72"/>
      <c r="E73" s="72"/>
      <c r="F73" s="72">
        <v>1077812213.23</v>
      </c>
      <c r="G73" s="72">
        <v>5022461902.9700003</v>
      </c>
      <c r="H73" s="72"/>
      <c r="I73" s="72"/>
      <c r="J73" s="72">
        <v>9041918.6799999997</v>
      </c>
      <c r="K73" s="72">
        <v>65360130.140000001</v>
      </c>
      <c r="L73" s="72">
        <v>8832470.8399999999</v>
      </c>
      <c r="M73" s="58">
        <v>56527659.299999997</v>
      </c>
      <c r="N73" s="72">
        <v>6987920544</v>
      </c>
      <c r="O73" s="72">
        <v>105865522</v>
      </c>
      <c r="P73" s="75">
        <v>6773204704</v>
      </c>
      <c r="Q73" s="61">
        <f t="shared" si="34"/>
        <v>1.8693513087057058E-2</v>
      </c>
      <c r="R73" s="75">
        <v>6882055022</v>
      </c>
      <c r="S73" s="61">
        <f t="shared" si="27"/>
        <v>2.0029287187704258E-2</v>
      </c>
      <c r="T73" s="62">
        <f t="shared" si="29"/>
        <v>1.6070726156514521E-2</v>
      </c>
      <c r="U73" s="63">
        <f t="shared" si="30"/>
        <v>1.2834060192435351E-3</v>
      </c>
      <c r="V73" s="64">
        <f t="shared" si="31"/>
        <v>8.2137761350783919E-3</v>
      </c>
      <c r="W73" s="65">
        <f t="shared" si="32"/>
        <v>1.0899999999635719</v>
      </c>
      <c r="X73" s="65">
        <f t="shared" si="33"/>
        <v>8.9530159869362358E-3</v>
      </c>
      <c r="Y73" s="102">
        <v>1.0900000000000001</v>
      </c>
      <c r="Z73" s="102">
        <v>1.0900000000000001</v>
      </c>
      <c r="AA73" s="67">
        <v>2495</v>
      </c>
      <c r="AB73" s="67">
        <v>6271485837</v>
      </c>
      <c r="AC73" s="67">
        <v>0</v>
      </c>
      <c r="AD73" s="67">
        <v>0</v>
      </c>
      <c r="AE73" s="55">
        <v>6313811947</v>
      </c>
      <c r="AF73" s="5"/>
    </row>
    <row r="74" spans="1:241" ht="16.5" customHeight="1" x14ac:dyDescent="0.25">
      <c r="A74" s="52">
        <v>67</v>
      </c>
      <c r="B74" s="49" t="s">
        <v>102</v>
      </c>
      <c r="C74" s="48" t="s">
        <v>23</v>
      </c>
      <c r="D74" s="72"/>
      <c r="E74" s="72"/>
      <c r="F74" s="72">
        <v>5271926697.0200005</v>
      </c>
      <c r="G74" s="72">
        <v>35466602332.839996</v>
      </c>
      <c r="H74" s="72"/>
      <c r="I74" s="72">
        <v>273972.59999999998</v>
      </c>
      <c r="J74" s="72">
        <v>40738803002.459999</v>
      </c>
      <c r="K74" s="72">
        <v>471227941.97000003</v>
      </c>
      <c r="L74" s="72">
        <v>46868133.479999997</v>
      </c>
      <c r="M74" s="58">
        <v>424359808.49000001</v>
      </c>
      <c r="N74" s="72">
        <v>40894371008.349998</v>
      </c>
      <c r="O74" s="72">
        <v>256333942.25</v>
      </c>
      <c r="P74" s="75">
        <v>52817828098.730003</v>
      </c>
      <c r="Q74" s="61">
        <f t="shared" si="34"/>
        <v>0.14577305779795008</v>
      </c>
      <c r="R74" s="75">
        <v>40638037066.099998</v>
      </c>
      <c r="S74" s="61">
        <f t="shared" si="27"/>
        <v>0.11827149195109814</v>
      </c>
      <c r="T74" s="62">
        <f t="shared" si="29"/>
        <v>-0.23059999759669911</v>
      </c>
      <c r="U74" s="63">
        <f t="shared" si="30"/>
        <v>1.1533070212955022E-3</v>
      </c>
      <c r="V74" s="64">
        <f t="shared" si="31"/>
        <v>1.0442428796443968E-2</v>
      </c>
      <c r="W74" s="65">
        <f t="shared" si="32"/>
        <v>4554.7494303858848</v>
      </c>
      <c r="X74" s="65">
        <f t="shared" si="33"/>
        <v>47.562646612448333</v>
      </c>
      <c r="Y74" s="102">
        <v>4554.75</v>
      </c>
      <c r="Z74" s="102">
        <v>4554.75</v>
      </c>
      <c r="AA74" s="67">
        <v>559</v>
      </c>
      <c r="AB74" s="67">
        <v>11629761.720000001</v>
      </c>
      <c r="AC74" s="67">
        <v>435979.27</v>
      </c>
      <c r="AD74" s="67">
        <v>3143617.46</v>
      </c>
      <c r="AE74" s="55">
        <v>8922123.5299999993</v>
      </c>
      <c r="AF74" s="5"/>
    </row>
    <row r="75" spans="1:241" ht="16.5" customHeight="1" x14ac:dyDescent="0.25">
      <c r="A75" s="52">
        <v>68</v>
      </c>
      <c r="B75" s="48" t="s">
        <v>89</v>
      </c>
      <c r="C75" s="48" t="s">
        <v>23</v>
      </c>
      <c r="D75" s="72"/>
      <c r="E75" s="72"/>
      <c r="F75" s="72">
        <v>6726618433.0600004</v>
      </c>
      <c r="G75" s="72">
        <v>43680892212.169998</v>
      </c>
      <c r="H75" s="72"/>
      <c r="I75" s="72"/>
      <c r="J75" s="72">
        <v>50407510645.230003</v>
      </c>
      <c r="K75" s="72">
        <v>357248134.61000001</v>
      </c>
      <c r="L75" s="72">
        <v>83506935.769999996</v>
      </c>
      <c r="M75" s="58">
        <v>273741198.83999997</v>
      </c>
      <c r="N75" s="72">
        <v>50453926720.589996</v>
      </c>
      <c r="O75" s="72">
        <v>432549235.11000001</v>
      </c>
      <c r="P75" s="75">
        <v>51820789379.599998</v>
      </c>
      <c r="Q75" s="61">
        <f t="shared" si="34"/>
        <v>0.14302130923004511</v>
      </c>
      <c r="R75" s="75">
        <v>50021377485.480003</v>
      </c>
      <c r="S75" s="61">
        <f t="shared" si="27"/>
        <v>0.14558043084201935</v>
      </c>
      <c r="T75" s="62">
        <f t="shared" si="29"/>
        <v>-3.4723745347429225E-2</v>
      </c>
      <c r="U75" s="63">
        <f t="shared" si="30"/>
        <v>1.6694249532460406E-3</v>
      </c>
      <c r="V75" s="64">
        <f t="shared" si="31"/>
        <v>5.4724842177619045E-3</v>
      </c>
      <c r="W75" s="65">
        <f t="shared" si="32"/>
        <v>244.25942554849132</v>
      </c>
      <c r="X75" s="65">
        <f t="shared" si="33"/>
        <v>1.3367058513537078</v>
      </c>
      <c r="Y75" s="102">
        <v>244.26</v>
      </c>
      <c r="Z75" s="102">
        <v>244.26</v>
      </c>
      <c r="AA75" s="67">
        <v>6709</v>
      </c>
      <c r="AB75" s="67">
        <v>212840279.94</v>
      </c>
      <c r="AC75" s="67">
        <v>1408522.23</v>
      </c>
      <c r="AD75" s="67">
        <v>9460891.2300000004</v>
      </c>
      <c r="AE75" s="55">
        <v>204787910.94</v>
      </c>
      <c r="AF75" s="5"/>
    </row>
    <row r="76" spans="1:241" ht="16.5" customHeight="1" x14ac:dyDescent="0.25">
      <c r="A76" s="52">
        <v>69</v>
      </c>
      <c r="B76" s="49" t="s">
        <v>103</v>
      </c>
      <c r="C76" s="48" t="s">
        <v>23</v>
      </c>
      <c r="D76" s="72">
        <v>42872523.359999999</v>
      </c>
      <c r="E76" s="72"/>
      <c r="F76" s="72">
        <v>158473851.59</v>
      </c>
      <c r="G76" s="72">
        <v>29973491.449999999</v>
      </c>
      <c r="H76" s="72"/>
      <c r="I76" s="72"/>
      <c r="J76" s="72">
        <v>231398107.18000001</v>
      </c>
      <c r="K76" s="72">
        <v>2440608.56</v>
      </c>
      <c r="L76" s="72">
        <v>310742.58</v>
      </c>
      <c r="M76" s="58">
        <v>841102.46</v>
      </c>
      <c r="N76" s="72">
        <v>234389616.59999999</v>
      </c>
      <c r="O76" s="72">
        <v>1442138.55</v>
      </c>
      <c r="P76" s="75">
        <v>232290790.16</v>
      </c>
      <c r="Q76" s="61">
        <f t="shared" si="34"/>
        <v>6.4110433917557042E-4</v>
      </c>
      <c r="R76" s="75">
        <v>232947478.05000001</v>
      </c>
      <c r="S76" s="61">
        <f t="shared" si="27"/>
        <v>6.7796202189603538E-4</v>
      </c>
      <c r="T76" s="62">
        <f t="shared" si="29"/>
        <v>2.8270078617740045E-3</v>
      </c>
      <c r="U76" s="63">
        <f t="shared" si="30"/>
        <v>1.3339598376476177E-3</v>
      </c>
      <c r="V76" s="64">
        <f t="shared" si="31"/>
        <v>3.6106957115005344E-3</v>
      </c>
      <c r="W76" s="65">
        <f t="shared" si="32"/>
        <v>4135.2513992017339</v>
      </c>
      <c r="X76" s="65">
        <f t="shared" si="33"/>
        <v>14.931134493074287</v>
      </c>
      <c r="Y76" s="102">
        <v>4127.45</v>
      </c>
      <c r="Z76" s="102">
        <v>4140.6000000000004</v>
      </c>
      <c r="AA76" s="105">
        <v>14</v>
      </c>
      <c r="AB76" s="67">
        <v>56332.12</v>
      </c>
      <c r="AC76" s="67"/>
      <c r="AD76" s="67"/>
      <c r="AE76" s="55">
        <v>56332.12</v>
      </c>
      <c r="AF76" s="5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</row>
    <row r="77" spans="1:241" ht="16.5" customHeight="1" x14ac:dyDescent="0.25">
      <c r="A77" s="52">
        <v>70</v>
      </c>
      <c r="B77" s="48" t="s">
        <v>156</v>
      </c>
      <c r="C77" s="48" t="s">
        <v>23</v>
      </c>
      <c r="D77" s="72"/>
      <c r="E77" s="72"/>
      <c r="F77" s="72">
        <v>5746105832.9200001</v>
      </c>
      <c r="G77" s="72">
        <v>19376835295.139999</v>
      </c>
      <c r="H77" s="72"/>
      <c r="I77" s="72"/>
      <c r="J77" s="72">
        <v>25122941128.060001</v>
      </c>
      <c r="K77" s="72">
        <v>261412356.52000001</v>
      </c>
      <c r="L77" s="72">
        <v>49269557.359999999</v>
      </c>
      <c r="M77" s="58">
        <v>212142799.16</v>
      </c>
      <c r="N77" s="72">
        <v>25404653866.009998</v>
      </c>
      <c r="O77" s="55">
        <v>93947218.709999993</v>
      </c>
      <c r="P77" s="75">
        <v>29090656305.189999</v>
      </c>
      <c r="Q77" s="61">
        <f t="shared" si="34"/>
        <v>8.0287926929330289E-2</v>
      </c>
      <c r="R77" s="75">
        <v>25310706647.299999</v>
      </c>
      <c r="S77" s="61">
        <f t="shared" si="27"/>
        <v>7.3663376817231577E-2</v>
      </c>
      <c r="T77" s="62">
        <f t="shared" si="29"/>
        <v>-0.12993689857783053</v>
      </c>
      <c r="U77" s="63">
        <f t="shared" si="30"/>
        <v>1.9465895617440533E-3</v>
      </c>
      <c r="V77" s="64">
        <f t="shared" si="31"/>
        <v>8.3815439100998063E-3</v>
      </c>
      <c r="W77" s="65">
        <f t="shared" si="32"/>
        <v>114.25469969679874</v>
      </c>
      <c r="X77" s="65">
        <f t="shared" si="33"/>
        <v>0.9576307824439857</v>
      </c>
      <c r="Y77" s="54">
        <v>114.25</v>
      </c>
      <c r="Z77" s="54">
        <v>114.25</v>
      </c>
      <c r="AA77" s="67">
        <v>3885</v>
      </c>
      <c r="AB77" s="67">
        <v>256050871.38999999</v>
      </c>
      <c r="AC77" s="67">
        <v>12709908.640000001</v>
      </c>
      <c r="AD77" s="67">
        <v>47231978.899999999</v>
      </c>
      <c r="AE77" s="55">
        <v>221528801.13</v>
      </c>
      <c r="AF77" s="5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</row>
    <row r="78" spans="1:241" ht="16.5" customHeight="1" x14ac:dyDescent="0.25">
      <c r="A78" s="52">
        <v>71</v>
      </c>
      <c r="B78" s="48" t="s">
        <v>99</v>
      </c>
      <c r="C78" s="48" t="s">
        <v>23</v>
      </c>
      <c r="D78" s="72">
        <v>13026380</v>
      </c>
      <c r="E78" s="72"/>
      <c r="F78" s="72">
        <v>1897661272.21</v>
      </c>
      <c r="G78" s="72">
        <v>13803452161.110001</v>
      </c>
      <c r="H78" s="72"/>
      <c r="I78" s="72"/>
      <c r="J78" s="72">
        <v>15722014289.57</v>
      </c>
      <c r="K78" s="72">
        <v>126874053.12</v>
      </c>
      <c r="L78" s="72">
        <v>30619838.420000002</v>
      </c>
      <c r="M78" s="58">
        <v>97708173.480000004</v>
      </c>
      <c r="N78" s="72">
        <v>15752186536.57</v>
      </c>
      <c r="O78" s="72">
        <v>158525941.18000001</v>
      </c>
      <c r="P78" s="75">
        <v>16651848952.93</v>
      </c>
      <c r="Q78" s="61">
        <f t="shared" si="34"/>
        <v>4.5957795449687672E-2</v>
      </c>
      <c r="R78" s="75">
        <v>15593660595.389999</v>
      </c>
      <c r="S78" s="61">
        <f t="shared" si="27"/>
        <v>4.5383232969545079E-2</v>
      </c>
      <c r="T78" s="62">
        <f t="shared" si="29"/>
        <v>-6.3547799438440494E-2</v>
      </c>
      <c r="U78" s="63">
        <f t="shared" si="30"/>
        <v>1.9636081106608307E-3</v>
      </c>
      <c r="V78" s="64">
        <f t="shared" si="31"/>
        <v>6.2658907369630553E-3</v>
      </c>
      <c r="W78" s="65">
        <f t="shared" si="32"/>
        <v>330.95334023323034</v>
      </c>
      <c r="X78" s="65">
        <f t="shared" si="33"/>
        <v>2.0737174689343805</v>
      </c>
      <c r="Y78" s="102">
        <v>330.95</v>
      </c>
      <c r="Z78" s="102">
        <v>330.96</v>
      </c>
      <c r="AA78" s="67">
        <v>9900</v>
      </c>
      <c r="AB78" s="67">
        <v>50695695.479999997</v>
      </c>
      <c r="AC78" s="67">
        <v>1082812.57</v>
      </c>
      <c r="AD78" s="67">
        <v>4661109.01</v>
      </c>
      <c r="AE78" s="55">
        <v>47117399.039999999</v>
      </c>
      <c r="AF78" s="5"/>
    </row>
    <row r="79" spans="1:241" ht="16.5" customHeight="1" x14ac:dyDescent="0.25">
      <c r="A79" s="52">
        <v>72</v>
      </c>
      <c r="B79" s="48" t="s">
        <v>96</v>
      </c>
      <c r="C79" s="48" t="s">
        <v>33</v>
      </c>
      <c r="D79" s="72"/>
      <c r="E79" s="72"/>
      <c r="F79" s="72">
        <v>2395728942</v>
      </c>
      <c r="G79" s="72">
        <v>90057896600</v>
      </c>
      <c r="H79" s="72"/>
      <c r="I79" s="106"/>
      <c r="J79" s="72">
        <v>92453625542</v>
      </c>
      <c r="K79" s="72">
        <v>738880702</v>
      </c>
      <c r="L79" s="72">
        <v>159628767</v>
      </c>
      <c r="M79" s="58">
        <v>579251934</v>
      </c>
      <c r="N79" s="72">
        <v>101257984103.57001</v>
      </c>
      <c r="O79" s="72">
        <v>526265992.47000003</v>
      </c>
      <c r="P79" s="75">
        <v>100997847996</v>
      </c>
      <c r="Q79" s="61">
        <f t="shared" si="34"/>
        <v>0.27874612916435865</v>
      </c>
      <c r="R79" s="75">
        <v>100731718111</v>
      </c>
      <c r="S79" s="61">
        <f t="shared" si="27"/>
        <v>0.2931659954049245</v>
      </c>
      <c r="T79" s="62">
        <f t="shared" si="29"/>
        <v>-2.6350055004195736E-3</v>
      </c>
      <c r="U79" s="63">
        <f t="shared" si="30"/>
        <v>1.5846921902404085E-3</v>
      </c>
      <c r="V79" s="64">
        <f t="shared" si="31"/>
        <v>5.7504423121394685E-3</v>
      </c>
      <c r="W79" s="65">
        <f t="shared" si="32"/>
        <v>1.947850539650763</v>
      </c>
      <c r="X79" s="65">
        <f t="shared" si="33"/>
        <v>1.1201002160931445E-2</v>
      </c>
      <c r="Y79" s="102">
        <v>1.95</v>
      </c>
      <c r="Z79" s="102">
        <v>1.95</v>
      </c>
      <c r="AA79" s="67">
        <v>2604</v>
      </c>
      <c r="AB79" s="67">
        <v>52151757659</v>
      </c>
      <c r="AC79" s="67">
        <v>407131648</v>
      </c>
      <c r="AD79" s="67">
        <v>844593954</v>
      </c>
      <c r="AE79" s="55">
        <v>51714295353</v>
      </c>
      <c r="AF79" s="5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</row>
    <row r="80" spans="1:241" ht="16.5" customHeight="1" x14ac:dyDescent="0.25">
      <c r="A80" s="52">
        <v>73</v>
      </c>
      <c r="B80" s="90" t="s">
        <v>97</v>
      </c>
      <c r="C80" s="48" t="s">
        <v>44</v>
      </c>
      <c r="D80" s="72">
        <v>35584750</v>
      </c>
      <c r="E80" s="72"/>
      <c r="F80" s="72">
        <v>504226821.56</v>
      </c>
      <c r="G80" s="72">
        <v>9672134393.7099991</v>
      </c>
      <c r="H80" s="72"/>
      <c r="I80" s="106"/>
      <c r="J80" s="72">
        <v>10211945965.27</v>
      </c>
      <c r="K80" s="72">
        <v>55875267.729999997</v>
      </c>
      <c r="L80" s="72">
        <v>2357740.46</v>
      </c>
      <c r="M80" s="107">
        <v>53541876.020000003</v>
      </c>
      <c r="N80" s="72">
        <v>10244246737.280001</v>
      </c>
      <c r="O80" s="72">
        <v>690309512.25999999</v>
      </c>
      <c r="P80" s="75">
        <v>9574930118.4899998</v>
      </c>
      <c r="Q80" s="61">
        <f t="shared" si="34"/>
        <v>2.6426055213117271E-2</v>
      </c>
      <c r="R80" s="75">
        <v>9553937225.0200005</v>
      </c>
      <c r="S80" s="61">
        <f t="shared" si="27"/>
        <v>2.7805437742288351E-2</v>
      </c>
      <c r="T80" s="62">
        <f t="shared" si="29"/>
        <v>-2.1924852933871823E-3</v>
      </c>
      <c r="U80" s="63">
        <f t="shared" si="30"/>
        <v>2.4678207575255074E-4</v>
      </c>
      <c r="V80" s="64">
        <f t="shared" si="31"/>
        <v>5.6041687064662411E-3</v>
      </c>
      <c r="W80" s="65">
        <f t="shared" si="32"/>
        <v>1</v>
      </c>
      <c r="X80" s="65">
        <f t="shared" si="33"/>
        <v>5.6041687064662411E-3</v>
      </c>
      <c r="Y80" s="102">
        <v>1</v>
      </c>
      <c r="Z80" s="102">
        <v>1</v>
      </c>
      <c r="AA80" s="108">
        <v>4414</v>
      </c>
      <c r="AB80" s="67">
        <v>9574930118.4899998</v>
      </c>
      <c r="AC80" s="67">
        <v>24435357.149999999</v>
      </c>
      <c r="AD80" s="67">
        <v>45428250.619999997</v>
      </c>
      <c r="AE80" s="55">
        <v>9553937225.0200005</v>
      </c>
      <c r="AF80" s="5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</row>
    <row r="81" spans="1:241" ht="16.5" customHeight="1" x14ac:dyDescent="0.25">
      <c r="A81" s="52">
        <v>74</v>
      </c>
      <c r="B81" s="49" t="s">
        <v>108</v>
      </c>
      <c r="C81" s="49" t="s">
        <v>71</v>
      </c>
      <c r="D81" s="72"/>
      <c r="E81" s="72"/>
      <c r="F81" s="72">
        <v>833162508.15999997</v>
      </c>
      <c r="G81" s="72">
        <v>2757972858.77</v>
      </c>
      <c r="H81" s="72"/>
      <c r="I81" s="106"/>
      <c r="J81" s="72">
        <v>3591135366.9299998</v>
      </c>
      <c r="K81" s="72">
        <v>30461674.210000001</v>
      </c>
      <c r="L81" s="72">
        <v>6055262.8600000003</v>
      </c>
      <c r="M81" s="107">
        <v>24406411.350000001</v>
      </c>
      <c r="N81" s="72">
        <v>3610305399.8800001</v>
      </c>
      <c r="O81" s="72">
        <v>10699416.199999999</v>
      </c>
      <c r="P81" s="75">
        <v>3631069246.3699999</v>
      </c>
      <c r="Q81" s="61">
        <f t="shared" si="34"/>
        <v>1.0021465974141035E-2</v>
      </c>
      <c r="R81" s="75">
        <v>3599605983.6799998</v>
      </c>
      <c r="S81" s="61">
        <f t="shared" si="27"/>
        <v>1.0476164718129946E-2</v>
      </c>
      <c r="T81" s="62">
        <f t="shared" si="29"/>
        <v>-8.6650131284205217E-3</v>
      </c>
      <c r="U81" s="63">
        <f t="shared" si="30"/>
        <v>1.6822015763540595E-3</v>
      </c>
      <c r="V81" s="64">
        <f t="shared" si="31"/>
        <v>6.7803008053255029E-3</v>
      </c>
      <c r="W81" s="65">
        <f t="shared" si="32"/>
        <v>23.417469830192644</v>
      </c>
      <c r="X81" s="65">
        <f t="shared" si="33"/>
        <v>0.15877748954834087</v>
      </c>
      <c r="Y81" s="102">
        <v>23.4177</v>
      </c>
      <c r="Z81" s="102">
        <v>23.4177</v>
      </c>
      <c r="AA81" s="108">
        <v>1354</v>
      </c>
      <c r="AB81" s="67">
        <v>156047058.49000001</v>
      </c>
      <c r="AC81" s="67">
        <v>258810.17</v>
      </c>
      <c r="AD81" s="67">
        <v>2591312.4</v>
      </c>
      <c r="AE81" s="55">
        <v>153714556.25999999</v>
      </c>
      <c r="AF81" s="5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</row>
    <row r="82" spans="1:241" ht="16.5" customHeight="1" x14ac:dyDescent="0.25">
      <c r="A82" s="99" t="s">
        <v>88</v>
      </c>
      <c r="B82" s="23"/>
      <c r="C82" s="81" t="s">
        <v>50</v>
      </c>
      <c r="D82" s="82">
        <f>SUM(D52:D81)</f>
        <v>91483653.359999999</v>
      </c>
      <c r="E82" s="82"/>
      <c r="F82" s="82">
        <f>SUM(F52:F81)</f>
        <v>38604643153.770004</v>
      </c>
      <c r="G82" s="82">
        <f>SUM(G52:G81)</f>
        <v>284095295530.25006</v>
      </c>
      <c r="H82" s="82"/>
      <c r="I82" s="82">
        <f>SUM(I52:I79)</f>
        <v>6256549945.5700006</v>
      </c>
      <c r="J82" s="82">
        <f t="shared" ref="J82:O82" si="35">SUM(J52:J81)</f>
        <v>325036039123.69</v>
      </c>
      <c r="K82" s="82">
        <f t="shared" si="35"/>
        <v>3033945243.4200001</v>
      </c>
      <c r="L82" s="82">
        <f t="shared" si="35"/>
        <v>534425008.48000002</v>
      </c>
      <c r="M82" s="82">
        <f t="shared" si="35"/>
        <v>2501803800.3599997</v>
      </c>
      <c r="N82" s="82">
        <f t="shared" si="35"/>
        <v>346544212839.14008</v>
      </c>
      <c r="O82" s="82">
        <f t="shared" si="35"/>
        <v>3563152727.8499994</v>
      </c>
      <c r="P82" s="100">
        <f>SUM(P52:P81)</f>
        <v>362329149820.94</v>
      </c>
      <c r="Q82" s="84">
        <f>(P82/$P$153)</f>
        <v>0.26360020315471822</v>
      </c>
      <c r="R82" s="100">
        <f>SUM(R52:R81)</f>
        <v>343599597804.20001</v>
      </c>
      <c r="S82" s="84">
        <f>(R82/$R$153)</f>
        <v>0.25079799135277686</v>
      </c>
      <c r="T82" s="85">
        <f t="shared" si="28"/>
        <v>-5.169209274494193E-2</v>
      </c>
      <c r="U82" s="86"/>
      <c r="V82" s="87"/>
      <c r="W82" s="88"/>
      <c r="X82" s="88"/>
      <c r="Y82" s="82"/>
      <c r="Z82" s="82"/>
      <c r="AA82" s="89">
        <f>SUM(AA52:AA81)</f>
        <v>48240</v>
      </c>
      <c r="AB82" s="89"/>
      <c r="AC82" s="89"/>
      <c r="AD82" s="89"/>
      <c r="AE82" s="72">
        <v>0</v>
      </c>
      <c r="AF82" s="5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</row>
    <row r="83" spans="1:241" ht="16.5" customHeight="1" x14ac:dyDescent="0.25">
      <c r="A83" s="155" t="s">
        <v>168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7"/>
      <c r="AF83" s="5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</row>
    <row r="84" spans="1:241" ht="16.5" customHeight="1" x14ac:dyDescent="0.25">
      <c r="A84" s="166" t="s">
        <v>210</v>
      </c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8"/>
      <c r="AF84" s="5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</row>
    <row r="85" spans="1:241" ht="16.5" customHeight="1" x14ac:dyDescent="0.25">
      <c r="A85" s="109">
        <v>75</v>
      </c>
      <c r="B85" s="48" t="s">
        <v>93</v>
      </c>
      <c r="C85" s="48" t="s">
        <v>31</v>
      </c>
      <c r="D85" s="72"/>
      <c r="E85" s="72"/>
      <c r="F85" s="92"/>
      <c r="G85" s="47">
        <v>778786384.92999995</v>
      </c>
      <c r="H85" s="92"/>
      <c r="I85" s="92"/>
      <c r="J85" s="47">
        <v>778786384.92999995</v>
      </c>
      <c r="K85" s="47">
        <v>5055349.41</v>
      </c>
      <c r="L85" s="47">
        <v>1509392.15</v>
      </c>
      <c r="M85" s="110">
        <v>3545957.27</v>
      </c>
      <c r="N85" s="47">
        <v>794061115.69000006</v>
      </c>
      <c r="O85" s="47">
        <v>18331051.129999999</v>
      </c>
      <c r="P85" s="60">
        <v>755794964.61000001</v>
      </c>
      <c r="Q85" s="111">
        <f>(P85/$P$103)</f>
        <v>2.3420190447893605E-3</v>
      </c>
      <c r="R85" s="60">
        <v>775730064.55999994</v>
      </c>
      <c r="S85" s="61">
        <f>(R85/$R$103)</f>
        <v>2.3678407785573566E-3</v>
      </c>
      <c r="T85" s="62">
        <f t="shared" ref="T85" si="36">((R85-P85)/P85)</f>
        <v>2.6376333375397253E-2</v>
      </c>
      <c r="U85" s="63">
        <f>(L85/R85)</f>
        <v>1.94576982246542E-3</v>
      </c>
      <c r="V85" s="64">
        <f>M85/R85</f>
        <v>4.5711226520675002E-3</v>
      </c>
      <c r="W85" s="65">
        <f t="shared" ref="W85" si="37">R85/AE85</f>
        <v>47356.514303948694</v>
      </c>
      <c r="X85" s="65">
        <f t="shared" ref="X85" si="38">M85/AE85</f>
        <v>216.47243525773848</v>
      </c>
      <c r="Y85" s="72">
        <f>106.7588*444.08</f>
        <v>47409.447903999993</v>
      </c>
      <c r="Z85" s="72">
        <f>106.7588*444.08</f>
        <v>47409.447903999993</v>
      </c>
      <c r="AA85" s="71">
        <v>204</v>
      </c>
      <c r="AB85" s="71">
        <v>16201.599399999999</v>
      </c>
      <c r="AC85" s="71">
        <v>1272.943</v>
      </c>
      <c r="AD85" s="71">
        <v>1093.9000000000001</v>
      </c>
      <c r="AE85" s="72">
        <v>16380.641100000001</v>
      </c>
      <c r="AF85" s="5"/>
    </row>
    <row r="86" spans="1:241" ht="16.5" customHeight="1" x14ac:dyDescent="0.25">
      <c r="A86" s="52">
        <v>76</v>
      </c>
      <c r="B86" s="48" t="s">
        <v>94</v>
      </c>
      <c r="C86" s="49" t="s">
        <v>35</v>
      </c>
      <c r="D86" s="103"/>
      <c r="E86" s="72"/>
      <c r="F86" s="92"/>
      <c r="G86" s="72">
        <f>9859728.22*444.08</f>
        <v>4378508107.9376001</v>
      </c>
      <c r="H86" s="72"/>
      <c r="I86" s="97"/>
      <c r="J86" s="72">
        <f>9859728.22*444.08</f>
        <v>4378508107.9376001</v>
      </c>
      <c r="K86" s="97">
        <f>68203.94*444.08</f>
        <v>30288005.6752</v>
      </c>
      <c r="L86" s="97">
        <f>75942.62*444.08</f>
        <v>33724598.689599998</v>
      </c>
      <c r="M86" s="112">
        <f>-7738.68*444.08</f>
        <v>-3436593.0144000002</v>
      </c>
      <c r="N86" s="72">
        <f>10883697*444.08</f>
        <v>4833232163.7600002</v>
      </c>
      <c r="O86" s="72">
        <f>337750*444.08</f>
        <v>149988020</v>
      </c>
      <c r="P86" s="60">
        <f>10822505*439.02</f>
        <v>4751296145.0999994</v>
      </c>
      <c r="Q86" s="111">
        <f>(P86/$P$103)</f>
        <v>1.4723075146445929E-2</v>
      </c>
      <c r="R86" s="60">
        <f>10545947*444.08</f>
        <v>4683244143.7600002</v>
      </c>
      <c r="S86" s="61">
        <f t="shared" ref="S86:S92" si="39">(R86/$R$103)</f>
        <v>1.4295148488056506E-2</v>
      </c>
      <c r="T86" s="62">
        <f t="shared" ref="T86:T92" si="40">((R86-P86)/P86)</f>
        <v>-1.4322828815918173E-2</v>
      </c>
      <c r="U86" s="63">
        <f t="shared" ref="U86:U92" si="41">(L86/R86)</f>
        <v>7.2011190649829736E-3</v>
      </c>
      <c r="V86" s="64">
        <f t="shared" ref="V86:V92" si="42">M86/R86</f>
        <v>-7.3380607734895693E-4</v>
      </c>
      <c r="W86" s="65">
        <f t="shared" ref="W86:W92" si="43">R86/AE86</f>
        <v>484.39654646887328</v>
      </c>
      <c r="X86" s="65">
        <f t="shared" ref="X86:X92" si="44">M86/AE86</f>
        <v>-0.35545312964570563</v>
      </c>
      <c r="Y86" s="72">
        <f>1.0908*444.08</f>
        <v>484.40246399999995</v>
      </c>
      <c r="Z86" s="72">
        <f>1.0908*444.08</f>
        <v>484.40246399999995</v>
      </c>
      <c r="AA86" s="71">
        <v>322</v>
      </c>
      <c r="AB86" s="71">
        <v>9914021</v>
      </c>
      <c r="AC86" s="71">
        <v>165524</v>
      </c>
      <c r="AD86" s="71">
        <v>411341</v>
      </c>
      <c r="AE86" s="55">
        <v>9668203</v>
      </c>
      <c r="AF86" s="5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</row>
    <row r="87" spans="1:241" ht="16.5" customHeight="1" x14ac:dyDescent="0.25">
      <c r="A87" s="109">
        <v>77</v>
      </c>
      <c r="B87" s="48" t="s">
        <v>155</v>
      </c>
      <c r="C87" s="49" t="s">
        <v>152</v>
      </c>
      <c r="D87" s="103"/>
      <c r="E87" s="72"/>
      <c r="F87" s="97"/>
      <c r="G87" s="72">
        <v>891977671.38</v>
      </c>
      <c r="H87" s="72"/>
      <c r="I87" s="97">
        <v>6857874.1500000004</v>
      </c>
      <c r="J87" s="72">
        <v>898835545.53999996</v>
      </c>
      <c r="K87" s="97">
        <v>7449153.3499999996</v>
      </c>
      <c r="L87" s="97">
        <v>1622588.39</v>
      </c>
      <c r="M87" s="112">
        <v>5826564.96</v>
      </c>
      <c r="N87" s="72">
        <v>943574718.20000005</v>
      </c>
      <c r="O87" s="97">
        <f>N87-R87</f>
        <v>27048100.140000105</v>
      </c>
      <c r="P87" s="60">
        <v>892299003.84000003</v>
      </c>
      <c r="Q87" s="61">
        <f>(P87/$P$103)</f>
        <v>2.765010827663041E-3</v>
      </c>
      <c r="R87" s="60">
        <v>916526618.05999994</v>
      </c>
      <c r="S87" s="61">
        <f t="shared" si="39"/>
        <v>2.7976086012686373E-3</v>
      </c>
      <c r="T87" s="62">
        <f t="shared" si="40"/>
        <v>2.715190100598186E-2</v>
      </c>
      <c r="U87" s="63">
        <f t="shared" si="41"/>
        <v>1.7703669026378217E-3</v>
      </c>
      <c r="V87" s="64">
        <f t="shared" si="42"/>
        <v>6.3572239422058632E-3</v>
      </c>
      <c r="W87" s="65">
        <f t="shared" si="43"/>
        <v>45591.557179305164</v>
      </c>
      <c r="X87" s="65">
        <f t="shared" si="44"/>
        <v>289.83573886272637</v>
      </c>
      <c r="Y87" s="97">
        <v>104.6</v>
      </c>
      <c r="Z87" s="97">
        <v>104.6</v>
      </c>
      <c r="AA87" s="71">
        <v>37</v>
      </c>
      <c r="AB87" s="71">
        <v>19935.2</v>
      </c>
      <c r="AC87" s="71">
        <v>167.79</v>
      </c>
      <c r="AD87" s="71"/>
      <c r="AE87" s="55">
        <v>20102.990000000002</v>
      </c>
      <c r="AF87" s="5"/>
    </row>
    <row r="88" spans="1:241" ht="16.5" customHeight="1" x14ac:dyDescent="0.25">
      <c r="A88" s="52">
        <v>78</v>
      </c>
      <c r="B88" s="48" t="s">
        <v>182</v>
      </c>
      <c r="C88" s="48" t="s">
        <v>169</v>
      </c>
      <c r="D88" s="103"/>
      <c r="E88" s="103"/>
      <c r="F88" s="59">
        <v>2652412032.2800002</v>
      </c>
      <c r="G88" s="59">
        <v>9710602187.4599991</v>
      </c>
      <c r="H88" s="103"/>
      <c r="I88" s="103"/>
      <c r="J88" s="59">
        <v>12851835396.77</v>
      </c>
      <c r="K88" s="59">
        <v>63491619.420000002</v>
      </c>
      <c r="L88" s="59">
        <v>20398025.07</v>
      </c>
      <c r="M88" s="112">
        <v>43093594.359999999</v>
      </c>
      <c r="N88" s="72">
        <v>12914567420.219999</v>
      </c>
      <c r="O88" s="97">
        <v>62732023.450000003</v>
      </c>
      <c r="P88" s="60">
        <v>12807995780.08</v>
      </c>
      <c r="Q88" s="61">
        <f>(P88/$P$103)</f>
        <v>3.9688766725255627E-2</v>
      </c>
      <c r="R88" s="60">
        <v>12851835396.77</v>
      </c>
      <c r="S88" s="61">
        <f t="shared" si="39"/>
        <v>3.922898095878187E-2</v>
      </c>
      <c r="T88" s="62">
        <f t="shared" si="40"/>
        <v>3.4228319124045424E-3</v>
      </c>
      <c r="U88" s="63">
        <f t="shared" si="41"/>
        <v>1.587168247978538E-3</v>
      </c>
      <c r="V88" s="64">
        <f t="shared" si="42"/>
        <v>3.3531081771270223E-3</v>
      </c>
      <c r="W88" s="65">
        <f t="shared" si="43"/>
        <v>53312.190415604789</v>
      </c>
      <c r="X88" s="65">
        <f t="shared" si="44"/>
        <v>178.7615416231173</v>
      </c>
      <c r="Y88" s="113">
        <v>119.53</v>
      </c>
      <c r="Z88" s="113">
        <v>119.53</v>
      </c>
      <c r="AA88" s="71">
        <v>1897</v>
      </c>
      <c r="AB88" s="72">
        <v>230617.59</v>
      </c>
      <c r="AC88" s="72">
        <v>23526.43</v>
      </c>
      <c r="AD88" s="72">
        <v>13076.54</v>
      </c>
      <c r="AE88" s="55">
        <v>241067.48</v>
      </c>
      <c r="AF88" s="5"/>
    </row>
    <row r="89" spans="1:241" ht="16.5" customHeight="1" x14ac:dyDescent="0.25">
      <c r="A89" s="109">
        <v>79</v>
      </c>
      <c r="B89" s="48" t="s">
        <v>205</v>
      </c>
      <c r="C89" s="48" t="s">
        <v>169</v>
      </c>
      <c r="D89" s="103"/>
      <c r="E89" s="103"/>
      <c r="F89" s="59">
        <v>375419500</v>
      </c>
      <c r="G89" s="59">
        <v>2878324193.6300001</v>
      </c>
      <c r="H89" s="103"/>
      <c r="I89" s="103"/>
      <c r="J89" s="59">
        <v>3447804363.27</v>
      </c>
      <c r="K89" s="59">
        <v>16165990.220000001</v>
      </c>
      <c r="L89" s="59">
        <v>622859.25</v>
      </c>
      <c r="M89" s="112">
        <v>15543130.98</v>
      </c>
      <c r="N89" s="72">
        <v>3448972215.2199998</v>
      </c>
      <c r="O89" s="97">
        <v>1167851.95</v>
      </c>
      <c r="P89" s="60">
        <f>77218.86*439.02</f>
        <v>33900623.917199999</v>
      </c>
      <c r="Q89" s="61"/>
      <c r="R89" s="60">
        <v>3447804363.27</v>
      </c>
      <c r="S89" s="61">
        <f t="shared" si="39"/>
        <v>1.0524088392099753E-2</v>
      </c>
      <c r="T89" s="62">
        <f t="shared" si="40"/>
        <v>100.70327164747854</v>
      </c>
      <c r="U89" s="63">
        <f t="shared" si="41"/>
        <v>1.8065388414592696E-4</v>
      </c>
      <c r="V89" s="64">
        <f t="shared" si="42"/>
        <v>4.5081244010197943E-3</v>
      </c>
      <c r="W89" s="65">
        <f t="shared" si="43"/>
        <v>45416.516179959188</v>
      </c>
      <c r="X89" s="65">
        <f t="shared" si="44"/>
        <v>204.74330480018429</v>
      </c>
      <c r="Y89" s="113">
        <v>102.83</v>
      </c>
      <c r="Z89" s="113">
        <v>102.83</v>
      </c>
      <c r="AA89" s="71">
        <v>41</v>
      </c>
      <c r="AB89" s="72">
        <v>39389.9</v>
      </c>
      <c r="AC89" s="72">
        <v>36525.31</v>
      </c>
      <c r="AD89" s="72"/>
      <c r="AE89" s="55">
        <v>75915.210000000006</v>
      </c>
      <c r="AF89" s="5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</row>
    <row r="90" spans="1:241" ht="16.5" customHeight="1" x14ac:dyDescent="0.25">
      <c r="A90" s="52">
        <v>80</v>
      </c>
      <c r="B90" s="48" t="s">
        <v>91</v>
      </c>
      <c r="C90" s="48" t="s">
        <v>170</v>
      </c>
      <c r="D90" s="59"/>
      <c r="E90" s="103"/>
      <c r="F90" s="59">
        <f>1875680.73*444.08</f>
        <v>832952298.57840002</v>
      </c>
      <c r="G90" s="59">
        <f>11483224.42*444.08</f>
        <v>5099470300.4335995</v>
      </c>
      <c r="H90" s="59"/>
      <c r="I90" s="103"/>
      <c r="J90" s="114">
        <f>13613553.32*444.08</f>
        <v>6045506758.3456001</v>
      </c>
      <c r="K90" s="114">
        <f>135012.69*444.08</f>
        <v>59956435.375199996</v>
      </c>
      <c r="L90" s="114">
        <f>21677.36*444.08</f>
        <v>9626482.0287999995</v>
      </c>
      <c r="M90" s="115">
        <f>113335.33*444.08</f>
        <v>50329953.3464</v>
      </c>
      <c r="N90" s="114">
        <f>13671728.33*444.08</f>
        <v>6071341116.7863998</v>
      </c>
      <c r="O90" s="114">
        <f>65864*444.08</f>
        <v>29248885.119999997</v>
      </c>
      <c r="P90" s="60">
        <f>13549057.26*439.02</f>
        <v>5948307118.2852001</v>
      </c>
      <c r="Q90" s="111">
        <f>(P90/$P$103)</f>
        <v>1.843231194649287E-2</v>
      </c>
      <c r="R90" s="60">
        <f>13605863.88*444.08</f>
        <v>6042092031.8304005</v>
      </c>
      <c r="S90" s="61">
        <f t="shared" si="39"/>
        <v>1.8442899862182564E-2</v>
      </c>
      <c r="T90" s="62">
        <f t="shared" si="40"/>
        <v>1.5766656240210578E-2</v>
      </c>
      <c r="U90" s="63">
        <f t="shared" si="41"/>
        <v>1.5932365773455024E-3</v>
      </c>
      <c r="V90" s="64">
        <f t="shared" si="42"/>
        <v>8.3298885686044349E-3</v>
      </c>
      <c r="W90" s="65">
        <f t="shared" si="43"/>
        <v>546.92013900271422</v>
      </c>
      <c r="X90" s="65">
        <f t="shared" si="44"/>
        <v>4.555783813818258</v>
      </c>
      <c r="Y90" s="113">
        <f>1.25*444.08</f>
        <v>555.1</v>
      </c>
      <c r="Z90" s="113">
        <f>1.25*444.08</f>
        <v>555.1</v>
      </c>
      <c r="AA90" s="71">
        <v>129</v>
      </c>
      <c r="AB90" s="71">
        <v>11046517</v>
      </c>
      <c r="AC90" s="71">
        <v>23460</v>
      </c>
      <c r="AD90" s="71">
        <v>22492</v>
      </c>
      <c r="AE90" s="55">
        <v>11047485</v>
      </c>
      <c r="AF90" s="5"/>
    </row>
    <row r="91" spans="1:241" ht="16.5" customHeight="1" x14ac:dyDescent="0.25">
      <c r="A91" s="109">
        <v>81</v>
      </c>
      <c r="B91" s="48" t="s">
        <v>180</v>
      </c>
      <c r="C91" s="48" t="s">
        <v>33</v>
      </c>
      <c r="D91" s="103"/>
      <c r="E91" s="72"/>
      <c r="F91" s="97"/>
      <c r="G91" s="72">
        <f>150236361*444.08</f>
        <v>66716963192.879997</v>
      </c>
      <c r="H91" s="72"/>
      <c r="I91" s="97"/>
      <c r="J91" s="72">
        <f>150236361*444.08</f>
        <v>66716963192.879997</v>
      </c>
      <c r="K91" s="97">
        <f>150236361*444.08</f>
        <v>66716963192.879997</v>
      </c>
      <c r="L91" s="97">
        <f>274751*444.08</f>
        <v>122011424.08</v>
      </c>
      <c r="M91" s="112">
        <f>772276*444.08</f>
        <v>342952326.07999998</v>
      </c>
      <c r="N91" s="72">
        <f>166217712*444.08</f>
        <v>73813961544.959991</v>
      </c>
      <c r="O91" s="97">
        <f>2068457*444.08</f>
        <v>918560384.55999994</v>
      </c>
      <c r="P91" s="60">
        <f>170544852*439.02</f>
        <v>74872600925.039993</v>
      </c>
      <c r="Q91" s="61">
        <f>(P91/$P$103)</f>
        <v>0.23201141249974006</v>
      </c>
      <c r="R91" s="60">
        <f>164149254*444.08</f>
        <v>72895400716.319992</v>
      </c>
      <c r="S91" s="61">
        <f t="shared" si="39"/>
        <v>0.22250614004922489</v>
      </c>
      <c r="T91" s="62">
        <f t="shared" si="40"/>
        <v>-2.6407526709263239E-2</v>
      </c>
      <c r="U91" s="63">
        <f t="shared" si="41"/>
        <v>1.6737876859312442E-3</v>
      </c>
      <c r="V91" s="64">
        <f t="shared" si="42"/>
        <v>4.7047183047204105E-3</v>
      </c>
      <c r="W91" s="65">
        <f t="shared" si="43"/>
        <v>55575.259837456877</v>
      </c>
      <c r="X91" s="65">
        <f t="shared" si="44"/>
        <v>261.46594224687647</v>
      </c>
      <c r="Y91" s="97">
        <f>125.15*444.08</f>
        <v>55576.612000000001</v>
      </c>
      <c r="Z91" s="97">
        <f>125.15*444.08</f>
        <v>55576.612000000001</v>
      </c>
      <c r="AA91" s="71">
        <v>1229</v>
      </c>
      <c r="AB91" s="72">
        <v>1371767</v>
      </c>
      <c r="AC91" s="71">
        <v>37620</v>
      </c>
      <c r="AD91" s="71">
        <v>97735</v>
      </c>
      <c r="AE91" s="55">
        <v>1311652</v>
      </c>
      <c r="AF91" s="5"/>
    </row>
    <row r="92" spans="1:241" ht="16.5" customHeight="1" x14ac:dyDescent="0.25">
      <c r="A92" s="52">
        <v>82</v>
      </c>
      <c r="B92" s="48" t="s">
        <v>92</v>
      </c>
      <c r="C92" s="48" t="s">
        <v>46</v>
      </c>
      <c r="D92" s="103"/>
      <c r="E92" s="72"/>
      <c r="F92" s="72"/>
      <c r="G92" s="72">
        <v>707080462.62</v>
      </c>
      <c r="H92" s="72"/>
      <c r="I92" s="72"/>
      <c r="J92" s="72">
        <v>707080462.62</v>
      </c>
      <c r="K92" s="72">
        <v>8695288.6199999992</v>
      </c>
      <c r="L92" s="72">
        <v>904713.75</v>
      </c>
      <c r="M92" s="112">
        <v>7790574.8700000001</v>
      </c>
      <c r="N92" s="116">
        <v>721332639.75</v>
      </c>
      <c r="O92" s="116">
        <v>19512237.329999998</v>
      </c>
      <c r="P92" s="60">
        <v>711176653.01999998</v>
      </c>
      <c r="Q92" s="61">
        <f>(P92/$P$103)</f>
        <v>2.2037580872768326E-3</v>
      </c>
      <c r="R92" s="60">
        <v>729218044.64999998</v>
      </c>
      <c r="S92" s="61">
        <f t="shared" si="39"/>
        <v>2.2258673493098539E-3</v>
      </c>
      <c r="T92" s="62">
        <f t="shared" si="40"/>
        <v>2.5368368820021751E-2</v>
      </c>
      <c r="U92" s="63">
        <f t="shared" si="41"/>
        <v>1.240662867077339E-3</v>
      </c>
      <c r="V92" s="64">
        <f t="shared" si="42"/>
        <v>1.0683464194497838E-2</v>
      </c>
      <c r="W92" s="65">
        <f t="shared" si="43"/>
        <v>49830.398021730216</v>
      </c>
      <c r="X92" s="65">
        <f t="shared" si="44"/>
        <v>532.36127306273067</v>
      </c>
      <c r="Y92" s="97">
        <v>116.6831</v>
      </c>
      <c r="Z92" s="97">
        <v>119.9272</v>
      </c>
      <c r="AA92" s="71">
        <v>38</v>
      </c>
      <c r="AB92" s="72">
        <v>14755</v>
      </c>
      <c r="AC92" s="72">
        <v>7</v>
      </c>
      <c r="AD92" s="72">
        <v>128</v>
      </c>
      <c r="AE92" s="55">
        <v>14634</v>
      </c>
      <c r="AF92" s="5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</row>
    <row r="93" spans="1:241" ht="6" customHeight="1" x14ac:dyDescent="0.25">
      <c r="A93" s="117"/>
      <c r="B93" s="118"/>
      <c r="C93" s="119"/>
      <c r="D93" s="54"/>
      <c r="E93" s="54"/>
      <c r="F93" s="54"/>
      <c r="G93" s="54"/>
      <c r="H93" s="54"/>
      <c r="I93" s="55"/>
      <c r="J93" s="120"/>
      <c r="K93" s="120"/>
      <c r="L93" s="120"/>
      <c r="M93" s="112"/>
      <c r="N93" s="72"/>
      <c r="O93" s="72"/>
      <c r="P93" s="98"/>
      <c r="Q93" s="61"/>
      <c r="R93" s="75"/>
      <c r="S93" s="61"/>
      <c r="T93" s="62"/>
      <c r="U93" s="63"/>
      <c r="V93" s="64"/>
      <c r="W93" s="65"/>
      <c r="X93" s="65"/>
      <c r="Y93" s="72"/>
      <c r="Z93" s="72"/>
      <c r="AA93" s="71"/>
      <c r="AB93" s="71"/>
      <c r="AC93" s="71"/>
      <c r="AD93" s="71"/>
      <c r="AE93" s="59"/>
      <c r="AF93" s="5"/>
    </row>
    <row r="94" spans="1:241" ht="16.5" customHeight="1" x14ac:dyDescent="0.25">
      <c r="A94" s="166" t="s">
        <v>211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8"/>
      <c r="AF94" s="5"/>
    </row>
    <row r="95" spans="1:241" ht="16.5" customHeight="1" x14ac:dyDescent="0.25">
      <c r="A95" s="52">
        <v>83</v>
      </c>
      <c r="B95" s="48" t="s">
        <v>118</v>
      </c>
      <c r="C95" s="49" t="s">
        <v>117</v>
      </c>
      <c r="D95" s="55"/>
      <c r="E95" s="55"/>
      <c r="F95" s="55"/>
      <c r="G95" s="55">
        <f>667563.53*444.08</f>
        <v>296451612.40240002</v>
      </c>
      <c r="H95" s="55"/>
      <c r="I95" s="55"/>
      <c r="J95" s="55">
        <f>667563.53*444.08</f>
        <v>296451612.40240002</v>
      </c>
      <c r="K95" s="55">
        <f>5981.55*444.08</f>
        <v>2656286.7239999999</v>
      </c>
      <c r="L95" s="55">
        <f>1284.04*444.08</f>
        <v>570216.48320000002</v>
      </c>
      <c r="M95" s="115">
        <f>4697.51*444.08</f>
        <v>2086070.2408</v>
      </c>
      <c r="N95" s="55">
        <f>825521.11*444.08</f>
        <v>366597414.52879995</v>
      </c>
      <c r="O95" s="55">
        <f>18888.24*444.08</f>
        <v>8387889.6192000005</v>
      </c>
      <c r="P95" s="75">
        <f>737538.65*439.02</f>
        <v>323794218.12300003</v>
      </c>
      <c r="Q95" s="61">
        <f>(P95/$P$103)</f>
        <v>1.0033570755900122E-3</v>
      </c>
      <c r="R95" s="75">
        <f>806632.87*444.08</f>
        <v>358209524.90959996</v>
      </c>
      <c r="S95" s="61">
        <f>(R95/$R$103)</f>
        <v>1.0933998295266588E-3</v>
      </c>
      <c r="T95" s="62">
        <f t="shared" ref="T95:T103" si="45">((R95-P95)/P95)</f>
        <v>0.10628758903139697</v>
      </c>
      <c r="U95" s="63">
        <f t="shared" ref="U95" si="46">(L95/R95)</f>
        <v>1.5918518172957671E-3</v>
      </c>
      <c r="V95" s="64">
        <f>M95/R95</f>
        <v>5.8236034938670437E-3</v>
      </c>
      <c r="W95" s="65">
        <f t="shared" ref="W95" si="47">R95/AE95</f>
        <v>42147.255548841036</v>
      </c>
      <c r="X95" s="65">
        <f>M95/AE95</f>
        <v>245.4489046711378</v>
      </c>
      <c r="Y95" s="72">
        <f>94.91*444.08</f>
        <v>42147.632799999999</v>
      </c>
      <c r="Z95" s="72">
        <f>94.91*444.08</f>
        <v>42147.632799999999</v>
      </c>
      <c r="AA95" s="121">
        <v>29</v>
      </c>
      <c r="AB95" s="121">
        <v>8420</v>
      </c>
      <c r="AC95" s="121">
        <v>120</v>
      </c>
      <c r="AD95" s="121">
        <v>41</v>
      </c>
      <c r="AE95" s="55">
        <v>8499</v>
      </c>
      <c r="AF95" s="5"/>
    </row>
    <row r="96" spans="1:241" ht="16.5" customHeight="1" x14ac:dyDescent="0.25">
      <c r="A96" s="52">
        <v>84</v>
      </c>
      <c r="B96" s="48" t="s">
        <v>187</v>
      </c>
      <c r="C96" s="49" t="s">
        <v>42</v>
      </c>
      <c r="D96" s="55"/>
      <c r="E96" s="55"/>
      <c r="F96" s="55"/>
      <c r="G96" s="55">
        <f>4833401.78*444.084</f>
        <v>2146436396.0695202</v>
      </c>
      <c r="H96" s="55"/>
      <c r="I96" s="55"/>
      <c r="J96" s="55">
        <f>4833401.78*444.08</f>
        <v>2146417062.4624</v>
      </c>
      <c r="K96" s="55">
        <f>82529.82*444.08</f>
        <v>36649842.465599999</v>
      </c>
      <c r="L96" s="55">
        <f>75140.35*444.08</f>
        <v>33368326.628000002</v>
      </c>
      <c r="M96" s="115">
        <f>7389.47*444.08</f>
        <v>3281515.8376000002</v>
      </c>
      <c r="N96" s="55">
        <f>6183984.59*444.08</f>
        <v>2746183876.7272</v>
      </c>
      <c r="O96" s="55">
        <f>75140.35*444.08</f>
        <v>33368326.628000002</v>
      </c>
      <c r="P96" s="75">
        <f>6025778.7*439.02</f>
        <v>2645437364.8740001</v>
      </c>
      <c r="Q96" s="61"/>
      <c r="R96" s="75">
        <f>6108844.24*444.08</f>
        <v>2712815550.0991998</v>
      </c>
      <c r="S96" s="61">
        <f t="shared" ref="S96:S102" si="48">(R96/$R$103)</f>
        <v>8.2806063316275616E-3</v>
      </c>
      <c r="T96" s="62">
        <f t="shared" ref="T96:T102" si="49">((R96-P96)/P96)</f>
        <v>2.546958250452052E-2</v>
      </c>
      <c r="U96" s="63">
        <f t="shared" ref="U96:U102" si="50">(L96/R96)</f>
        <v>1.2300256324754486E-2</v>
      </c>
      <c r="V96" s="64">
        <f t="shared" ref="V96:V102" si="51">M96/R96</f>
        <v>1.2096347049765344E-3</v>
      </c>
      <c r="W96" s="65">
        <f t="shared" ref="W96:W102" si="52">R96/AE96</f>
        <v>55021.517251000565</v>
      </c>
      <c r="X96" s="65">
        <f t="shared" ref="X96:X102" si="53">M96/AE96</f>
        <v>66.555936787275357</v>
      </c>
      <c r="Y96" s="72">
        <f>2393.75*444.08</f>
        <v>1063016.5</v>
      </c>
      <c r="Z96" s="72">
        <f>2246.94*444.08</f>
        <v>997821.1152</v>
      </c>
      <c r="AA96" s="121">
        <v>330</v>
      </c>
      <c r="AB96" s="121">
        <v>49157.82</v>
      </c>
      <c r="AC96" s="121">
        <v>2393.75</v>
      </c>
      <c r="AD96" s="121">
        <v>2246.94</v>
      </c>
      <c r="AE96" s="55">
        <v>49304.63</v>
      </c>
      <c r="AF96" s="5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  <c r="FY96" s="17"/>
      <c r="FZ96" s="17"/>
      <c r="GA96" s="17"/>
      <c r="GB96" s="17"/>
      <c r="GC96" s="17"/>
      <c r="GD96" s="17"/>
      <c r="GE96" s="17"/>
      <c r="GF96" s="17"/>
      <c r="GG96" s="17"/>
      <c r="GH96" s="17"/>
      <c r="GI96" s="17"/>
      <c r="GJ96" s="17"/>
      <c r="GK96" s="17"/>
      <c r="GL96" s="17"/>
      <c r="GM96" s="17"/>
      <c r="GN96" s="17"/>
      <c r="GO96" s="17"/>
      <c r="GP96" s="17"/>
      <c r="GQ96" s="17"/>
      <c r="GR96" s="17"/>
      <c r="GS96" s="17"/>
      <c r="GT96" s="17"/>
      <c r="GU96" s="17"/>
      <c r="GV96" s="17"/>
      <c r="GW96" s="17"/>
      <c r="GX96" s="17"/>
      <c r="GY96" s="17"/>
      <c r="GZ96" s="17"/>
      <c r="HA96" s="17"/>
      <c r="HB96" s="17"/>
      <c r="HC96" s="17"/>
      <c r="HD96" s="17"/>
      <c r="HE96" s="17"/>
      <c r="HF96" s="17"/>
      <c r="HG96" s="17"/>
      <c r="HH96" s="17"/>
      <c r="HI96" s="17"/>
      <c r="HJ96" s="17"/>
      <c r="HK96" s="17"/>
      <c r="HL96" s="17"/>
      <c r="HM96" s="17"/>
      <c r="HN96" s="17"/>
      <c r="HO96" s="17"/>
      <c r="HP96" s="17"/>
      <c r="HQ96" s="17"/>
      <c r="HR96" s="17"/>
      <c r="HS96" s="17"/>
      <c r="HT96" s="17"/>
      <c r="HU96" s="17"/>
      <c r="HV96" s="17"/>
      <c r="HW96" s="17"/>
      <c r="HX96" s="17"/>
      <c r="HY96" s="17"/>
      <c r="HZ96" s="17"/>
      <c r="IA96" s="17"/>
      <c r="IB96" s="17"/>
      <c r="IC96" s="17"/>
      <c r="ID96" s="17"/>
      <c r="IE96" s="17"/>
      <c r="IF96" s="17"/>
      <c r="IG96" s="17"/>
    </row>
    <row r="97" spans="1:241" ht="16.5" customHeight="1" x14ac:dyDescent="0.25">
      <c r="A97" s="52">
        <v>85</v>
      </c>
      <c r="B97" s="48" t="s">
        <v>115</v>
      </c>
      <c r="C97" s="48" t="s">
        <v>63</v>
      </c>
      <c r="D97" s="55"/>
      <c r="E97" s="55"/>
      <c r="F97" s="55"/>
      <c r="G97" s="55">
        <f>11236664.08*444.08</f>
        <v>4989977784.6463995</v>
      </c>
      <c r="H97" s="55"/>
      <c r="I97" s="55"/>
      <c r="J97" s="55">
        <f>11236664.08*444.08</f>
        <v>4989977784.6463995</v>
      </c>
      <c r="K97" s="55">
        <f>86839.32*444.08</f>
        <v>38563605.225600004</v>
      </c>
      <c r="L97" s="55">
        <f>22794.94*444.08</f>
        <v>10122776.9552</v>
      </c>
      <c r="M97" s="115">
        <f>64044.38*444.08</f>
        <v>28440828.270399999</v>
      </c>
      <c r="N97" s="55">
        <f>13642822.61*444.08</f>
        <v>6058504664.6487999</v>
      </c>
      <c r="O97" s="55">
        <f>205022.21*444.08</f>
        <v>91046263.016799986</v>
      </c>
      <c r="P97" s="75">
        <f>14525632.9*439.02</f>
        <v>6377043355.7580004</v>
      </c>
      <c r="Q97" s="61">
        <f t="shared" ref="Q97:Q102" si="54">(P97/$P$103)</f>
        <v>1.9760858020983804E-2</v>
      </c>
      <c r="R97" s="75">
        <f>13437800.4*444.08</f>
        <v>5967458401.632</v>
      </c>
      <c r="S97" s="61">
        <f t="shared" si="48"/>
        <v>1.8215087945242386E-2</v>
      </c>
      <c r="T97" s="62">
        <f t="shared" si="49"/>
        <v>-6.4228033475133173E-2</v>
      </c>
      <c r="U97" s="63">
        <f t="shared" si="50"/>
        <v>1.6963297058646592E-3</v>
      </c>
      <c r="V97" s="64">
        <f t="shared" si="51"/>
        <v>4.7659868500502505E-3</v>
      </c>
      <c r="W97" s="65">
        <f t="shared" si="52"/>
        <v>49745.816500904475</v>
      </c>
      <c r="X97" s="65">
        <f t="shared" si="53"/>
        <v>237.08790728832349</v>
      </c>
      <c r="Y97" s="72">
        <f>112.33*444.08</f>
        <v>49883.506399999998</v>
      </c>
      <c r="Z97" s="72">
        <f>112.33*444.08</f>
        <v>49883.506399999998</v>
      </c>
      <c r="AA97" s="121">
        <v>509</v>
      </c>
      <c r="AB97" s="121">
        <v>129093</v>
      </c>
      <c r="AC97" s="121">
        <v>5115</v>
      </c>
      <c r="AD97" s="121">
        <v>14249</v>
      </c>
      <c r="AE97" s="55">
        <v>119959</v>
      </c>
      <c r="AF97" s="5"/>
    </row>
    <row r="98" spans="1:241" ht="16.5" customHeight="1" x14ac:dyDescent="0.25">
      <c r="A98" s="52">
        <v>86</v>
      </c>
      <c r="B98" s="48" t="s">
        <v>119</v>
      </c>
      <c r="C98" s="49" t="s">
        <v>79</v>
      </c>
      <c r="D98" s="55"/>
      <c r="E98" s="55"/>
      <c r="F98" s="55">
        <f>494575.67*444.08</f>
        <v>219631163.53359997</v>
      </c>
      <c r="G98" s="55">
        <f>3432918.72*444.08</f>
        <v>1524490545.1776001</v>
      </c>
      <c r="H98" s="55"/>
      <c r="I98" s="55"/>
      <c r="J98" s="55">
        <f>3927494.39*444.08</f>
        <v>1744121708.7112</v>
      </c>
      <c r="K98" s="55">
        <f>23326.2*444.08</f>
        <v>10358698.896</v>
      </c>
      <c r="L98" s="55">
        <f>5905.4*444.08</f>
        <v>2622470.0319999997</v>
      </c>
      <c r="M98" s="115">
        <f>18112.35*444.08</f>
        <v>8043332.3879999993</v>
      </c>
      <c r="N98" s="55">
        <f>4038595.75*444.08</f>
        <v>1793459600.6599998</v>
      </c>
      <c r="O98" s="55">
        <f>37163.96*444.08</f>
        <v>16503771.356799999</v>
      </c>
      <c r="P98" s="75">
        <f>3966741.84*439.02</f>
        <v>1741479002.5967999</v>
      </c>
      <c r="Q98" s="61">
        <f t="shared" si="54"/>
        <v>5.3964066726576885E-3</v>
      </c>
      <c r="R98" s="75">
        <f>4001431.79*444.08</f>
        <v>1776955829.3032</v>
      </c>
      <c r="S98" s="61">
        <f t="shared" si="48"/>
        <v>5.4239853095108233E-3</v>
      </c>
      <c r="T98" s="62">
        <f t="shared" si="49"/>
        <v>2.0371664920162125E-2</v>
      </c>
      <c r="U98" s="63">
        <f t="shared" si="50"/>
        <v>1.4758217333001194E-3</v>
      </c>
      <c r="V98" s="64">
        <f t="shared" si="51"/>
        <v>4.5264672623596064E-3</v>
      </c>
      <c r="W98" s="65">
        <f t="shared" si="52"/>
        <v>500.03016697699837</v>
      </c>
      <c r="X98" s="65">
        <f t="shared" si="53"/>
        <v>2.2633701810135904</v>
      </c>
      <c r="Y98" s="72">
        <f>1.13*444.08</f>
        <v>501.81039999999996</v>
      </c>
      <c r="Z98" s="72">
        <f>1.13*444.08</f>
        <v>501.81039999999996</v>
      </c>
      <c r="AA98" s="121">
        <v>127</v>
      </c>
      <c r="AB98" s="121">
        <v>3538003.81</v>
      </c>
      <c r="AC98" s="121">
        <v>133384.06</v>
      </c>
      <c r="AD98" s="121">
        <v>117690.63</v>
      </c>
      <c r="AE98" s="55">
        <v>3553697.25</v>
      </c>
      <c r="AF98" s="5"/>
    </row>
    <row r="99" spans="1:241" ht="16.5" customHeight="1" x14ac:dyDescent="0.25">
      <c r="A99" s="52">
        <v>87</v>
      </c>
      <c r="B99" s="49" t="s">
        <v>171</v>
      </c>
      <c r="C99" s="49" t="s">
        <v>29</v>
      </c>
      <c r="D99" s="55"/>
      <c r="E99" s="55"/>
      <c r="F99" s="55">
        <f>203355.4*444.08</f>
        <v>90306066.03199999</v>
      </c>
      <c r="G99" s="55">
        <f>7864547.9*444.08</f>
        <v>3492488431.4320002</v>
      </c>
      <c r="H99" s="55"/>
      <c r="I99" s="55"/>
      <c r="J99" s="55">
        <f>8067903.4*444.08</f>
        <v>3582794541.8720002</v>
      </c>
      <c r="K99" s="55">
        <f>66772.2*444.08</f>
        <v>29652198.575999998</v>
      </c>
      <c r="L99" s="55">
        <f>14371.9*444.08</f>
        <v>6382273.352</v>
      </c>
      <c r="M99" s="115">
        <f>52400.3*444.08</f>
        <v>23269925.223999999</v>
      </c>
      <c r="N99" s="55">
        <f>8217794.6*444.08</f>
        <v>3649358225.9679999</v>
      </c>
      <c r="O99" s="55">
        <f>42655.74*444.08</f>
        <v>18942561.019199997</v>
      </c>
      <c r="P99" s="75">
        <f>8681710.2*439.02</f>
        <v>3811444412.0039997</v>
      </c>
      <c r="Q99" s="61">
        <f t="shared" si="54"/>
        <v>1.1810710336864351E-2</v>
      </c>
      <c r="R99" s="75">
        <f>8175138.8*444.08</f>
        <v>3630415638.3039999</v>
      </c>
      <c r="S99" s="61">
        <f t="shared" si="48"/>
        <v>1.1081491596389785E-2</v>
      </c>
      <c r="T99" s="62">
        <f t="shared" si="49"/>
        <v>-4.7496107546487247E-2</v>
      </c>
      <c r="U99" s="63">
        <f t="shared" si="50"/>
        <v>1.7580007326603434E-3</v>
      </c>
      <c r="V99" s="64">
        <f t="shared" si="51"/>
        <v>6.4097138020457831E-3</v>
      </c>
      <c r="W99" s="65">
        <f t="shared" si="52"/>
        <v>464.18186193456876</v>
      </c>
      <c r="X99" s="65">
        <f t="shared" si="53"/>
        <v>2.9752728871013154</v>
      </c>
      <c r="Y99" s="72">
        <f>1.0453*444.08</f>
        <v>464.19682399999994</v>
      </c>
      <c r="Z99" s="72">
        <f>1.0453*444.08</f>
        <v>464.19682399999994</v>
      </c>
      <c r="AA99" s="121">
        <v>285</v>
      </c>
      <c r="AB99" s="121">
        <v>8358405.5999999996</v>
      </c>
      <c r="AC99" s="121">
        <v>205382.3</v>
      </c>
      <c r="AD99" s="121">
        <v>772879.4</v>
      </c>
      <c r="AE99" s="55">
        <v>7821106.2000000002</v>
      </c>
      <c r="AF99" s="5"/>
    </row>
    <row r="100" spans="1:241" ht="15.75" customHeight="1" x14ac:dyDescent="0.25">
      <c r="A100" s="52">
        <v>88</v>
      </c>
      <c r="B100" s="48" t="s">
        <v>120</v>
      </c>
      <c r="C100" s="49" t="s">
        <v>86</v>
      </c>
      <c r="D100" s="55"/>
      <c r="E100" s="55"/>
      <c r="F100" s="55"/>
      <c r="G100" s="55">
        <f>179005.32*444.08</f>
        <v>79492682.505600005</v>
      </c>
      <c r="H100" s="55"/>
      <c r="I100" s="55"/>
      <c r="J100" s="55">
        <f>179005.32*444.08</f>
        <v>79492682.505600005</v>
      </c>
      <c r="K100" s="55">
        <f>1274.61*444.08</f>
        <v>566028.80879999988</v>
      </c>
      <c r="L100" s="55">
        <f>87.31*444.08</f>
        <v>38772.624799999998</v>
      </c>
      <c r="M100" s="115">
        <f>1187.3*444.08</f>
        <v>527256.18400000001</v>
      </c>
      <c r="N100" s="55">
        <f>225056.81*444.08</f>
        <v>99943228.184799999</v>
      </c>
      <c r="O100" s="55">
        <f>3249.95*444.08</f>
        <v>1443237.7959999999</v>
      </c>
      <c r="P100" s="75">
        <f>195209.85*439.02</f>
        <v>85701028.347000003</v>
      </c>
      <c r="Q100" s="61">
        <f t="shared" si="54"/>
        <v>2.6556599335148733E-4</v>
      </c>
      <c r="R100" s="75">
        <f>222336.53*444.08</f>
        <v>98735206.242399991</v>
      </c>
      <c r="S100" s="61">
        <f t="shared" si="48"/>
        <v>3.0137964003320227E-4</v>
      </c>
      <c r="T100" s="62">
        <f t="shared" si="49"/>
        <v>0.15208893226607653</v>
      </c>
      <c r="U100" s="63">
        <f t="shared" si="50"/>
        <v>3.9269300460882428E-4</v>
      </c>
      <c r="V100" s="64">
        <f t="shared" si="51"/>
        <v>5.3401031310509346E-3</v>
      </c>
      <c r="W100" s="65">
        <f t="shared" si="52"/>
        <v>386.4618519380785</v>
      </c>
      <c r="X100" s="65">
        <f t="shared" si="53"/>
        <v>2.063746145566276</v>
      </c>
      <c r="Y100" s="72">
        <f>0.8703*444.08</f>
        <v>386.48282399999999</v>
      </c>
      <c r="Z100" s="72">
        <f>0.8703*444.08</f>
        <v>386.48282399999999</v>
      </c>
      <c r="AA100" s="121">
        <v>5</v>
      </c>
      <c r="AB100" s="121">
        <v>255485</v>
      </c>
      <c r="AC100" s="121"/>
      <c r="AD100" s="59"/>
      <c r="AE100" s="55">
        <v>255485</v>
      </c>
      <c r="AF100" s="5"/>
    </row>
    <row r="101" spans="1:241" ht="16.5" customHeight="1" x14ac:dyDescent="0.25">
      <c r="A101" s="52">
        <v>89</v>
      </c>
      <c r="B101" s="48" t="s">
        <v>106</v>
      </c>
      <c r="C101" s="48" t="s">
        <v>23</v>
      </c>
      <c r="D101" s="55"/>
      <c r="E101" s="55"/>
      <c r="F101" s="55">
        <f>98919259.59*444.08</f>
        <v>43928064798.727203</v>
      </c>
      <c r="G101" s="55">
        <f>312879484.37*444.08</f>
        <v>138943521419.0296</v>
      </c>
      <c r="H101" s="55"/>
      <c r="I101" s="55"/>
      <c r="J101" s="55">
        <f>411948781.33*444.08</f>
        <v>182938214813.0264</v>
      </c>
      <c r="K101" s="55">
        <f>2854911.99*444.08</f>
        <v>1267809316.5192001</v>
      </c>
      <c r="L101" s="55">
        <f>699972.02*444.08</f>
        <v>310843574.64160001</v>
      </c>
      <c r="M101" s="115">
        <f>2154939.97*444.08</f>
        <v>956965741.87760007</v>
      </c>
      <c r="N101" s="55">
        <f>417756270.56*444.08</f>
        <v>185517204630.28479</v>
      </c>
      <c r="O101" s="55">
        <f>1470593.4*444.08</f>
        <v>653061117.07199991</v>
      </c>
      <c r="P101" s="75">
        <f>414356715.7*439.02</f>
        <v>181910885326.61398</v>
      </c>
      <c r="Q101" s="61">
        <f t="shared" si="54"/>
        <v>0.56369621106071388</v>
      </c>
      <c r="R101" s="75">
        <f>416285677.16*444.08</f>
        <v>184864143513.2128</v>
      </c>
      <c r="S101" s="61">
        <f t="shared" si="48"/>
        <v>0.5642798668012794</v>
      </c>
      <c r="T101" s="62">
        <f t="shared" si="49"/>
        <v>1.6234642480554996E-2</v>
      </c>
      <c r="U101" s="63">
        <f t="shared" si="50"/>
        <v>1.6814703421346991E-3</v>
      </c>
      <c r="V101" s="64">
        <f t="shared" si="51"/>
        <v>5.1765892708620521E-3</v>
      </c>
      <c r="W101" s="65">
        <f t="shared" si="52"/>
        <v>602.6797079298882</v>
      </c>
      <c r="X101" s="65">
        <f t="shared" si="53"/>
        <v>3.119825309836135</v>
      </c>
      <c r="Y101" s="72">
        <f>1.3571*444.08</f>
        <v>602.66096799999991</v>
      </c>
      <c r="Z101" s="72">
        <f>1.3571*444.08</f>
        <v>602.66096799999991</v>
      </c>
      <c r="AA101" s="121">
        <v>4528</v>
      </c>
      <c r="AB101" s="121">
        <v>306961214.18000001</v>
      </c>
      <c r="AC101" s="121">
        <v>12062602.33</v>
      </c>
      <c r="AD101" s="121">
        <v>12286853.119999999</v>
      </c>
      <c r="AE101" s="121">
        <v>306736963.39999998</v>
      </c>
      <c r="AF101" s="5"/>
    </row>
    <row r="102" spans="1:241" ht="16.5" customHeight="1" x14ac:dyDescent="0.25">
      <c r="A102" s="52">
        <v>90</v>
      </c>
      <c r="B102" s="49" t="s">
        <v>109</v>
      </c>
      <c r="C102" s="49" t="s">
        <v>44</v>
      </c>
      <c r="D102" s="55"/>
      <c r="E102" s="55"/>
      <c r="F102" s="122">
        <f>4451033.75*444.08</f>
        <v>1976615067.7</v>
      </c>
      <c r="G102" s="55">
        <f>53913577.06*444.08</f>
        <v>23941941300.804802</v>
      </c>
      <c r="H102" s="55"/>
      <c r="I102" s="55"/>
      <c r="J102" s="55">
        <f>58364610.81*444.08</f>
        <v>25918556368.504799</v>
      </c>
      <c r="K102" s="55">
        <f>534960.3*444.08</f>
        <v>237565170.02400002</v>
      </c>
      <c r="L102" s="55">
        <f>220218.07*444.08</f>
        <v>97794440.525600001</v>
      </c>
      <c r="M102" s="115">
        <f>314742.23*444.08</f>
        <v>139770729.49839997</v>
      </c>
      <c r="N102" s="55">
        <f>58519482.87*444.08</f>
        <v>25987331952.909599</v>
      </c>
      <c r="O102" s="55">
        <f>286387.94*444.08</f>
        <v>127179156.3952</v>
      </c>
      <c r="P102" s="75">
        <f>57039992.42*439.02</f>
        <v>25041697472.228401</v>
      </c>
      <c r="Q102" s="111">
        <f t="shared" si="54"/>
        <v>7.7597940102810417E-2</v>
      </c>
      <c r="R102" s="75">
        <f>58233094.94*444.08</f>
        <v>25860152800.955196</v>
      </c>
      <c r="S102" s="61">
        <f t="shared" si="48"/>
        <v>7.8935608066908719E-2</v>
      </c>
      <c r="T102" s="62">
        <f t="shared" si="49"/>
        <v>3.2683700042078767E-2</v>
      </c>
      <c r="U102" s="63">
        <f t="shared" si="50"/>
        <v>3.7816652236481669E-3</v>
      </c>
      <c r="V102" s="64">
        <f t="shared" si="51"/>
        <v>5.4048686631595335E-3</v>
      </c>
      <c r="W102" s="65">
        <f t="shared" si="52"/>
        <v>447.15947971978107</v>
      </c>
      <c r="X102" s="65">
        <f t="shared" si="53"/>
        <v>2.4168382593721653</v>
      </c>
      <c r="Y102" s="72">
        <f>1.07*444.08</f>
        <v>475.16559999999998</v>
      </c>
      <c r="Z102" s="72">
        <f>1.07*444.08</f>
        <v>475.16559999999998</v>
      </c>
      <c r="AA102" s="121">
        <v>351</v>
      </c>
      <c r="AB102" s="59">
        <v>56740893.630000003</v>
      </c>
      <c r="AC102" s="121">
        <v>26599386</v>
      </c>
      <c r="AD102" s="123">
        <v>25508222</v>
      </c>
      <c r="AE102" s="55">
        <v>57832057.630000003</v>
      </c>
      <c r="AF102" s="5"/>
    </row>
    <row r="103" spans="1:241" ht="16.5" customHeight="1" x14ac:dyDescent="0.25">
      <c r="A103" s="124"/>
      <c r="B103" s="23"/>
      <c r="C103" s="125" t="s">
        <v>50</v>
      </c>
      <c r="D103" s="126">
        <f>SUM(D84:D102)</f>
        <v>0</v>
      </c>
      <c r="E103" s="126"/>
      <c r="F103" s="126">
        <f>SUM(F84:F102)</f>
        <v>50075400926.851204</v>
      </c>
      <c r="G103" s="126">
        <f>SUM(G84:G102)</f>
        <v>266576512673.33911</v>
      </c>
      <c r="H103" s="126"/>
      <c r="I103" s="126"/>
      <c r="J103" s="126">
        <f t="shared" ref="J103:O103" si="55">SUM(J84:J102)</f>
        <v>317521346786.42438</v>
      </c>
      <c r="K103" s="126">
        <f t="shared" si="55"/>
        <v>68531886182.189606</v>
      </c>
      <c r="L103" s="126">
        <f t="shared" si="55"/>
        <v>652162934.65079999</v>
      </c>
      <c r="M103" s="126">
        <f t="shared" si="55"/>
        <v>1628030908.3728001</v>
      </c>
      <c r="N103" s="126">
        <f t="shared" si="55"/>
        <v>329759626528.49841</v>
      </c>
      <c r="O103" s="126">
        <f t="shared" si="55"/>
        <v>2176520876.5831995</v>
      </c>
      <c r="P103" s="101">
        <f>SUM(P85:P102)</f>
        <v>322710853394.43756</v>
      </c>
      <c r="Q103" s="84">
        <f>(P103/$P$153)</f>
        <v>0.23477726414517144</v>
      </c>
      <c r="R103" s="101">
        <f>SUM(R85:R102)</f>
        <v>327610737843.87878</v>
      </c>
      <c r="S103" s="84">
        <f>(R103/$R$153)</f>
        <v>0.23912750632399496</v>
      </c>
      <c r="T103" s="85">
        <f t="shared" si="45"/>
        <v>1.5183513036211011E-2</v>
      </c>
      <c r="U103" s="86"/>
      <c r="V103" s="87"/>
      <c r="W103" s="88"/>
      <c r="X103" s="88"/>
      <c r="Y103" s="82"/>
      <c r="Z103" s="82"/>
      <c r="AA103" s="127">
        <f>SUM(AA85:AA102)</f>
        <v>10061</v>
      </c>
      <c r="AB103" s="127"/>
      <c r="AC103" s="127"/>
      <c r="AD103" s="127"/>
      <c r="AE103" s="82"/>
      <c r="AF103" s="5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  <c r="FY103" s="17"/>
      <c r="FZ103" s="17"/>
      <c r="GA103" s="17"/>
      <c r="GB103" s="17"/>
      <c r="GC103" s="17"/>
      <c r="GD103" s="17"/>
      <c r="GE103" s="17"/>
      <c r="GF103" s="17"/>
      <c r="GG103" s="17"/>
      <c r="GH103" s="17"/>
      <c r="GI103" s="17"/>
      <c r="GJ103" s="17"/>
      <c r="GK103" s="17"/>
      <c r="GL103" s="17"/>
      <c r="GM103" s="17"/>
      <c r="GN103" s="17"/>
      <c r="GO103" s="17"/>
      <c r="GP103" s="17"/>
      <c r="GQ103" s="17"/>
      <c r="GR103" s="17"/>
      <c r="GS103" s="17"/>
      <c r="GT103" s="17"/>
      <c r="GU103" s="17"/>
      <c r="GV103" s="17"/>
      <c r="GW103" s="17"/>
      <c r="GX103" s="17"/>
      <c r="GY103" s="17"/>
      <c r="GZ103" s="17"/>
      <c r="HA103" s="17"/>
      <c r="HB103" s="17"/>
      <c r="HC103" s="17"/>
      <c r="HD103" s="17"/>
      <c r="HE103" s="17"/>
      <c r="HF103" s="17"/>
      <c r="HG103" s="17"/>
      <c r="HH103" s="17"/>
      <c r="HI103" s="17"/>
      <c r="HJ103" s="17"/>
      <c r="HK103" s="17"/>
      <c r="HL103" s="17"/>
      <c r="HM103" s="17"/>
      <c r="HN103" s="17"/>
      <c r="HO103" s="17"/>
      <c r="HP103" s="17"/>
      <c r="HQ103" s="17"/>
      <c r="HR103" s="17"/>
      <c r="HS103" s="17"/>
      <c r="HT103" s="17"/>
      <c r="HU103" s="17"/>
      <c r="HV103" s="17"/>
      <c r="HW103" s="17"/>
      <c r="HX103" s="17"/>
      <c r="HY103" s="17"/>
      <c r="HZ103" s="17"/>
      <c r="IA103" s="17"/>
      <c r="IB103" s="17"/>
      <c r="IC103" s="17"/>
      <c r="ID103" s="17"/>
      <c r="IE103" s="17"/>
      <c r="IF103" s="17"/>
      <c r="IG103" s="17"/>
    </row>
    <row r="104" spans="1:241" s="22" customFormat="1" ht="16.5" customHeight="1" x14ac:dyDescent="0.3">
      <c r="A104" s="155" t="s">
        <v>121</v>
      </c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7"/>
      <c r="AF104" s="20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</row>
    <row r="105" spans="1:241" ht="16.5" customHeight="1" x14ac:dyDescent="0.25">
      <c r="A105" s="52">
        <v>91</v>
      </c>
      <c r="B105" s="48" t="s">
        <v>125</v>
      </c>
      <c r="C105" s="48" t="s">
        <v>29</v>
      </c>
      <c r="D105" s="72"/>
      <c r="E105" s="128"/>
      <c r="F105" s="128" t="s">
        <v>208</v>
      </c>
      <c r="G105" s="72"/>
      <c r="H105" s="72">
        <v>785388449</v>
      </c>
      <c r="I105" s="129">
        <v>37268513</v>
      </c>
      <c r="J105" s="72">
        <v>7631058684</v>
      </c>
      <c r="K105" s="72">
        <v>88255724</v>
      </c>
      <c r="L105" s="59">
        <v>19406852</v>
      </c>
      <c r="M105" s="130">
        <v>68848871</v>
      </c>
      <c r="N105" s="72">
        <v>7875012924</v>
      </c>
      <c r="O105" s="72">
        <v>252508739</v>
      </c>
      <c r="P105" s="75">
        <v>7553655314</v>
      </c>
      <c r="Q105" s="61">
        <f>(P105/$P$109)</f>
        <v>0.16603413993656224</v>
      </c>
      <c r="R105" s="75">
        <v>7622504185</v>
      </c>
      <c r="S105" s="61">
        <f>(R105/$R$109)</f>
        <v>0.16679304025212227</v>
      </c>
      <c r="T105" s="62">
        <f>((R105-P105)/P105)</f>
        <v>9.1146429295489561E-3</v>
      </c>
      <c r="U105" s="63">
        <f>(L105/R105)</f>
        <v>2.5459942728781855E-3</v>
      </c>
      <c r="V105" s="64">
        <f>M105/R105</f>
        <v>9.0323165890134564E-3</v>
      </c>
      <c r="W105" s="65">
        <f>R105/AE105</f>
        <v>102.79843809844908</v>
      </c>
      <c r="X105" s="65">
        <f>M105/AE105</f>
        <v>0.92850803776129465</v>
      </c>
      <c r="Y105" s="72">
        <v>102.8</v>
      </c>
      <c r="Z105" s="72">
        <v>102.8</v>
      </c>
      <c r="AA105" s="72">
        <v>55</v>
      </c>
      <c r="AB105" s="72">
        <v>74150000</v>
      </c>
      <c r="AC105" s="72"/>
      <c r="AD105" s="72"/>
      <c r="AE105" s="72">
        <v>74150000</v>
      </c>
      <c r="AF105" s="5"/>
    </row>
    <row r="106" spans="1:241" ht="16.5" customHeight="1" x14ac:dyDescent="0.25">
      <c r="A106" s="52">
        <v>92</v>
      </c>
      <c r="B106" s="48" t="s">
        <v>122</v>
      </c>
      <c r="C106" s="48" t="s">
        <v>100</v>
      </c>
      <c r="D106" s="72"/>
      <c r="E106" s="128"/>
      <c r="F106" s="128"/>
      <c r="G106" s="72">
        <v>322929819.27999997</v>
      </c>
      <c r="H106" s="72">
        <v>1820390000</v>
      </c>
      <c r="I106" s="129">
        <v>869232.16</v>
      </c>
      <c r="J106" s="72">
        <v>2144189051.4400001</v>
      </c>
      <c r="K106" s="72">
        <v>22987685.640000001</v>
      </c>
      <c r="L106" s="59">
        <v>4883700.6900000004</v>
      </c>
      <c r="M106" s="130">
        <v>18103984.949999999</v>
      </c>
      <c r="N106" s="72">
        <v>2541739880.4099998</v>
      </c>
      <c r="O106" s="72">
        <v>265962683.31</v>
      </c>
      <c r="P106" s="75">
        <v>2410673212.1500001</v>
      </c>
      <c r="Q106" s="61">
        <f>(P106/$P$109)</f>
        <v>5.2988127841311655E-2</v>
      </c>
      <c r="R106" s="75">
        <v>2275777197.0999999</v>
      </c>
      <c r="S106" s="61">
        <f t="shared" ref="S106:S108" si="56">(R106/$R$109)</f>
        <v>4.9797781467634875E-2</v>
      </c>
      <c r="T106" s="62">
        <f t="shared" ref="T106:T108" si="57">((R106-P106)/P106)</f>
        <v>-5.5957818907230013E-2</v>
      </c>
      <c r="U106" s="63">
        <f t="shared" ref="U106:U108" si="58">(L106/R106)</f>
        <v>2.1459485121053377E-3</v>
      </c>
      <c r="V106" s="64">
        <f t="shared" ref="V106:V108" si="59">M106/R106</f>
        <v>7.9550779281336182E-3</v>
      </c>
      <c r="W106" s="65" t="e">
        <f t="shared" ref="W106:W108" si="60">R106/AE106</f>
        <v>#DIV/0!</v>
      </c>
      <c r="X106" s="65" t="e">
        <f t="shared" ref="X106:X108" si="61">M106/AE106</f>
        <v>#DIV/0!</v>
      </c>
      <c r="Y106" s="131"/>
      <c r="Z106" s="131"/>
      <c r="AA106" s="71">
        <v>2698</v>
      </c>
      <c r="AB106" s="71"/>
      <c r="AC106" s="71"/>
      <c r="AD106" s="71"/>
      <c r="AE106" s="71"/>
      <c r="AF106" s="5"/>
    </row>
    <row r="107" spans="1:241" ht="16.5" customHeight="1" x14ac:dyDescent="0.25">
      <c r="A107" s="52">
        <v>93</v>
      </c>
      <c r="B107" s="48" t="s">
        <v>123</v>
      </c>
      <c r="C107" s="48" t="s">
        <v>100</v>
      </c>
      <c r="D107" s="72"/>
      <c r="E107" s="128"/>
      <c r="F107" s="72">
        <v>84430807.840000004</v>
      </c>
      <c r="G107" s="72">
        <v>393254309.63</v>
      </c>
      <c r="H107" s="72">
        <v>9820058627.3999996</v>
      </c>
      <c r="I107" s="129">
        <f>34816642.84+145862834.94</f>
        <v>180679477.78</v>
      </c>
      <c r="J107" s="72">
        <v>10478423222.65</v>
      </c>
      <c r="K107" s="72">
        <v>47622932.299999997</v>
      </c>
      <c r="L107" s="128" t="s">
        <v>206</v>
      </c>
      <c r="M107" s="130">
        <v>30625129.66</v>
      </c>
      <c r="N107" s="72">
        <v>11112243018</v>
      </c>
      <c r="O107" s="72">
        <v>1198848443.51</v>
      </c>
      <c r="P107" s="75">
        <v>9882769444.8299999</v>
      </c>
      <c r="Q107" s="61">
        <f>(P107/$P$109)</f>
        <v>0.21722954738515435</v>
      </c>
      <c r="R107" s="75">
        <v>9913394574.4899998</v>
      </c>
      <c r="S107" s="61">
        <f t="shared" si="56"/>
        <v>0.21692152344788526</v>
      </c>
      <c r="T107" s="62">
        <f t="shared" si="57"/>
        <v>3.0988408493148501E-3</v>
      </c>
      <c r="U107" s="63">
        <f t="shared" si="58"/>
        <v>1.7146298891138874E-3</v>
      </c>
      <c r="V107" s="64">
        <f t="shared" si="59"/>
        <v>3.0892677003704887E-3</v>
      </c>
      <c r="W107" s="65">
        <f t="shared" si="60"/>
        <v>52.695206411660081</v>
      </c>
      <c r="X107" s="65">
        <f t="shared" si="61"/>
        <v>0.16278959913189736</v>
      </c>
      <c r="Y107" s="131">
        <v>36.6</v>
      </c>
      <c r="Z107" s="131">
        <v>36.6</v>
      </c>
      <c r="AA107" s="71">
        <v>5256</v>
      </c>
      <c r="AB107" s="71">
        <v>188127066</v>
      </c>
      <c r="AC107" s="71"/>
      <c r="AD107" s="71"/>
      <c r="AE107" s="71">
        <v>188127066</v>
      </c>
      <c r="AF107" s="5"/>
    </row>
    <row r="108" spans="1:241" ht="16.5" customHeight="1" x14ac:dyDescent="0.25">
      <c r="A108" s="52">
        <v>94</v>
      </c>
      <c r="B108" s="48" t="s">
        <v>124</v>
      </c>
      <c r="C108" s="49" t="s">
        <v>179</v>
      </c>
      <c r="D108" s="72"/>
      <c r="E108" s="128" t="s">
        <v>207</v>
      </c>
      <c r="F108" s="72">
        <v>2008665515.53</v>
      </c>
      <c r="G108" s="132">
        <v>1574180124.53</v>
      </c>
      <c r="H108" s="72">
        <v>21480000000</v>
      </c>
      <c r="I108" s="129"/>
      <c r="J108" s="72">
        <v>25980126117.619999</v>
      </c>
      <c r="K108" s="72">
        <v>137812065.77000001</v>
      </c>
      <c r="L108" s="129">
        <v>64596538.640000001</v>
      </c>
      <c r="M108" s="130">
        <v>73215527.129999995</v>
      </c>
      <c r="N108" s="72">
        <v>26021919438.759998</v>
      </c>
      <c r="O108" s="72">
        <v>133222205.45</v>
      </c>
      <c r="P108" s="75">
        <v>25647493182.900002</v>
      </c>
      <c r="Q108" s="61">
        <f>(P108/$P$109)</f>
        <v>0.56374818483697164</v>
      </c>
      <c r="R108" s="75">
        <v>25888697233.310001</v>
      </c>
      <c r="S108" s="61">
        <f t="shared" si="56"/>
        <v>0.56648765483235763</v>
      </c>
      <c r="T108" s="62">
        <f t="shared" si="57"/>
        <v>9.4045858084414371E-3</v>
      </c>
      <c r="U108" s="63">
        <f t="shared" si="58"/>
        <v>2.4951637410663557E-3</v>
      </c>
      <c r="V108" s="64">
        <f t="shared" si="59"/>
        <v>2.8280885078989745E-3</v>
      </c>
      <c r="W108" s="65">
        <f t="shared" si="60"/>
        <v>9.7024296958421932</v>
      </c>
      <c r="X108" s="65">
        <f t="shared" si="61"/>
        <v>2.7439329921509052E-2</v>
      </c>
      <c r="Y108" s="131">
        <v>9.6999999999999993</v>
      </c>
      <c r="Z108" s="131">
        <v>9.6999999999999993</v>
      </c>
      <c r="AA108" s="71">
        <v>28836</v>
      </c>
      <c r="AB108" s="71">
        <v>2668269500</v>
      </c>
      <c r="AC108" s="71"/>
      <c r="AD108" s="71"/>
      <c r="AE108" s="71">
        <v>2668269500</v>
      </c>
      <c r="AF108" s="5"/>
    </row>
    <row r="109" spans="1:241" ht="16.5" customHeight="1" x14ac:dyDescent="0.25">
      <c r="A109" s="133"/>
      <c r="B109" s="23"/>
      <c r="C109" s="81" t="s">
        <v>50</v>
      </c>
      <c r="D109" s="82"/>
      <c r="E109" s="82"/>
      <c r="F109" s="82">
        <f t="shared" ref="F109:O109" si="62">SUM(F105:F108)</f>
        <v>2093096323.3699999</v>
      </c>
      <c r="G109" s="82">
        <f t="shared" si="62"/>
        <v>2290364253.4400001</v>
      </c>
      <c r="H109" s="82">
        <f t="shared" si="62"/>
        <v>33905837076.400002</v>
      </c>
      <c r="I109" s="82">
        <f t="shared" si="62"/>
        <v>218817222.94</v>
      </c>
      <c r="J109" s="82">
        <f t="shared" si="62"/>
        <v>46233797075.709999</v>
      </c>
      <c r="K109" s="82">
        <f t="shared" si="62"/>
        <v>296678407.71000004</v>
      </c>
      <c r="L109" s="82">
        <f t="shared" si="62"/>
        <v>88887091.329999998</v>
      </c>
      <c r="M109" s="82">
        <f t="shared" si="62"/>
        <v>190793512.74000001</v>
      </c>
      <c r="N109" s="82">
        <f t="shared" si="62"/>
        <v>47550915261.169998</v>
      </c>
      <c r="O109" s="82">
        <f t="shared" si="62"/>
        <v>1850542071.27</v>
      </c>
      <c r="P109" s="101">
        <f>SUM(P105:P108)</f>
        <v>45494591153.880005</v>
      </c>
      <c r="Q109" s="84">
        <f>(P109/$P$153)</f>
        <v>3.3098036623689125E-2</v>
      </c>
      <c r="R109" s="101">
        <f>SUM(R105:R108)</f>
        <v>45700373189.900002</v>
      </c>
      <c r="S109" s="84">
        <f>(R109/$R$153)</f>
        <v>3.3357320187058483E-2</v>
      </c>
      <c r="T109" s="85">
        <f>((R109-P109)/P109)</f>
        <v>4.5232198114268912E-3</v>
      </c>
      <c r="U109" s="86"/>
      <c r="V109" s="87"/>
      <c r="W109" s="88"/>
      <c r="X109" s="88"/>
      <c r="Y109" s="82"/>
      <c r="Z109" s="82"/>
      <c r="AA109" s="89">
        <f>SUM(AA105:AA108)</f>
        <v>36845</v>
      </c>
      <c r="AB109" s="89"/>
      <c r="AC109" s="89"/>
      <c r="AD109" s="89"/>
      <c r="AE109" s="82"/>
      <c r="AF109" s="5"/>
    </row>
    <row r="110" spans="1:241" ht="16.5" customHeight="1" x14ac:dyDescent="0.25">
      <c r="A110" s="155" t="s">
        <v>172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7"/>
      <c r="AF110" s="5"/>
    </row>
    <row r="111" spans="1:241" s="39" customFormat="1" ht="16.5" customHeight="1" x14ac:dyDescent="0.25">
      <c r="A111" s="52">
        <v>95</v>
      </c>
      <c r="B111" s="48" t="s">
        <v>129</v>
      </c>
      <c r="C111" s="48" t="s">
        <v>56</v>
      </c>
      <c r="D111" s="72">
        <v>71764515.680000007</v>
      </c>
      <c r="E111" s="72"/>
      <c r="F111" s="72">
        <v>66203286.990000002</v>
      </c>
      <c r="G111" s="72">
        <v>33794090.119999997</v>
      </c>
      <c r="H111" s="103"/>
      <c r="I111" s="97"/>
      <c r="J111" s="97">
        <v>172224631.62</v>
      </c>
      <c r="K111" s="97">
        <v>1376694.77</v>
      </c>
      <c r="L111" s="72">
        <v>414217.6</v>
      </c>
      <c r="M111" s="58">
        <v>962477.17</v>
      </c>
      <c r="N111" s="72">
        <v>172224631.62</v>
      </c>
      <c r="O111" s="72">
        <v>11442192.949999999</v>
      </c>
      <c r="P111" s="98">
        <v>154987588.61000001</v>
      </c>
      <c r="Q111" s="61">
        <f t="shared" ref="Q111:Q117" si="63">(P111/$P$153)</f>
        <v>1.1275592886811887E-4</v>
      </c>
      <c r="R111" s="98">
        <v>160782438.66999999</v>
      </c>
      <c r="S111" s="61">
        <f>(R111/$R$134)</f>
        <v>5.4902971676813505E-3</v>
      </c>
      <c r="T111" s="62">
        <f>((R111-P111)/P111)</f>
        <v>3.7389123296715905E-2</v>
      </c>
      <c r="U111" s="63">
        <f>(L111/R111)</f>
        <v>2.5762614588161975E-3</v>
      </c>
      <c r="V111" s="64">
        <f t="shared" ref="V111" si="64">M111/R111</f>
        <v>5.9862083070866268E-3</v>
      </c>
      <c r="W111" s="65">
        <f>R111/AE111</f>
        <v>3.6610041813566707</v>
      </c>
      <c r="X111" s="65">
        <f>M111/AE111</f>
        <v>2.191553364271618E-2</v>
      </c>
      <c r="Y111" s="72">
        <v>3.9489999999999998</v>
      </c>
      <c r="Z111" s="72">
        <v>4.0053999999999998</v>
      </c>
      <c r="AA111" s="71">
        <v>11818</v>
      </c>
      <c r="AB111" s="71">
        <v>43917578.539999999</v>
      </c>
      <c r="AC111" s="71"/>
      <c r="AD111" s="71"/>
      <c r="AE111" s="55">
        <v>43917578.539999999</v>
      </c>
      <c r="AF111" s="38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  <c r="HW111" s="23"/>
      <c r="HX111" s="23"/>
      <c r="HY111" s="23"/>
      <c r="HZ111" s="23"/>
      <c r="IA111" s="23"/>
      <c r="IB111" s="23"/>
      <c r="IC111" s="23"/>
      <c r="ID111" s="23"/>
      <c r="IE111" s="23"/>
      <c r="IF111" s="23"/>
      <c r="IG111" s="23"/>
    </row>
    <row r="112" spans="1:241" ht="16.5" customHeight="1" x14ac:dyDescent="0.25">
      <c r="A112" s="52">
        <v>96</v>
      </c>
      <c r="B112" s="48" t="s">
        <v>159</v>
      </c>
      <c r="C112" s="49" t="s">
        <v>35</v>
      </c>
      <c r="D112" s="72">
        <v>2611003207</v>
      </c>
      <c r="E112" s="82"/>
      <c r="F112" s="72">
        <v>510802112.55000001</v>
      </c>
      <c r="G112" s="72">
        <v>462811353.44</v>
      </c>
      <c r="H112" s="114">
        <v>3202039.5</v>
      </c>
      <c r="I112" s="97"/>
      <c r="J112" s="97">
        <v>3587818712.4899998</v>
      </c>
      <c r="K112" s="97">
        <v>36448131.75</v>
      </c>
      <c r="L112" s="72">
        <v>10437682.789999999</v>
      </c>
      <c r="M112" s="58">
        <v>152066053.31</v>
      </c>
      <c r="N112" s="72">
        <v>4812883349</v>
      </c>
      <c r="O112" s="72">
        <v>292249861</v>
      </c>
      <c r="P112" s="98">
        <v>4382181541</v>
      </c>
      <c r="Q112" s="61">
        <f t="shared" si="63"/>
        <v>3.1881065739240645E-3</v>
      </c>
      <c r="R112" s="98">
        <v>4520633488</v>
      </c>
      <c r="S112" s="61">
        <f t="shared" ref="S112:S133" si="65">(R112/$R$134)</f>
        <v>0.15436773717702604</v>
      </c>
      <c r="T112" s="62">
        <f t="shared" ref="T112:T133" si="66">((R112-P112)/P112)</f>
        <v>3.1594297430317254E-2</v>
      </c>
      <c r="U112" s="63">
        <f t="shared" ref="U112:U133" si="67">(L112/R112)</f>
        <v>2.3088982589955097E-3</v>
      </c>
      <c r="V112" s="64">
        <f t="shared" ref="V112:V133" si="68">M112/R112</f>
        <v>3.3638217677601737E-2</v>
      </c>
      <c r="W112" s="65">
        <f t="shared" ref="W112:W133" si="69">R112/AE112</f>
        <v>496.48816662180229</v>
      </c>
      <c r="X112" s="65">
        <f t="shared" ref="X112:X133" si="70">M112/AE112</f>
        <v>16.700977023177586</v>
      </c>
      <c r="Y112" s="72">
        <v>494.00580000000002</v>
      </c>
      <c r="Z112" s="72">
        <v>508.90039999999999</v>
      </c>
      <c r="AA112" s="71">
        <v>1879</v>
      </c>
      <c r="AB112" s="71">
        <v>9134399</v>
      </c>
      <c r="AC112" s="71">
        <v>36927</v>
      </c>
      <c r="AD112" s="71">
        <v>66108</v>
      </c>
      <c r="AE112" s="72">
        <v>9105219</v>
      </c>
      <c r="AF112" s="5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  <c r="FY112" s="17"/>
      <c r="FZ112" s="17"/>
      <c r="GA112" s="17"/>
      <c r="GB112" s="17"/>
      <c r="GC112" s="17"/>
      <c r="GD112" s="17"/>
      <c r="GE112" s="17"/>
      <c r="GF112" s="17"/>
      <c r="GG112" s="17"/>
      <c r="GH112" s="17"/>
      <c r="GI112" s="17"/>
      <c r="GJ112" s="17"/>
      <c r="GK112" s="17"/>
      <c r="GL112" s="17"/>
      <c r="GM112" s="17"/>
      <c r="GN112" s="17"/>
      <c r="GO112" s="17"/>
      <c r="GP112" s="17"/>
      <c r="GQ112" s="17"/>
      <c r="GR112" s="17"/>
      <c r="GS112" s="17"/>
      <c r="GT112" s="17"/>
      <c r="GU112" s="17"/>
      <c r="GV112" s="17"/>
      <c r="GW112" s="17"/>
      <c r="GX112" s="17"/>
      <c r="GY112" s="17"/>
      <c r="GZ112" s="17"/>
      <c r="HA112" s="17"/>
      <c r="HB112" s="17"/>
      <c r="HC112" s="17"/>
      <c r="HD112" s="17"/>
      <c r="HE112" s="17"/>
      <c r="HF112" s="17"/>
      <c r="HG112" s="17"/>
      <c r="HH112" s="17"/>
      <c r="HI112" s="17"/>
      <c r="HJ112" s="17"/>
      <c r="HK112" s="17"/>
      <c r="HL112" s="17"/>
      <c r="HM112" s="17"/>
      <c r="HN112" s="17"/>
      <c r="HO112" s="17"/>
      <c r="HP112" s="17"/>
      <c r="HQ112" s="17"/>
      <c r="HR112" s="17"/>
      <c r="HS112" s="17"/>
      <c r="HT112" s="17"/>
      <c r="HU112" s="17"/>
      <c r="HV112" s="17"/>
      <c r="HW112" s="17"/>
      <c r="HX112" s="17"/>
      <c r="HY112" s="17"/>
      <c r="HZ112" s="17"/>
      <c r="IA112" s="17"/>
      <c r="IB112" s="17"/>
      <c r="IC112" s="17"/>
      <c r="ID112" s="17"/>
      <c r="IE112" s="17"/>
      <c r="IF112" s="17"/>
      <c r="IG112" s="17"/>
    </row>
    <row r="113" spans="1:241" s="39" customFormat="1" ht="16.5" customHeight="1" x14ac:dyDescent="0.25">
      <c r="A113" s="52">
        <v>97</v>
      </c>
      <c r="B113" s="48" t="s">
        <v>128</v>
      </c>
      <c r="C113" s="48" t="s">
        <v>98</v>
      </c>
      <c r="D113" s="72">
        <v>435318808.75999999</v>
      </c>
      <c r="E113" s="45"/>
      <c r="F113" s="46">
        <v>217173356.5</v>
      </c>
      <c r="G113" s="72">
        <v>358685854.81</v>
      </c>
      <c r="H113" s="47">
        <v>20789626.609999999</v>
      </c>
      <c r="I113" s="45"/>
      <c r="J113" s="46">
        <v>1031967646.6799999</v>
      </c>
      <c r="K113" s="46">
        <v>4404523.7300000004</v>
      </c>
      <c r="L113" s="46">
        <v>1520271.15</v>
      </c>
      <c r="M113" s="58">
        <v>18558681.629999999</v>
      </c>
      <c r="N113" s="72">
        <v>1035752473.6</v>
      </c>
      <c r="O113" s="46">
        <v>52528357.539999999</v>
      </c>
      <c r="P113" s="98">
        <v>964676504.42999995</v>
      </c>
      <c r="Q113" s="61">
        <f t="shared" si="63"/>
        <v>7.018174570607936E-4</v>
      </c>
      <c r="R113" s="98">
        <v>983224116.05999994</v>
      </c>
      <c r="S113" s="61">
        <f t="shared" si="65"/>
        <v>3.3574516124113579E-2</v>
      </c>
      <c r="T113" s="62">
        <f t="shared" si="66"/>
        <v>1.9226768294682634E-2</v>
      </c>
      <c r="U113" s="63">
        <f t="shared" si="67"/>
        <v>1.5462101927402555E-3</v>
      </c>
      <c r="V113" s="64">
        <f t="shared" si="68"/>
        <v>1.8875332009113861E-2</v>
      </c>
      <c r="W113" s="65">
        <f t="shared" si="69"/>
        <v>2.25389561283817</v>
      </c>
      <c r="X113" s="65">
        <f t="shared" si="70"/>
        <v>4.2543028006205616E-2</v>
      </c>
      <c r="Y113" s="72">
        <v>2.2583000000000002</v>
      </c>
      <c r="Z113" s="72">
        <v>2.3026</v>
      </c>
      <c r="AA113" s="71">
        <v>2770</v>
      </c>
      <c r="AB113" s="72">
        <v>436238695.3635</v>
      </c>
      <c r="AC113" s="72">
        <v>44513.69</v>
      </c>
      <c r="AD113" s="72">
        <v>50000</v>
      </c>
      <c r="AE113" s="72">
        <v>436233209.0535</v>
      </c>
      <c r="AF113" s="38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  <c r="HW113" s="23"/>
      <c r="HX113" s="23"/>
      <c r="HY113" s="23"/>
      <c r="HZ113" s="23"/>
      <c r="IA113" s="23"/>
      <c r="IB113" s="23"/>
      <c r="IC113" s="23"/>
      <c r="ID113" s="23"/>
      <c r="IE113" s="23"/>
      <c r="IF113" s="23"/>
      <c r="IG113" s="23"/>
    </row>
    <row r="114" spans="1:241" s="39" customFormat="1" ht="16.5" customHeight="1" x14ac:dyDescent="0.25">
      <c r="A114" s="52">
        <v>98</v>
      </c>
      <c r="B114" s="48" t="s">
        <v>165</v>
      </c>
      <c r="C114" s="48" t="s">
        <v>79</v>
      </c>
      <c r="D114" s="72">
        <v>898643738.59000003</v>
      </c>
      <c r="E114" s="72"/>
      <c r="F114" s="72">
        <v>811754413.55999994</v>
      </c>
      <c r="G114" s="72">
        <v>457332039.25999999</v>
      </c>
      <c r="H114" s="114"/>
      <c r="I114" s="97"/>
      <c r="J114" s="97">
        <v>2167730191.4099998</v>
      </c>
      <c r="K114" s="97">
        <v>17667726.25</v>
      </c>
      <c r="L114" s="72">
        <v>5618925.7800000003</v>
      </c>
      <c r="M114" s="58">
        <v>12337291.289999999</v>
      </c>
      <c r="N114" s="72">
        <v>2171818637.8699999</v>
      </c>
      <c r="O114" s="72">
        <v>26750752.34</v>
      </c>
      <c r="P114" s="98">
        <v>2178133768.1300001</v>
      </c>
      <c r="Q114" s="61">
        <f t="shared" si="63"/>
        <v>1.5846268622355204E-3</v>
      </c>
      <c r="R114" s="98">
        <v>2145067885.53</v>
      </c>
      <c r="S114" s="61">
        <f t="shared" si="65"/>
        <v>7.3248423359105544E-2</v>
      </c>
      <c r="T114" s="62">
        <f t="shared" si="66"/>
        <v>-1.5180831904731131E-2</v>
      </c>
      <c r="U114" s="63">
        <f t="shared" si="67"/>
        <v>2.6194629167233486E-3</v>
      </c>
      <c r="V114" s="64">
        <f t="shared" si="68"/>
        <v>5.7514689270319859E-3</v>
      </c>
      <c r="W114" s="65">
        <f t="shared" si="69"/>
        <v>4033.9051798066203</v>
      </c>
      <c r="X114" s="65">
        <f t="shared" si="70"/>
        <v>23.20088029625115</v>
      </c>
      <c r="Y114" s="72">
        <v>4033.91</v>
      </c>
      <c r="Z114" s="72">
        <v>4061.59</v>
      </c>
      <c r="AA114" s="71">
        <v>823</v>
      </c>
      <c r="AB114" s="71">
        <v>544421.1</v>
      </c>
      <c r="AC114" s="71">
        <v>43.51</v>
      </c>
      <c r="AD114" s="71">
        <v>12704.99</v>
      </c>
      <c r="AE114" s="72">
        <v>531759.62</v>
      </c>
      <c r="AF114" s="38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  <c r="HW114" s="23"/>
      <c r="HX114" s="23"/>
      <c r="HY114" s="23"/>
      <c r="HZ114" s="23"/>
      <c r="IA114" s="23"/>
      <c r="IB114" s="23"/>
      <c r="IC114" s="23"/>
      <c r="ID114" s="23"/>
      <c r="IE114" s="23"/>
      <c r="IF114" s="23"/>
      <c r="IG114" s="23"/>
    </row>
    <row r="115" spans="1:241" s="39" customFormat="1" ht="16.5" customHeight="1" x14ac:dyDescent="0.25">
      <c r="A115" s="52">
        <v>99</v>
      </c>
      <c r="B115" s="48" t="s">
        <v>134</v>
      </c>
      <c r="C115" s="49" t="s">
        <v>63</v>
      </c>
      <c r="D115" s="72">
        <v>144749611.25</v>
      </c>
      <c r="E115" s="72"/>
      <c r="F115" s="72">
        <v>59184777.909999996</v>
      </c>
      <c r="G115" s="72">
        <v>78739951.989999995</v>
      </c>
      <c r="H115" s="103"/>
      <c r="I115" s="97"/>
      <c r="J115" s="97">
        <v>282674341.16000003</v>
      </c>
      <c r="K115" s="97">
        <v>1851871.17</v>
      </c>
      <c r="L115" s="97">
        <v>629268.56999999995</v>
      </c>
      <c r="M115" s="58">
        <v>8837978.7100000009</v>
      </c>
      <c r="N115" s="72">
        <v>321874713.12</v>
      </c>
      <c r="O115" s="72">
        <v>7363825.8499999996</v>
      </c>
      <c r="P115" s="98">
        <v>299720470.69</v>
      </c>
      <c r="Q115" s="61">
        <f t="shared" si="63"/>
        <v>2.1805139609263027E-4</v>
      </c>
      <c r="R115" s="98">
        <v>314510887.26999998</v>
      </c>
      <c r="S115" s="61">
        <f t="shared" si="65"/>
        <v>1.073971913765742E-2</v>
      </c>
      <c r="T115" s="62">
        <f t="shared" si="66"/>
        <v>4.9347368719761781E-2</v>
      </c>
      <c r="U115" s="63">
        <f t="shared" si="67"/>
        <v>2.0007846960788615E-3</v>
      </c>
      <c r="V115" s="64">
        <f t="shared" si="68"/>
        <v>2.8100708330687486E-2</v>
      </c>
      <c r="W115" s="65">
        <f t="shared" si="69"/>
        <v>126.73816168328241</v>
      </c>
      <c r="X115" s="65">
        <f t="shared" si="70"/>
        <v>3.5614321158294318</v>
      </c>
      <c r="Y115" s="72">
        <v>133.78</v>
      </c>
      <c r="Z115" s="72">
        <v>134.69999999999999</v>
      </c>
      <c r="AA115" s="71">
        <v>699</v>
      </c>
      <c r="AB115" s="71">
        <v>2476392</v>
      </c>
      <c r="AC115" s="71">
        <v>12280</v>
      </c>
      <c r="AD115" s="71">
        <v>7092</v>
      </c>
      <c r="AE115" s="72">
        <v>2481580</v>
      </c>
      <c r="AF115" s="38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  <c r="HW115" s="23"/>
      <c r="HX115" s="23"/>
      <c r="HY115" s="23"/>
      <c r="HZ115" s="23"/>
      <c r="IA115" s="23"/>
      <c r="IB115" s="23"/>
      <c r="IC115" s="23"/>
      <c r="ID115" s="23"/>
      <c r="IE115" s="23"/>
      <c r="IF115" s="23"/>
      <c r="IG115" s="23"/>
    </row>
    <row r="116" spans="1:241" ht="16.5" customHeight="1" x14ac:dyDescent="0.25">
      <c r="A116" s="52">
        <v>100</v>
      </c>
      <c r="B116" s="48" t="s">
        <v>150</v>
      </c>
      <c r="C116" s="49" t="s">
        <v>148</v>
      </c>
      <c r="D116" s="72">
        <v>484564.7</v>
      </c>
      <c r="E116" s="72"/>
      <c r="F116" s="72">
        <v>1979600</v>
      </c>
      <c r="G116" s="72">
        <v>991522.11</v>
      </c>
      <c r="H116" s="96"/>
      <c r="I116" s="134"/>
      <c r="J116" s="97">
        <v>3455686.81</v>
      </c>
      <c r="K116" s="97">
        <v>20279.060000000001</v>
      </c>
      <c r="L116" s="72">
        <v>8413.9699999999993</v>
      </c>
      <c r="M116" s="58">
        <v>11865.09</v>
      </c>
      <c r="N116" s="72">
        <v>3950781.88</v>
      </c>
      <c r="O116" s="72">
        <v>263055.71000000002</v>
      </c>
      <c r="P116" s="98">
        <v>3687726.17</v>
      </c>
      <c r="Q116" s="61">
        <f t="shared" si="63"/>
        <v>2.6828792772300193E-6</v>
      </c>
      <c r="R116" s="98">
        <v>3687726.17</v>
      </c>
      <c r="S116" s="61">
        <f t="shared" si="65"/>
        <v>1.2592614413500111E-4</v>
      </c>
      <c r="T116" s="62">
        <f t="shared" si="66"/>
        <v>0</v>
      </c>
      <c r="U116" s="63">
        <f t="shared" si="67"/>
        <v>2.2816146351777524E-3</v>
      </c>
      <c r="V116" s="64">
        <f t="shared" si="68"/>
        <v>3.2174541853252623E-3</v>
      </c>
      <c r="W116" s="65">
        <f t="shared" si="69"/>
        <v>107.444967367869</v>
      </c>
      <c r="X116" s="65">
        <f t="shared" si="70"/>
        <v>0.34569925994988637</v>
      </c>
      <c r="Y116" s="72">
        <v>101.38</v>
      </c>
      <c r="Z116" s="72">
        <v>101.62</v>
      </c>
      <c r="AA116" s="71">
        <v>87</v>
      </c>
      <c r="AB116" s="71">
        <v>34322</v>
      </c>
      <c r="AC116" s="71">
        <v>0</v>
      </c>
      <c r="AD116" s="71">
        <v>0</v>
      </c>
      <c r="AE116" s="72">
        <v>34322</v>
      </c>
      <c r="AF116" s="5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  <c r="FY116" s="17"/>
      <c r="FZ116" s="17"/>
      <c r="GA116" s="17"/>
      <c r="GB116" s="17"/>
      <c r="GC116" s="17"/>
      <c r="GD116" s="17"/>
      <c r="GE116" s="17"/>
      <c r="GF116" s="17"/>
      <c r="GG116" s="17"/>
      <c r="GH116" s="17"/>
      <c r="GI116" s="17"/>
      <c r="GJ116" s="17"/>
      <c r="GK116" s="17"/>
      <c r="GL116" s="17"/>
      <c r="GM116" s="17"/>
      <c r="GN116" s="17"/>
      <c r="GO116" s="17"/>
      <c r="GP116" s="17"/>
      <c r="GQ116" s="17"/>
      <c r="GR116" s="17"/>
      <c r="GS116" s="17"/>
      <c r="GT116" s="17"/>
      <c r="GU116" s="17"/>
      <c r="GV116" s="17"/>
      <c r="GW116" s="17"/>
      <c r="GX116" s="17"/>
      <c r="GY116" s="17"/>
      <c r="GZ116" s="17"/>
      <c r="HA116" s="17"/>
      <c r="HB116" s="17"/>
      <c r="HC116" s="17"/>
      <c r="HD116" s="17"/>
      <c r="HE116" s="17"/>
      <c r="HF116" s="17"/>
      <c r="HG116" s="17"/>
      <c r="HH116" s="17"/>
      <c r="HI116" s="17"/>
      <c r="HJ116" s="17"/>
      <c r="HK116" s="17"/>
      <c r="HL116" s="17"/>
      <c r="HM116" s="17"/>
      <c r="HN116" s="17"/>
      <c r="HO116" s="17"/>
      <c r="HP116" s="17"/>
      <c r="HQ116" s="17"/>
      <c r="HR116" s="17"/>
      <c r="HS116" s="17"/>
      <c r="HT116" s="17"/>
      <c r="HU116" s="17"/>
      <c r="HV116" s="17"/>
      <c r="HW116" s="17"/>
      <c r="HX116" s="17"/>
      <c r="HY116" s="17"/>
      <c r="HZ116" s="17"/>
      <c r="IA116" s="17"/>
      <c r="IB116" s="17"/>
      <c r="IC116" s="17"/>
      <c r="ID116" s="17"/>
      <c r="IE116" s="17"/>
      <c r="IF116" s="17"/>
      <c r="IG116" s="17"/>
    </row>
    <row r="117" spans="1:241" s="39" customFormat="1" ht="16.5" customHeight="1" x14ac:dyDescent="0.25">
      <c r="A117" s="52">
        <v>101</v>
      </c>
      <c r="B117" s="48" t="s">
        <v>133</v>
      </c>
      <c r="C117" s="49" t="s">
        <v>69</v>
      </c>
      <c r="D117" s="72">
        <v>48378259.299999997</v>
      </c>
      <c r="E117" s="72"/>
      <c r="F117" s="72">
        <v>55181462.490000002</v>
      </c>
      <c r="G117" s="72">
        <v>3289002.05</v>
      </c>
      <c r="H117" s="103"/>
      <c r="I117" s="97"/>
      <c r="J117" s="97">
        <v>106848723.84</v>
      </c>
      <c r="K117" s="97">
        <v>2004366.95</v>
      </c>
      <c r="L117" s="72">
        <v>429494.74</v>
      </c>
      <c r="M117" s="115">
        <v>1857940.96</v>
      </c>
      <c r="N117" s="72">
        <v>121517537.76000001</v>
      </c>
      <c r="O117" s="72">
        <v>2119230.8199999998</v>
      </c>
      <c r="P117" s="98">
        <v>118399536.06</v>
      </c>
      <c r="Q117" s="61">
        <f t="shared" si="63"/>
        <v>8.6137540339396306E-5</v>
      </c>
      <c r="R117" s="98">
        <v>119398306.94</v>
      </c>
      <c r="S117" s="61">
        <f t="shared" si="65"/>
        <v>4.0771379750252834E-3</v>
      </c>
      <c r="T117" s="62">
        <f t="shared" si="66"/>
        <v>8.4355979190143052E-3</v>
      </c>
      <c r="U117" s="63">
        <f t="shared" si="67"/>
        <v>3.5971593819653538E-3</v>
      </c>
      <c r="V117" s="64">
        <f t="shared" si="68"/>
        <v>1.5560865205012094E-2</v>
      </c>
      <c r="W117" s="65">
        <f t="shared" si="69"/>
        <v>1.172490864547578</v>
      </c>
      <c r="X117" s="65">
        <f t="shared" si="70"/>
        <v>1.8244972297332955E-2</v>
      </c>
      <c r="Y117" s="72">
        <v>1.1658999999999999</v>
      </c>
      <c r="Z117" s="72">
        <v>1.1761999999999999</v>
      </c>
      <c r="AA117" s="71">
        <v>202</v>
      </c>
      <c r="AB117" s="71">
        <v>102648272.23</v>
      </c>
      <c r="AC117" s="71">
        <v>77426.06</v>
      </c>
      <c r="AD117" s="71">
        <v>842660.15</v>
      </c>
      <c r="AE117" s="72">
        <v>101833038.15000001</v>
      </c>
      <c r="AF117" s="38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  <c r="HW117" s="23"/>
      <c r="HX117" s="23"/>
      <c r="HY117" s="23"/>
      <c r="HZ117" s="23"/>
      <c r="IA117" s="23"/>
      <c r="IB117" s="23"/>
      <c r="IC117" s="23"/>
      <c r="ID117" s="23"/>
      <c r="IE117" s="23"/>
      <c r="IF117" s="23"/>
      <c r="IG117" s="23"/>
    </row>
    <row r="118" spans="1:241" s="39" customFormat="1" ht="16.5" customHeight="1" x14ac:dyDescent="0.25">
      <c r="A118" s="52">
        <v>102</v>
      </c>
      <c r="B118" s="135" t="s">
        <v>203</v>
      </c>
      <c r="C118" s="136" t="s">
        <v>204</v>
      </c>
      <c r="D118" s="72"/>
      <c r="E118" s="72"/>
      <c r="F118" s="72">
        <v>21166463.800000001</v>
      </c>
      <c r="G118" s="72"/>
      <c r="H118" s="103"/>
      <c r="I118" s="97">
        <v>14609125.75</v>
      </c>
      <c r="J118" s="97">
        <v>163139741.75999999</v>
      </c>
      <c r="K118" s="97">
        <v>1055140.51</v>
      </c>
      <c r="L118" s="72">
        <v>345559.85</v>
      </c>
      <c r="M118" s="115">
        <v>1623741.4399999999</v>
      </c>
      <c r="N118" s="72">
        <v>163139741.75999999</v>
      </c>
      <c r="O118" s="72">
        <v>1793913.4</v>
      </c>
      <c r="P118" s="98">
        <v>159706069.03999999</v>
      </c>
      <c r="Q118" s="61"/>
      <c r="R118" s="98">
        <v>161345828.36000001</v>
      </c>
      <c r="S118" s="61">
        <f t="shared" si="65"/>
        <v>5.5095354429861351E-3</v>
      </c>
      <c r="T118" s="62">
        <f t="shared" si="66"/>
        <v>1.0267357589205507E-2</v>
      </c>
      <c r="U118" s="63">
        <f t="shared" si="67"/>
        <v>2.1417340225802165E-3</v>
      </c>
      <c r="V118" s="64">
        <f t="shared" si="68"/>
        <v>1.0063733636651924E-2</v>
      </c>
      <c r="W118" s="65">
        <f t="shared" si="69"/>
        <v>102.05605629009845</v>
      </c>
      <c r="X118" s="65">
        <f t="shared" si="70"/>
        <v>1.0270649665107059</v>
      </c>
      <c r="Y118" s="72">
        <v>102.06</v>
      </c>
      <c r="Z118" s="72">
        <v>100</v>
      </c>
      <c r="AA118" s="71">
        <v>46</v>
      </c>
      <c r="AB118" s="71">
        <v>1581453</v>
      </c>
      <c r="AC118" s="71"/>
      <c r="AD118" s="71">
        <v>500</v>
      </c>
      <c r="AE118" s="72">
        <v>1580953</v>
      </c>
      <c r="AF118" s="38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  <c r="HW118" s="23"/>
      <c r="HX118" s="23"/>
      <c r="HY118" s="23"/>
      <c r="HZ118" s="23"/>
      <c r="IA118" s="23"/>
      <c r="IB118" s="23"/>
      <c r="IC118" s="23"/>
      <c r="ID118" s="23"/>
      <c r="IE118" s="23"/>
      <c r="IF118" s="23"/>
      <c r="IG118" s="23"/>
    </row>
    <row r="119" spans="1:241" s="39" customFormat="1" ht="16.5" customHeight="1" x14ac:dyDescent="0.25">
      <c r="A119" s="52">
        <v>103</v>
      </c>
      <c r="B119" s="48" t="s">
        <v>218</v>
      </c>
      <c r="C119" s="49" t="s">
        <v>152</v>
      </c>
      <c r="D119" s="72">
        <v>98639899.650000006</v>
      </c>
      <c r="E119" s="72"/>
      <c r="F119" s="72"/>
      <c r="G119" s="72">
        <v>71969457.030000001</v>
      </c>
      <c r="H119" s="103"/>
      <c r="I119" s="97">
        <v>523805.21</v>
      </c>
      <c r="J119" s="97">
        <v>171133161.88999999</v>
      </c>
      <c r="K119" s="97">
        <v>1156190.8</v>
      </c>
      <c r="L119" s="72">
        <v>375545.24</v>
      </c>
      <c r="M119" s="58">
        <v>780645.56</v>
      </c>
      <c r="N119" s="72">
        <v>207957544.78</v>
      </c>
      <c r="O119" s="72">
        <v>201526461.88</v>
      </c>
      <c r="P119" s="98">
        <v>201990659.66</v>
      </c>
      <c r="Q119" s="61">
        <f t="shared" ref="Q119:Q134" si="71">(P119/$P$153)</f>
        <v>1.4695140854122465E-4</v>
      </c>
      <c r="R119" s="98">
        <v>206704067.99000001</v>
      </c>
      <c r="S119" s="61">
        <f t="shared" si="65"/>
        <v>7.0583999622184012E-3</v>
      </c>
      <c r="T119" s="62">
        <f t="shared" si="66"/>
        <v>2.3334783588180957E-2</v>
      </c>
      <c r="U119" s="63">
        <f t="shared" si="67"/>
        <v>1.8168255886389629E-3</v>
      </c>
      <c r="V119" s="64">
        <f t="shared" si="68"/>
        <v>3.7766337527414622E-3</v>
      </c>
      <c r="W119" s="65">
        <f t="shared" si="69"/>
        <v>1.0322636939227403</v>
      </c>
      <c r="X119" s="65">
        <f t="shared" si="70"/>
        <v>3.8984819081982025E-3</v>
      </c>
      <c r="Y119" s="72">
        <v>1.03</v>
      </c>
      <c r="Z119" s="72">
        <v>1.03</v>
      </c>
      <c r="AA119" s="71">
        <v>79</v>
      </c>
      <c r="AB119" s="71">
        <v>200147518.38999999</v>
      </c>
      <c r="AC119" s="71">
        <v>156879.35999999999</v>
      </c>
      <c r="AD119" s="71">
        <v>60923.91</v>
      </c>
      <c r="AE119" s="72">
        <v>200243473.84</v>
      </c>
      <c r="AF119" s="38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  <c r="HW119" s="23"/>
      <c r="HX119" s="23"/>
      <c r="HY119" s="23"/>
      <c r="HZ119" s="23"/>
      <c r="IA119" s="23"/>
      <c r="IB119" s="23"/>
      <c r="IC119" s="23"/>
      <c r="ID119" s="23"/>
      <c r="IE119" s="23"/>
      <c r="IF119" s="23"/>
      <c r="IG119" s="23"/>
    </row>
    <row r="120" spans="1:241" s="39" customFormat="1" ht="16.5" customHeight="1" x14ac:dyDescent="0.25">
      <c r="A120" s="52">
        <v>104</v>
      </c>
      <c r="B120" s="49" t="s">
        <v>130</v>
      </c>
      <c r="C120" s="49" t="s">
        <v>53</v>
      </c>
      <c r="D120" s="72">
        <v>1886325035.9000001</v>
      </c>
      <c r="E120" s="72"/>
      <c r="F120" s="72">
        <v>1652759925.29</v>
      </c>
      <c r="G120" s="72">
        <v>1245540955.25</v>
      </c>
      <c r="H120" s="103"/>
      <c r="I120" s="97"/>
      <c r="J120" s="97">
        <v>4744880870.3699999</v>
      </c>
      <c r="K120" s="97">
        <v>28210620.600000001</v>
      </c>
      <c r="L120" s="72">
        <v>7802884.6200000001</v>
      </c>
      <c r="M120" s="58">
        <v>58382025.369999997</v>
      </c>
      <c r="N120" s="72">
        <v>4769982040</v>
      </c>
      <c r="O120" s="72">
        <v>25101169.629999999</v>
      </c>
      <c r="P120" s="98">
        <v>4681397963.8199997</v>
      </c>
      <c r="Q120" s="61">
        <f t="shared" si="71"/>
        <v>3.405791267196904E-3</v>
      </c>
      <c r="R120" s="98">
        <v>4744880870.3699999</v>
      </c>
      <c r="S120" s="61">
        <f t="shared" si="65"/>
        <v>0.16202519515857169</v>
      </c>
      <c r="T120" s="62">
        <f t="shared" si="66"/>
        <v>1.3560672910234366E-2</v>
      </c>
      <c r="U120" s="63">
        <f t="shared" si="67"/>
        <v>1.64448483179548E-3</v>
      </c>
      <c r="V120" s="64">
        <f t="shared" si="68"/>
        <v>1.2304213101444514E-2</v>
      </c>
      <c r="W120" s="65">
        <f t="shared" si="69"/>
        <v>193.70280506551831</v>
      </c>
      <c r="X120" s="65">
        <f t="shared" si="70"/>
        <v>2.3833605918737031</v>
      </c>
      <c r="Y120" s="72">
        <v>193.7</v>
      </c>
      <c r="Z120" s="72">
        <v>194.97</v>
      </c>
      <c r="AA120" s="71">
        <v>5455</v>
      </c>
      <c r="AB120" s="71">
        <v>24512797.98</v>
      </c>
      <c r="AC120" s="72">
        <v>21921.62</v>
      </c>
      <c r="AD120" s="72">
        <v>39045.06</v>
      </c>
      <c r="AE120" s="55">
        <v>24495674.539999999</v>
      </c>
      <c r="AF120" s="38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</row>
    <row r="121" spans="1:241" s="39" customFormat="1" ht="16.5" customHeight="1" x14ac:dyDescent="0.25">
      <c r="A121" s="52">
        <v>105</v>
      </c>
      <c r="B121" s="137" t="s">
        <v>167</v>
      </c>
      <c r="C121" s="48" t="s">
        <v>75</v>
      </c>
      <c r="D121" s="72">
        <v>802215553.06400001</v>
      </c>
      <c r="E121" s="72"/>
      <c r="F121" s="72">
        <v>93427785.079999998</v>
      </c>
      <c r="G121" s="72">
        <v>945601847.82000005</v>
      </c>
      <c r="H121" s="103"/>
      <c r="I121" s="97"/>
      <c r="J121" s="97">
        <v>1898708153.7075</v>
      </c>
      <c r="K121" s="97">
        <v>12373986.57</v>
      </c>
      <c r="L121" s="72">
        <v>5990362.71</v>
      </c>
      <c r="M121" s="58">
        <v>6383623.8600000003</v>
      </c>
      <c r="N121" s="72">
        <v>2019830232.4200001</v>
      </c>
      <c r="O121" s="72">
        <v>183065760.66999999</v>
      </c>
      <c r="P121" s="98">
        <v>1901002896.9300001</v>
      </c>
      <c r="Q121" s="61">
        <f t="shared" si="71"/>
        <v>1.3830097580503737E-3</v>
      </c>
      <c r="R121" s="98">
        <v>1836764470.22</v>
      </c>
      <c r="S121" s="61">
        <f t="shared" si="65"/>
        <v>6.2720673053382567E-2</v>
      </c>
      <c r="T121" s="62">
        <f t="shared" si="66"/>
        <v>-3.3791861555677295E-2</v>
      </c>
      <c r="U121" s="63">
        <f t="shared" si="67"/>
        <v>3.2613668258089177E-3</v>
      </c>
      <c r="V121" s="64">
        <f t="shared" si="68"/>
        <v>3.475472203159176E-3</v>
      </c>
      <c r="W121" s="65">
        <f t="shared" si="69"/>
        <v>1.2675808468609655</v>
      </c>
      <c r="X121" s="65">
        <f t="shared" si="70"/>
        <v>4.405441998522254E-3</v>
      </c>
      <c r="Y121" s="72">
        <v>1.2332000000000001</v>
      </c>
      <c r="Z121" s="72">
        <v>1.2553000000000001</v>
      </c>
      <c r="AA121" s="71">
        <v>5995</v>
      </c>
      <c r="AB121" s="71">
        <v>1459385905.6900001</v>
      </c>
      <c r="AC121" s="71"/>
      <c r="AD121" s="71">
        <v>10354489.060000001</v>
      </c>
      <c r="AE121" s="71">
        <v>1449031416.6300001</v>
      </c>
      <c r="AF121" s="38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</row>
    <row r="122" spans="1:241" s="39" customFormat="1" ht="16.5" customHeight="1" x14ac:dyDescent="0.25">
      <c r="A122" s="52">
        <v>106</v>
      </c>
      <c r="B122" s="49" t="s">
        <v>137</v>
      </c>
      <c r="C122" s="49" t="s">
        <v>110</v>
      </c>
      <c r="D122" s="72">
        <v>63956621.969999999</v>
      </c>
      <c r="E122" s="72"/>
      <c r="F122" s="72">
        <v>68959574.560000002</v>
      </c>
      <c r="G122" s="72">
        <v>23012374.489999998</v>
      </c>
      <c r="H122" s="103"/>
      <c r="I122" s="97"/>
      <c r="J122" s="97">
        <v>155579740.00999999</v>
      </c>
      <c r="K122" s="97">
        <v>3402074.04</v>
      </c>
      <c r="L122" s="72">
        <v>4426422.87</v>
      </c>
      <c r="M122" s="58">
        <v>1024348.83</v>
      </c>
      <c r="N122" s="72">
        <v>155579740.00999999</v>
      </c>
      <c r="O122" s="72">
        <v>5815531.4800000004</v>
      </c>
      <c r="P122" s="98">
        <v>146061195.59</v>
      </c>
      <c r="Q122" s="61">
        <f t="shared" si="71"/>
        <v>1.0626183637052741E-4</v>
      </c>
      <c r="R122" s="98">
        <v>149764208.53</v>
      </c>
      <c r="S122" s="61">
        <f t="shared" si="65"/>
        <v>5.1140536038263226E-3</v>
      </c>
      <c r="T122" s="62">
        <f t="shared" si="66"/>
        <v>2.5352475892327437E-2</v>
      </c>
      <c r="U122" s="63">
        <f t="shared" si="67"/>
        <v>2.9555946066468355E-2</v>
      </c>
      <c r="V122" s="64">
        <f t="shared" si="68"/>
        <v>6.83974388843919E-3</v>
      </c>
      <c r="W122" s="65">
        <f t="shared" si="69"/>
        <v>137.80210904360183</v>
      </c>
      <c r="X122" s="65">
        <f t="shared" si="70"/>
        <v>0.94253113314500647</v>
      </c>
      <c r="Y122" s="72">
        <v>137.8021</v>
      </c>
      <c r="Z122" s="72">
        <v>143.15309999999999</v>
      </c>
      <c r="AA122" s="71">
        <v>130</v>
      </c>
      <c r="AB122" s="71">
        <v>1090908.81</v>
      </c>
      <c r="AC122" s="71"/>
      <c r="AD122" s="71">
        <v>4102.45</v>
      </c>
      <c r="AE122" s="72">
        <v>1086806.3600000001</v>
      </c>
      <c r="AF122" s="38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</row>
    <row r="123" spans="1:241" s="39" customFormat="1" ht="16.5" customHeight="1" x14ac:dyDescent="0.25">
      <c r="A123" s="52">
        <v>107</v>
      </c>
      <c r="B123" s="48" t="s">
        <v>132</v>
      </c>
      <c r="C123" s="49" t="s">
        <v>27</v>
      </c>
      <c r="D123" s="72">
        <v>255995477.53999999</v>
      </c>
      <c r="E123" s="72"/>
      <c r="F123" s="72">
        <v>883024557.16999996</v>
      </c>
      <c r="G123" s="72"/>
      <c r="H123" s="114"/>
      <c r="I123" s="97"/>
      <c r="J123" s="97">
        <v>1139020034.71</v>
      </c>
      <c r="K123" s="97">
        <v>1591158.87</v>
      </c>
      <c r="L123" s="72">
        <v>2007932.77</v>
      </c>
      <c r="M123" s="58">
        <v>8194477.3499999996</v>
      </c>
      <c r="N123" s="72">
        <v>1143014168.76</v>
      </c>
      <c r="O123" s="72">
        <v>37335673.219999999</v>
      </c>
      <c r="P123" s="98">
        <v>35327740.450000003</v>
      </c>
      <c r="Q123" s="61">
        <f t="shared" si="71"/>
        <v>2.5701491487006404E-5</v>
      </c>
      <c r="R123" s="98">
        <v>1105678495.54</v>
      </c>
      <c r="S123" s="61">
        <f t="shared" si="65"/>
        <v>3.7756010934060544E-2</v>
      </c>
      <c r="T123" s="62">
        <f t="shared" si="66"/>
        <v>30.297741702583185</v>
      </c>
      <c r="U123" s="63">
        <f t="shared" si="67"/>
        <v>1.8160186510811627E-3</v>
      </c>
      <c r="V123" s="64">
        <f t="shared" si="68"/>
        <v>7.41126591776384E-3</v>
      </c>
      <c r="W123" s="65">
        <f t="shared" si="69"/>
        <v>1482.242101400898</v>
      </c>
      <c r="X123" s="65">
        <f t="shared" si="70"/>
        <v>10.98529036798713</v>
      </c>
      <c r="Y123" s="72"/>
      <c r="Z123" s="72"/>
      <c r="AA123" s="71">
        <v>830</v>
      </c>
      <c r="AB123" s="71">
        <v>745950</v>
      </c>
      <c r="AC123" s="71"/>
      <c r="AD123" s="71"/>
      <c r="AE123" s="71">
        <v>745950</v>
      </c>
      <c r="AF123" s="38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</row>
    <row r="124" spans="1:241" s="39" customFormat="1" ht="16.5" customHeight="1" x14ac:dyDescent="0.25">
      <c r="A124" s="52">
        <v>108</v>
      </c>
      <c r="B124" s="48" t="s">
        <v>196</v>
      </c>
      <c r="C124" s="49" t="s">
        <v>61</v>
      </c>
      <c r="D124" s="72">
        <v>52045683.350000001</v>
      </c>
      <c r="E124" s="72"/>
      <c r="F124" s="72"/>
      <c r="G124" s="72"/>
      <c r="H124" s="103"/>
      <c r="I124" s="97"/>
      <c r="J124" s="72">
        <v>52045683.350000001</v>
      </c>
      <c r="K124" s="97">
        <v>1649356.57</v>
      </c>
      <c r="L124" s="72">
        <v>278414.56</v>
      </c>
      <c r="M124" s="58">
        <v>1370942.01</v>
      </c>
      <c r="N124" s="72">
        <v>168974638.77000001</v>
      </c>
      <c r="O124" s="72">
        <v>3512206.8</v>
      </c>
      <c r="P124" s="98">
        <v>230452733.38999999</v>
      </c>
      <c r="Q124" s="61">
        <f t="shared" si="71"/>
        <v>1.6765801859768931E-4</v>
      </c>
      <c r="R124" s="98">
        <v>163877727.75999999</v>
      </c>
      <c r="S124" s="61">
        <f t="shared" si="65"/>
        <v>5.595993144583789E-3</v>
      </c>
      <c r="T124" s="62">
        <f t="shared" si="66"/>
        <v>-0.28888789753399763</v>
      </c>
      <c r="U124" s="63">
        <f t="shared" si="67"/>
        <v>1.698916404355691E-3</v>
      </c>
      <c r="V124" s="64">
        <f t="shared" si="68"/>
        <v>8.3656396066691483E-3</v>
      </c>
      <c r="W124" s="65">
        <f t="shared" si="69"/>
        <v>156.76108789188422</v>
      </c>
      <c r="X124" s="65">
        <f t="shared" si="70"/>
        <v>1.31140676565289</v>
      </c>
      <c r="Y124" s="72">
        <v>107.05</v>
      </c>
      <c r="Z124" s="72">
        <v>110.38</v>
      </c>
      <c r="AA124" s="71">
        <v>38</v>
      </c>
      <c r="AB124" s="71">
        <v>1525844</v>
      </c>
      <c r="AC124" s="71"/>
      <c r="AD124" s="71">
        <v>480446</v>
      </c>
      <c r="AE124" s="72">
        <v>1045398</v>
      </c>
      <c r="AF124" s="38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</row>
    <row r="125" spans="1:241" s="39" customFormat="1" ht="16.5" customHeight="1" x14ac:dyDescent="0.25">
      <c r="A125" s="52">
        <v>109</v>
      </c>
      <c r="B125" s="48" t="s">
        <v>177</v>
      </c>
      <c r="C125" s="49" t="s">
        <v>86</v>
      </c>
      <c r="D125" s="72">
        <v>7289937.4500000002</v>
      </c>
      <c r="E125" s="72"/>
      <c r="F125" s="72">
        <v>6298835.3499999996</v>
      </c>
      <c r="G125" s="72">
        <v>3595298.49</v>
      </c>
      <c r="H125" s="103"/>
      <c r="I125" s="97"/>
      <c r="J125" s="97">
        <f>7289937.45+3595298.49+6298835.35</f>
        <v>17184071.289999999</v>
      </c>
      <c r="K125" s="97">
        <v>97547.18</v>
      </c>
      <c r="L125" s="72">
        <v>0</v>
      </c>
      <c r="M125" s="58">
        <v>97547.18</v>
      </c>
      <c r="N125" s="72">
        <v>19308604.190000001</v>
      </c>
      <c r="O125" s="72">
        <v>412318.76</v>
      </c>
      <c r="P125" s="98">
        <v>18669741.719999999</v>
      </c>
      <c r="Q125" s="61">
        <f t="shared" si="71"/>
        <v>1.3582533209569825E-5</v>
      </c>
      <c r="R125" s="98">
        <v>18788003.530000001</v>
      </c>
      <c r="S125" s="61">
        <f t="shared" si="65"/>
        <v>6.4156087829256856E-4</v>
      </c>
      <c r="T125" s="62">
        <f t="shared" si="66"/>
        <v>6.3344106080114749E-3</v>
      </c>
      <c r="U125" s="63">
        <f t="shared" si="67"/>
        <v>0</v>
      </c>
      <c r="V125" s="64">
        <f t="shared" si="68"/>
        <v>5.1919928503441149E-3</v>
      </c>
      <c r="W125" s="65">
        <f t="shared" si="69"/>
        <v>1</v>
      </c>
      <c r="X125" s="65">
        <f t="shared" si="70"/>
        <v>5.1919928503441149E-3</v>
      </c>
      <c r="Y125" s="72">
        <v>1.1865000000000001</v>
      </c>
      <c r="Z125" s="72">
        <v>1.1865000000000001</v>
      </c>
      <c r="AA125" s="71">
        <v>7</v>
      </c>
      <c r="AB125" s="71">
        <v>16200121.15</v>
      </c>
      <c r="AC125" s="72">
        <v>158358.5</v>
      </c>
      <c r="AD125" s="72">
        <v>577145.53</v>
      </c>
      <c r="AE125" s="55">
        <v>18788003.530000001</v>
      </c>
      <c r="AF125" s="38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</row>
    <row r="126" spans="1:241" s="39" customFormat="1" ht="16.5" customHeight="1" x14ac:dyDescent="0.25">
      <c r="A126" s="52">
        <v>110</v>
      </c>
      <c r="B126" s="49" t="s">
        <v>136</v>
      </c>
      <c r="C126" s="49" t="s">
        <v>46</v>
      </c>
      <c r="D126" s="72">
        <v>68596066.349999994</v>
      </c>
      <c r="E126" s="72"/>
      <c r="F126" s="72">
        <v>38272589.030000001</v>
      </c>
      <c r="G126" s="72">
        <v>46998903.859999999</v>
      </c>
      <c r="H126" s="138">
        <v>924000</v>
      </c>
      <c r="I126" s="97"/>
      <c r="J126" s="97">
        <v>154791559.24000001</v>
      </c>
      <c r="K126" s="97">
        <v>631586.80000000005</v>
      </c>
      <c r="L126" s="72">
        <v>214062.03</v>
      </c>
      <c r="M126" s="58">
        <v>417524.72</v>
      </c>
      <c r="N126" s="72">
        <v>155148132.61000001</v>
      </c>
      <c r="O126" s="72">
        <v>3593802.06</v>
      </c>
      <c r="P126" s="98">
        <v>157308694.24000001</v>
      </c>
      <c r="Q126" s="61">
        <f t="shared" si="71"/>
        <v>1.1444457002744575E-4</v>
      </c>
      <c r="R126" s="98">
        <v>151554330.55000001</v>
      </c>
      <c r="S126" s="61">
        <f t="shared" si="65"/>
        <v>5.175181559948336E-3</v>
      </c>
      <c r="T126" s="62">
        <f t="shared" si="66"/>
        <v>-3.6580074088090643E-2</v>
      </c>
      <c r="U126" s="63">
        <f t="shared" si="67"/>
        <v>1.4124441658853013E-3</v>
      </c>
      <c r="V126" s="64">
        <f t="shared" si="68"/>
        <v>2.7549507723387185E-3</v>
      </c>
      <c r="W126" s="65">
        <f t="shared" si="69"/>
        <v>1.5400525487903516</v>
      </c>
      <c r="X126" s="65">
        <f t="shared" si="70"/>
        <v>4.2427689587321909E-3</v>
      </c>
      <c r="Y126" s="72">
        <v>1.5401</v>
      </c>
      <c r="Z126" s="72">
        <v>1.5766</v>
      </c>
      <c r="AA126" s="71">
        <v>111</v>
      </c>
      <c r="AB126" s="71">
        <v>97639158</v>
      </c>
      <c r="AC126" s="71">
        <v>778616</v>
      </c>
      <c r="AD126" s="71">
        <v>9229</v>
      </c>
      <c r="AE126" s="71">
        <v>98408545</v>
      </c>
      <c r="AF126" s="38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</row>
    <row r="127" spans="1:241" s="39" customFormat="1" ht="16.5" customHeight="1" x14ac:dyDescent="0.25">
      <c r="A127" s="52">
        <v>111</v>
      </c>
      <c r="B127" s="48" t="s">
        <v>126</v>
      </c>
      <c r="C127" s="48" t="s">
        <v>23</v>
      </c>
      <c r="D127" s="72">
        <v>667087958.85000002</v>
      </c>
      <c r="E127" s="72"/>
      <c r="F127" s="72">
        <v>568089054.72000003</v>
      </c>
      <c r="G127" s="72">
        <v>192174842.21000001</v>
      </c>
      <c r="H127" s="103"/>
      <c r="I127" s="97">
        <v>1529301.59</v>
      </c>
      <c r="J127" s="97">
        <v>1429346640.6500001</v>
      </c>
      <c r="K127" s="97">
        <v>8971450.7100000009</v>
      </c>
      <c r="L127" s="72">
        <v>2740083.16</v>
      </c>
      <c r="M127" s="58">
        <v>39697292.240000002</v>
      </c>
      <c r="N127" s="72">
        <v>1487171230.8399999</v>
      </c>
      <c r="O127" s="72">
        <v>8345055.8899999997</v>
      </c>
      <c r="P127" s="98">
        <v>1490793062.55</v>
      </c>
      <c r="Q127" s="61">
        <f t="shared" si="71"/>
        <v>1.0845755974754684E-3</v>
      </c>
      <c r="R127" s="98">
        <v>1478826174.95</v>
      </c>
      <c r="S127" s="61">
        <f t="shared" si="65"/>
        <v>5.0498022215506873E-2</v>
      </c>
      <c r="T127" s="62">
        <f t="shared" si="66"/>
        <v>-8.0271956588867915E-3</v>
      </c>
      <c r="U127" s="63">
        <f t="shared" si="67"/>
        <v>1.8528771037560543E-3</v>
      </c>
      <c r="V127" s="64">
        <f t="shared" si="68"/>
        <v>2.6843785234828017E-2</v>
      </c>
      <c r="W127" s="65">
        <f t="shared" si="69"/>
        <v>3543.4817263044761</v>
      </c>
      <c r="X127" s="65">
        <f t="shared" si="70"/>
        <v>95.120462444454972</v>
      </c>
      <c r="Y127" s="72">
        <v>3527.1</v>
      </c>
      <c r="Z127" s="72">
        <v>3554.71</v>
      </c>
      <c r="AA127" s="71">
        <v>1408</v>
      </c>
      <c r="AB127" s="71">
        <v>430776.89</v>
      </c>
      <c r="AC127" s="71">
        <v>1338.93</v>
      </c>
      <c r="AD127" s="71">
        <v>14778.78</v>
      </c>
      <c r="AE127" s="72">
        <v>417337.04</v>
      </c>
      <c r="AF127" s="38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</row>
    <row r="128" spans="1:241" ht="16.5" customHeight="1" x14ac:dyDescent="0.25">
      <c r="A128" s="52">
        <v>112</v>
      </c>
      <c r="B128" s="48" t="s">
        <v>127</v>
      </c>
      <c r="C128" s="48" t="s">
        <v>33</v>
      </c>
      <c r="D128" s="72">
        <v>519885268.69999999</v>
      </c>
      <c r="E128" s="72"/>
      <c r="F128" s="72">
        <v>9953827</v>
      </c>
      <c r="G128" s="72">
        <v>299571111</v>
      </c>
      <c r="H128" s="103"/>
      <c r="I128" s="97"/>
      <c r="J128" s="97">
        <v>829410207</v>
      </c>
      <c r="K128" s="97">
        <v>5515540</v>
      </c>
      <c r="L128" s="97">
        <v>1944512</v>
      </c>
      <c r="M128" s="58">
        <v>3213017</v>
      </c>
      <c r="N128" s="72">
        <v>1154463138</v>
      </c>
      <c r="O128" s="72">
        <v>16675223</v>
      </c>
      <c r="P128" s="98">
        <v>1016892308.79</v>
      </c>
      <c r="Q128" s="61">
        <f t="shared" si="71"/>
        <v>7.3980528289259635E-4</v>
      </c>
      <c r="R128" s="98">
        <v>1010830913.67</v>
      </c>
      <c r="S128" s="61">
        <f t="shared" si="65"/>
        <v>3.4517215612818473E-2</v>
      </c>
      <c r="T128" s="62">
        <f t="shared" si="66"/>
        <v>-5.9607050496944536E-3</v>
      </c>
      <c r="U128" s="63">
        <f t="shared" si="67"/>
        <v>1.9236768224075243E-3</v>
      </c>
      <c r="V128" s="64">
        <f t="shared" si="68"/>
        <v>3.1785899664807191E-3</v>
      </c>
      <c r="W128" s="65">
        <f t="shared" si="69"/>
        <v>1.2915740158715894</v>
      </c>
      <c r="X128" s="65">
        <f t="shared" si="70"/>
        <v>4.1053842078166434E-3</v>
      </c>
      <c r="Y128" s="72">
        <v>1.29</v>
      </c>
      <c r="Z128" s="72">
        <v>1.31</v>
      </c>
      <c r="AA128" s="71">
        <v>1325</v>
      </c>
      <c r="AB128" s="71">
        <v>770385854</v>
      </c>
      <c r="AC128" s="71">
        <v>15261957</v>
      </c>
      <c r="AD128" s="71">
        <v>3012901</v>
      </c>
      <c r="AE128" s="72">
        <v>782634910</v>
      </c>
      <c r="AF128" s="5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  <c r="FY128" s="17"/>
      <c r="FZ128" s="17"/>
      <c r="GA128" s="17"/>
      <c r="GB128" s="17"/>
      <c r="GC128" s="17"/>
      <c r="GD128" s="17"/>
      <c r="GE128" s="17"/>
      <c r="GF128" s="17"/>
      <c r="GG128" s="17"/>
      <c r="GH128" s="17"/>
      <c r="GI128" s="17"/>
      <c r="GJ128" s="17"/>
      <c r="GK128" s="17"/>
      <c r="GL128" s="17"/>
      <c r="GM128" s="17"/>
      <c r="GN128" s="17"/>
      <c r="GO128" s="17"/>
      <c r="GP128" s="17"/>
      <c r="GQ128" s="17"/>
      <c r="GR128" s="17"/>
      <c r="GS128" s="17"/>
      <c r="GT128" s="17"/>
      <c r="GU128" s="17"/>
      <c r="GV128" s="17"/>
      <c r="GW128" s="17"/>
      <c r="GX128" s="17"/>
      <c r="GY128" s="17"/>
      <c r="GZ128" s="17"/>
      <c r="HA128" s="17"/>
      <c r="HB128" s="17"/>
      <c r="HC128" s="17"/>
      <c r="HD128" s="17"/>
      <c r="HE128" s="17"/>
      <c r="HF128" s="17"/>
      <c r="HG128" s="17"/>
      <c r="HH128" s="17"/>
      <c r="HI128" s="17"/>
      <c r="HJ128" s="17"/>
      <c r="HK128" s="17"/>
      <c r="HL128" s="17"/>
      <c r="HM128" s="17"/>
      <c r="HN128" s="17"/>
      <c r="HO128" s="17"/>
      <c r="HP128" s="17"/>
      <c r="HQ128" s="17"/>
      <c r="HR128" s="17"/>
      <c r="HS128" s="17"/>
      <c r="HT128" s="17"/>
      <c r="HU128" s="17"/>
      <c r="HV128" s="17"/>
      <c r="HW128" s="17"/>
      <c r="HX128" s="17"/>
      <c r="HY128" s="17"/>
      <c r="HZ128" s="17"/>
      <c r="IA128" s="17"/>
      <c r="IB128" s="17"/>
      <c r="IC128" s="17"/>
      <c r="ID128" s="17"/>
      <c r="IE128" s="17"/>
      <c r="IF128" s="17"/>
      <c r="IG128" s="17"/>
    </row>
    <row r="129" spans="1:241" ht="16.5" customHeight="1" x14ac:dyDescent="0.25">
      <c r="A129" s="52">
        <v>113</v>
      </c>
      <c r="B129" s="48" t="s">
        <v>131</v>
      </c>
      <c r="C129" s="48" t="s">
        <v>84</v>
      </c>
      <c r="D129" s="72">
        <v>2595138624.5999999</v>
      </c>
      <c r="E129" s="72"/>
      <c r="F129" s="72">
        <v>186474884.27000001</v>
      </c>
      <c r="G129" s="72">
        <v>1036515259.51</v>
      </c>
      <c r="H129" s="103"/>
      <c r="I129" s="134"/>
      <c r="J129" s="97">
        <v>3822786110.7399998</v>
      </c>
      <c r="K129" s="97">
        <v>31576653.09</v>
      </c>
      <c r="L129" s="72">
        <v>5893452.2800000003</v>
      </c>
      <c r="M129" s="58">
        <v>36234167.229999997</v>
      </c>
      <c r="N129" s="72">
        <v>4710877081.6499996</v>
      </c>
      <c r="O129" s="72">
        <v>16247502.57</v>
      </c>
      <c r="P129" s="98">
        <v>4630253937.1400003</v>
      </c>
      <c r="Q129" s="61">
        <f t="shared" si="71"/>
        <v>3.3685831766260498E-3</v>
      </c>
      <c r="R129" s="98">
        <v>4694629579.0799999</v>
      </c>
      <c r="S129" s="61">
        <f t="shared" si="65"/>
        <v>0.16030924580163924</v>
      </c>
      <c r="T129" s="62">
        <f t="shared" si="66"/>
        <v>1.3903263798046227E-2</v>
      </c>
      <c r="U129" s="63">
        <f t="shared" si="67"/>
        <v>1.2553604455316648E-3</v>
      </c>
      <c r="V129" s="64">
        <f t="shared" si="68"/>
        <v>7.718216447036649E-3</v>
      </c>
      <c r="W129" s="65">
        <f t="shared" si="69"/>
        <v>189.31667173822669</v>
      </c>
      <c r="X129" s="65">
        <f t="shared" si="70"/>
        <v>1.4611870495082195</v>
      </c>
      <c r="Y129" s="72">
        <v>187.119</v>
      </c>
      <c r="Z129" s="72">
        <v>190.7295</v>
      </c>
      <c r="AA129" s="71">
        <v>27</v>
      </c>
      <c r="AB129" s="71">
        <v>24797761</v>
      </c>
      <c r="AC129" s="72"/>
      <c r="AD129" s="72"/>
      <c r="AE129" s="72">
        <v>24797761</v>
      </c>
      <c r="AF129" s="5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  <c r="FY129" s="17"/>
      <c r="FZ129" s="17"/>
      <c r="GA129" s="17"/>
      <c r="GB129" s="17"/>
      <c r="GC129" s="17"/>
      <c r="GD129" s="17"/>
      <c r="GE129" s="17"/>
      <c r="GF129" s="17"/>
      <c r="GG129" s="17"/>
      <c r="GH129" s="17"/>
      <c r="GI129" s="17"/>
      <c r="GJ129" s="17"/>
      <c r="GK129" s="17"/>
      <c r="GL129" s="17"/>
      <c r="GM129" s="17"/>
      <c r="GN129" s="17"/>
      <c r="GO129" s="17"/>
      <c r="GP129" s="17"/>
      <c r="GQ129" s="17"/>
      <c r="GR129" s="17"/>
      <c r="GS129" s="17"/>
      <c r="GT129" s="17"/>
      <c r="GU129" s="17"/>
      <c r="GV129" s="17"/>
      <c r="GW129" s="17"/>
      <c r="GX129" s="17"/>
      <c r="GY129" s="17"/>
      <c r="GZ129" s="17"/>
      <c r="HA129" s="17"/>
      <c r="HB129" s="17"/>
      <c r="HC129" s="17"/>
      <c r="HD129" s="17"/>
      <c r="HE129" s="17"/>
      <c r="HF129" s="17"/>
      <c r="HG129" s="17"/>
      <c r="HH129" s="17"/>
      <c r="HI129" s="17"/>
      <c r="HJ129" s="17"/>
      <c r="HK129" s="17"/>
      <c r="HL129" s="17"/>
      <c r="HM129" s="17"/>
      <c r="HN129" s="17"/>
      <c r="HO129" s="17"/>
      <c r="HP129" s="17"/>
      <c r="HQ129" s="17"/>
      <c r="HR129" s="17"/>
      <c r="HS129" s="17"/>
      <c r="HT129" s="17"/>
      <c r="HU129" s="17"/>
      <c r="HV129" s="17"/>
      <c r="HW129" s="17"/>
      <c r="HX129" s="17"/>
      <c r="HY129" s="17"/>
      <c r="HZ129" s="17"/>
      <c r="IA129" s="17"/>
      <c r="IB129" s="17"/>
      <c r="IC129" s="17"/>
      <c r="ID129" s="17"/>
      <c r="IE129" s="17"/>
      <c r="IF129" s="17"/>
      <c r="IG129" s="17"/>
    </row>
    <row r="130" spans="1:241" s="39" customFormat="1" ht="17.25" customHeight="1" x14ac:dyDescent="0.25">
      <c r="A130" s="52">
        <v>114</v>
      </c>
      <c r="B130" s="90" t="s">
        <v>135</v>
      </c>
      <c r="C130" s="49" t="s">
        <v>44</v>
      </c>
      <c r="D130" s="72">
        <v>883040644.89999998</v>
      </c>
      <c r="E130" s="72"/>
      <c r="F130" s="72">
        <v>701280152.02999997</v>
      </c>
      <c r="G130" s="72">
        <v>504621384.43000001</v>
      </c>
      <c r="H130" s="59"/>
      <c r="I130" s="97"/>
      <c r="J130" s="97">
        <v>2088942181.3599999</v>
      </c>
      <c r="K130" s="97">
        <v>15766011.74</v>
      </c>
      <c r="L130" s="72">
        <v>5682441.9299999997</v>
      </c>
      <c r="M130" s="58">
        <v>-30406289.84</v>
      </c>
      <c r="N130" s="72">
        <v>2090045100.8699999</v>
      </c>
      <c r="O130" s="72">
        <v>69854839.560000002</v>
      </c>
      <c r="P130" s="98">
        <v>2116223559.01</v>
      </c>
      <c r="Q130" s="61">
        <f t="shared" si="71"/>
        <v>1.5395862031843564E-3</v>
      </c>
      <c r="R130" s="98">
        <v>2020190261.3099999</v>
      </c>
      <c r="S130" s="61">
        <f t="shared" si="65"/>
        <v>6.8984181118265792E-2</v>
      </c>
      <c r="T130" s="62">
        <f t="shared" si="66"/>
        <v>-4.5379561762806296E-2</v>
      </c>
      <c r="U130" s="63">
        <f t="shared" si="67"/>
        <v>2.81282512782494E-3</v>
      </c>
      <c r="V130" s="64">
        <f t="shared" si="68"/>
        <v>-1.5051201078596888E-2</v>
      </c>
      <c r="W130" s="65">
        <f t="shared" si="69"/>
        <v>2.5478424664701023</v>
      </c>
      <c r="X130" s="65">
        <f t="shared" si="70"/>
        <v>-3.8348089279429759E-2</v>
      </c>
      <c r="Y130" s="72">
        <v>3</v>
      </c>
      <c r="Z130" s="72">
        <v>3.06</v>
      </c>
      <c r="AA130" s="71">
        <v>2113</v>
      </c>
      <c r="AB130" s="72">
        <v>795668159.74000001</v>
      </c>
      <c r="AC130" s="71">
        <v>2088000</v>
      </c>
      <c r="AD130" s="71">
        <v>4853816.72</v>
      </c>
      <c r="AE130" s="72">
        <v>792902343.01999998</v>
      </c>
      <c r="AF130" s="38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</row>
    <row r="131" spans="1:241" ht="15.75" customHeight="1" x14ac:dyDescent="0.25">
      <c r="A131" s="52">
        <v>115</v>
      </c>
      <c r="B131" s="48" t="s">
        <v>197</v>
      </c>
      <c r="C131" s="48" t="s">
        <v>33</v>
      </c>
      <c r="D131" s="72">
        <v>220342231</v>
      </c>
      <c r="E131" s="72"/>
      <c r="F131" s="72">
        <v>9952427</v>
      </c>
      <c r="G131" s="72"/>
      <c r="H131" s="103"/>
      <c r="I131" s="134"/>
      <c r="J131" s="97">
        <v>230294658.02000001</v>
      </c>
      <c r="K131" s="97">
        <v>6680499.4299999997</v>
      </c>
      <c r="L131" s="72">
        <v>1152365</v>
      </c>
      <c r="M131" s="58">
        <v>5356113</v>
      </c>
      <c r="N131" s="72">
        <v>646025628</v>
      </c>
      <c r="O131" s="72">
        <v>13650383</v>
      </c>
      <c r="P131" s="98">
        <v>621543986</v>
      </c>
      <c r="Q131" s="61">
        <f t="shared" si="71"/>
        <v>4.5218310770789831E-4</v>
      </c>
      <c r="R131" s="98">
        <v>632375245</v>
      </c>
      <c r="S131" s="61">
        <f t="shared" si="65"/>
        <v>2.1593950466576167E-2</v>
      </c>
      <c r="T131" s="62">
        <f t="shared" si="66"/>
        <v>1.7426375677295991E-2</v>
      </c>
      <c r="U131" s="63">
        <f t="shared" si="67"/>
        <v>1.8222803772149556E-3</v>
      </c>
      <c r="V131" s="64">
        <f t="shared" si="68"/>
        <v>8.4698334451722562E-3</v>
      </c>
      <c r="W131" s="65">
        <f t="shared" si="69"/>
        <v>1.1419630672231065</v>
      </c>
      <c r="X131" s="65">
        <f t="shared" si="70"/>
        <v>9.6722369799177605E-3</v>
      </c>
      <c r="Y131" s="72">
        <v>1.1399999999999999</v>
      </c>
      <c r="Z131" s="72">
        <v>1.1499999999999999</v>
      </c>
      <c r="AA131" s="71">
        <v>100</v>
      </c>
      <c r="AB131" s="71">
        <v>553240445</v>
      </c>
      <c r="AC131" s="71">
        <v>531111</v>
      </c>
      <c r="AD131" s="71">
        <v>10000</v>
      </c>
      <c r="AE131" s="72">
        <v>553761556</v>
      </c>
      <c r="AF131" s="44"/>
    </row>
    <row r="132" spans="1:241" ht="15.75" customHeight="1" x14ac:dyDescent="0.25">
      <c r="A132" s="52">
        <v>116</v>
      </c>
      <c r="B132" s="48" t="s">
        <v>166</v>
      </c>
      <c r="C132" s="48" t="s">
        <v>29</v>
      </c>
      <c r="D132" s="72">
        <v>102830421.59999999</v>
      </c>
      <c r="E132" s="72"/>
      <c r="F132" s="72">
        <v>25878252.09</v>
      </c>
      <c r="G132" s="72">
        <v>53846116.079999998</v>
      </c>
      <c r="H132" s="103"/>
      <c r="I132" s="97"/>
      <c r="J132" s="97">
        <v>190587565.31</v>
      </c>
      <c r="K132" s="97">
        <v>907594.61</v>
      </c>
      <c r="L132" s="72">
        <v>366065.04</v>
      </c>
      <c r="M132" s="58">
        <v>541529.56999999995</v>
      </c>
      <c r="N132" s="72">
        <v>190587565.27000001</v>
      </c>
      <c r="O132" s="72">
        <v>1397653.1</v>
      </c>
      <c r="P132" s="98">
        <v>185585983.13</v>
      </c>
      <c r="Q132" s="61">
        <f t="shared" si="71"/>
        <v>1.3501674618206181E-4</v>
      </c>
      <c r="R132" s="98">
        <v>189189912.16999999</v>
      </c>
      <c r="S132" s="61">
        <f t="shared" si="65"/>
        <v>6.4603376309818631E-3</v>
      </c>
      <c r="T132" s="62">
        <f t="shared" si="66"/>
        <v>1.9419187695201623E-2</v>
      </c>
      <c r="U132" s="63">
        <f t="shared" si="67"/>
        <v>1.9349078172363951E-3</v>
      </c>
      <c r="V132" s="64">
        <f t="shared" si="68"/>
        <v>2.8623596458641981E-3</v>
      </c>
      <c r="W132" s="65">
        <f t="shared" si="69"/>
        <v>145.47303503911789</v>
      </c>
      <c r="X132" s="65">
        <f t="shared" si="70"/>
        <v>0.41639614505735961</v>
      </c>
      <c r="Y132" s="72">
        <v>144.33000000000001</v>
      </c>
      <c r="Z132" s="72">
        <v>146.03</v>
      </c>
      <c r="AA132" s="71">
        <v>724</v>
      </c>
      <c r="AB132" s="71">
        <v>1301730</v>
      </c>
      <c r="AC132" s="71"/>
      <c r="AD132" s="71">
        <v>1214.67</v>
      </c>
      <c r="AE132" s="72">
        <v>1300515.33</v>
      </c>
      <c r="AF132" s="44"/>
    </row>
    <row r="133" spans="1:241" ht="15.75" customHeight="1" x14ac:dyDescent="0.25">
      <c r="A133" s="52">
        <v>117</v>
      </c>
      <c r="B133" s="48" t="s">
        <v>194</v>
      </c>
      <c r="C133" s="48" t="s">
        <v>71</v>
      </c>
      <c r="D133" s="72">
        <v>1031495351.7</v>
      </c>
      <c r="E133" s="72"/>
      <c r="F133" s="72">
        <v>415514131.31</v>
      </c>
      <c r="G133" s="72">
        <v>1023488293.66</v>
      </c>
      <c r="H133" s="72"/>
      <c r="I133" s="72"/>
      <c r="J133" s="72">
        <v>2470497776.6700001</v>
      </c>
      <c r="K133" s="72">
        <v>13395186.710000001</v>
      </c>
      <c r="L133" s="72">
        <v>16711735.91</v>
      </c>
      <c r="M133" s="58">
        <v>31715766.199999999</v>
      </c>
      <c r="N133" s="72">
        <v>2493110229.3899999</v>
      </c>
      <c r="O133" s="72">
        <v>20981621.719999999</v>
      </c>
      <c r="P133" s="98">
        <v>2429188159.8000002</v>
      </c>
      <c r="Q133" s="61">
        <f t="shared" si="71"/>
        <v>1.7672729139810144E-3</v>
      </c>
      <c r="R133" s="98">
        <v>2472128607.6700001</v>
      </c>
      <c r="S133" s="61">
        <f t="shared" si="65"/>
        <v>8.4416686331597129E-2</v>
      </c>
      <c r="T133" s="62">
        <f t="shared" si="66"/>
        <v>1.767687187868364E-2</v>
      </c>
      <c r="U133" s="63">
        <f t="shared" si="67"/>
        <v>6.7600592696311773E-3</v>
      </c>
      <c r="V133" s="64">
        <f t="shared" si="68"/>
        <v>1.2829335052229484E-2</v>
      </c>
      <c r="W133" s="65">
        <f t="shared" si="69"/>
        <v>13.559152819600321</v>
      </c>
      <c r="X133" s="65">
        <f t="shared" si="70"/>
        <v>0.17395491454703463</v>
      </c>
      <c r="Y133" s="72">
        <v>13.5593</v>
      </c>
      <c r="Z133" s="72">
        <v>13.6778</v>
      </c>
      <c r="AA133" s="71">
        <v>6337</v>
      </c>
      <c r="AB133" s="72">
        <v>182515780.84</v>
      </c>
      <c r="AC133" s="71">
        <v>17335.47</v>
      </c>
      <c r="AD133" s="71">
        <v>211356.2</v>
      </c>
      <c r="AE133" s="72">
        <v>182321760.11000001</v>
      </c>
      <c r="AF133" s="44"/>
    </row>
    <row r="134" spans="1:241" ht="15.75" customHeight="1" x14ac:dyDescent="0.25">
      <c r="A134" s="124"/>
      <c r="B134" s="23"/>
      <c r="C134" s="125" t="s">
        <v>50</v>
      </c>
      <c r="D134" s="82">
        <f>SUM(D111:D133)</f>
        <v>13465227481.904003</v>
      </c>
      <c r="E134" s="82"/>
      <c r="F134" s="82">
        <f>SUM(F111:F133)</f>
        <v>6403331468.7000008</v>
      </c>
      <c r="G134" s="82">
        <f>SUM(G111:G133)</f>
        <v>6842579657.6099997</v>
      </c>
      <c r="H134" s="82">
        <f>SUM(H111:H133)</f>
        <v>24915666.109999999</v>
      </c>
      <c r="I134" s="82"/>
      <c r="J134" s="82">
        <f t="shared" ref="J134:O134" si="72">SUM(J111:J133)</f>
        <v>26911068090.087502</v>
      </c>
      <c r="K134" s="82">
        <f t="shared" si="72"/>
        <v>196754191.91000006</v>
      </c>
      <c r="L134" s="82">
        <f t="shared" si="72"/>
        <v>74990114.569999993</v>
      </c>
      <c r="M134" s="82">
        <f t="shared" si="72"/>
        <v>359258759.88000011</v>
      </c>
      <c r="N134" s="82">
        <f t="shared" si="72"/>
        <v>30215236942.169998</v>
      </c>
      <c r="O134" s="82">
        <f t="shared" si="72"/>
        <v>1002026392.9499999</v>
      </c>
      <c r="P134" s="100">
        <f>SUM(P111:P133)</f>
        <v>28124185826.349998</v>
      </c>
      <c r="Q134" s="84">
        <f t="shared" si="71"/>
        <v>2.0460791247545542E-2</v>
      </c>
      <c r="R134" s="100">
        <f>SUM(R111:R133)</f>
        <v>29284833545.339996</v>
      </c>
      <c r="S134" s="84">
        <f>(R134/$R$153)</f>
        <v>2.1375395888725671E-2</v>
      </c>
      <c r="T134" s="85">
        <f t="shared" ref="T134" si="73">((R134-P134)/P134)</f>
        <v>4.1268669114771971E-2</v>
      </c>
      <c r="U134" s="86"/>
      <c r="V134" s="87"/>
      <c r="W134" s="88"/>
      <c r="X134" s="88"/>
      <c r="Y134" s="82"/>
      <c r="Z134" s="82"/>
      <c r="AA134" s="89">
        <f>SUM(AA111:AA133)</f>
        <v>43003</v>
      </c>
      <c r="AB134" s="89"/>
      <c r="AC134" s="89"/>
      <c r="AD134" s="89"/>
      <c r="AE134" s="139"/>
      <c r="AF134" s="44"/>
    </row>
    <row r="135" spans="1:241" ht="15.75" customHeight="1" x14ac:dyDescent="0.25">
      <c r="A135" s="155" t="s">
        <v>138</v>
      </c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7"/>
      <c r="AF135" s="44"/>
    </row>
    <row r="136" spans="1:241" ht="15.75" customHeight="1" x14ac:dyDescent="0.25">
      <c r="A136" s="52">
        <v>118</v>
      </c>
      <c r="B136" s="49" t="s">
        <v>140</v>
      </c>
      <c r="C136" s="49" t="s">
        <v>35</v>
      </c>
      <c r="D136" s="72">
        <v>237475502.90000001</v>
      </c>
      <c r="E136" s="72"/>
      <c r="F136" s="92"/>
      <c r="G136" s="72">
        <v>389726346.60000002</v>
      </c>
      <c r="H136" s="114">
        <v>559864.25</v>
      </c>
      <c r="I136" s="72"/>
      <c r="J136" s="72">
        <v>390286210.85000002</v>
      </c>
      <c r="K136" s="72">
        <v>2714310.94</v>
      </c>
      <c r="L136" s="59">
        <v>1358663.3</v>
      </c>
      <c r="M136" s="58">
        <v>155888225.38999999</v>
      </c>
      <c r="N136" s="72">
        <v>560692709</v>
      </c>
      <c r="O136" s="72">
        <v>7620055</v>
      </c>
      <c r="P136" s="75">
        <v>542920184</v>
      </c>
      <c r="Q136" s="61">
        <f>(P136/$P$139)</f>
        <v>0.19438019904218687</v>
      </c>
      <c r="R136" s="75">
        <v>553072654</v>
      </c>
      <c r="S136" s="61">
        <f>(R136/$R$139)</f>
        <v>0.19514634425099636</v>
      </c>
      <c r="T136" s="62">
        <f>((R136-P136)/P136)</f>
        <v>1.8699746848976975E-2</v>
      </c>
      <c r="U136" s="63">
        <f t="shared" ref="U136:U152" si="74">(L136/R136)</f>
        <v>2.4565729116666833E-3</v>
      </c>
      <c r="V136" s="64">
        <f>M136/R136</f>
        <v>0.28185849411025116</v>
      </c>
      <c r="W136" s="65">
        <f>R136/AE136</f>
        <v>42.457508840825831</v>
      </c>
      <c r="X136" s="65">
        <f>M136/AE136</f>
        <v>11.967009505547844</v>
      </c>
      <c r="Y136" s="72">
        <v>42.245199999999997</v>
      </c>
      <c r="Z136" s="72">
        <v>43.518900000000002</v>
      </c>
      <c r="AA136" s="71">
        <v>212</v>
      </c>
      <c r="AB136" s="71">
        <v>13168990</v>
      </c>
      <c r="AC136" s="71">
        <v>431189</v>
      </c>
      <c r="AD136" s="71">
        <v>573681</v>
      </c>
      <c r="AE136" s="72">
        <v>13026498</v>
      </c>
      <c r="AF136" s="44"/>
    </row>
    <row r="137" spans="1:241" ht="15.75" customHeight="1" x14ac:dyDescent="0.25">
      <c r="A137" s="52">
        <v>119</v>
      </c>
      <c r="B137" s="49" t="s">
        <v>139</v>
      </c>
      <c r="C137" s="48" t="s">
        <v>23</v>
      </c>
      <c r="D137" s="72">
        <v>1154091089</v>
      </c>
      <c r="E137" s="72"/>
      <c r="F137" s="72">
        <v>497067994.75999999</v>
      </c>
      <c r="G137" s="72">
        <v>11127733.130000001</v>
      </c>
      <c r="H137" s="103"/>
      <c r="I137" s="72"/>
      <c r="J137" s="72">
        <v>1668703950.6199999</v>
      </c>
      <c r="K137" s="72">
        <v>17865575.059999999</v>
      </c>
      <c r="L137" s="72">
        <v>6621713.75</v>
      </c>
      <c r="M137" s="58">
        <v>26358018.98</v>
      </c>
      <c r="N137" s="72">
        <v>1728045544.73</v>
      </c>
      <c r="O137" s="72">
        <v>14569138.300000001</v>
      </c>
      <c r="P137" s="75">
        <v>1686849041.7</v>
      </c>
      <c r="Q137" s="61">
        <f>(P137/$P$139)</f>
        <v>0.60393785706034497</v>
      </c>
      <c r="R137" s="75">
        <v>1713476406.4300001</v>
      </c>
      <c r="S137" s="61">
        <f t="shared" ref="S137:S138" si="75">(R137/$R$139)</f>
        <v>0.6045836008285973</v>
      </c>
      <c r="T137" s="62">
        <f t="shared" ref="T137:T138" si="76">((R137-P137)/P137)</f>
        <v>1.5785268314919908E-2</v>
      </c>
      <c r="U137" s="63">
        <f t="shared" ref="U137:U138" si="77">(L137/R137)</f>
        <v>3.8644907657621221E-3</v>
      </c>
      <c r="V137" s="64">
        <f t="shared" ref="V137:V138" si="78">M137/R137</f>
        <v>1.5382773221206179E-2</v>
      </c>
      <c r="W137" s="65">
        <f t="shared" ref="W137:W138" si="79">R137/AE137</f>
        <v>1.3675850883983307</v>
      </c>
      <c r="X137" s="65">
        <f t="shared" ref="X137:X138" si="80">M137/AE137</f>
        <v>2.1037251275534727E-2</v>
      </c>
      <c r="Y137" s="72">
        <v>1.36</v>
      </c>
      <c r="Z137" s="72">
        <v>1.37</v>
      </c>
      <c r="AA137" s="71">
        <v>9276</v>
      </c>
      <c r="AB137" s="71">
        <v>1254785195.6199999</v>
      </c>
      <c r="AC137" s="71">
        <v>1421595.77</v>
      </c>
      <c r="AD137" s="71">
        <v>3285550.16</v>
      </c>
      <c r="AE137" s="55">
        <v>1252921241.22</v>
      </c>
      <c r="AF137" s="44"/>
    </row>
    <row r="138" spans="1:241" ht="15.75" customHeight="1" x14ac:dyDescent="0.25">
      <c r="A138" s="52">
        <v>120</v>
      </c>
      <c r="B138" s="49" t="s">
        <v>193</v>
      </c>
      <c r="C138" s="48" t="s">
        <v>71</v>
      </c>
      <c r="D138" s="72">
        <v>246134510.59999999</v>
      </c>
      <c r="E138" s="72"/>
      <c r="F138" s="72">
        <v>69579692.019999996</v>
      </c>
      <c r="G138" s="72">
        <v>252166334.58000001</v>
      </c>
      <c r="H138" s="59"/>
      <c r="I138" s="72"/>
      <c r="J138" s="72">
        <v>567880537.20000005</v>
      </c>
      <c r="K138" s="72">
        <v>3325309.48</v>
      </c>
      <c r="L138" s="59">
        <v>3956961.78</v>
      </c>
      <c r="M138" s="58">
        <v>2086481.35</v>
      </c>
      <c r="N138" s="72">
        <v>572540869.13</v>
      </c>
      <c r="O138" s="72">
        <v>4946886.18</v>
      </c>
      <c r="P138" s="75">
        <v>563314569.23000002</v>
      </c>
      <c r="Q138" s="61">
        <f>(P138/$P$139)</f>
        <v>0.20168194389746827</v>
      </c>
      <c r="R138" s="75">
        <v>567593982.95000005</v>
      </c>
      <c r="S138" s="61">
        <f t="shared" si="75"/>
        <v>0.20027005492040628</v>
      </c>
      <c r="T138" s="62">
        <f t="shared" si="76"/>
        <v>7.5968454461413978E-3</v>
      </c>
      <c r="U138" s="63">
        <f t="shared" si="77"/>
        <v>6.9714653411831057E-3</v>
      </c>
      <c r="V138" s="64">
        <f t="shared" si="78"/>
        <v>3.67601033956662E-3</v>
      </c>
      <c r="W138" s="65">
        <f t="shared" si="79"/>
        <v>15.312543413483425</v>
      </c>
      <c r="X138" s="65">
        <f t="shared" si="80"/>
        <v>5.6289067913027818E-2</v>
      </c>
      <c r="Y138" s="72">
        <v>15.3127</v>
      </c>
      <c r="Z138" s="72">
        <v>15.4518</v>
      </c>
      <c r="AA138" s="71">
        <v>1517</v>
      </c>
      <c r="AB138" s="71">
        <v>37134961.229999997</v>
      </c>
      <c r="AC138" s="71"/>
      <c r="AD138" s="71">
        <v>67704.17</v>
      </c>
      <c r="AE138" s="72">
        <v>37067257.060000002</v>
      </c>
      <c r="AF138" s="44"/>
    </row>
    <row r="139" spans="1:241" ht="15" customHeight="1" x14ac:dyDescent="0.25">
      <c r="A139" s="140"/>
      <c r="B139" s="23"/>
      <c r="C139" s="125" t="s">
        <v>50</v>
      </c>
      <c r="D139" s="82">
        <f>SUM(D136:D138)</f>
        <v>1637701102.5</v>
      </c>
      <c r="E139" s="82"/>
      <c r="F139" s="82">
        <f>SUM(F136:F138)</f>
        <v>566647686.77999997</v>
      </c>
      <c r="G139" s="82">
        <f>SUM(G136:G138)</f>
        <v>653020414.31000006</v>
      </c>
      <c r="H139" s="82">
        <f>SUM(H136:H138)</f>
        <v>559864.25</v>
      </c>
      <c r="I139" s="82"/>
      <c r="J139" s="82">
        <f t="shared" ref="J139:O139" si="81">SUM(J136:J138)</f>
        <v>2626870698.6700001</v>
      </c>
      <c r="K139" s="82">
        <f t="shared" si="81"/>
        <v>23905195.48</v>
      </c>
      <c r="L139" s="82">
        <f t="shared" si="81"/>
        <v>11937338.83</v>
      </c>
      <c r="M139" s="82">
        <f t="shared" si="81"/>
        <v>184332725.71999997</v>
      </c>
      <c r="N139" s="82">
        <f t="shared" si="81"/>
        <v>2861279122.8600001</v>
      </c>
      <c r="O139" s="82">
        <f t="shared" si="81"/>
        <v>27136079.48</v>
      </c>
      <c r="P139" s="101">
        <f>SUM(P136:P138)</f>
        <v>2793083794.9299998</v>
      </c>
      <c r="Q139" s="84">
        <f>(P139/$P$153)</f>
        <v>2.0320127600430477E-3</v>
      </c>
      <c r="R139" s="101">
        <f>SUM(R136:R138)</f>
        <v>2834143043.3800001</v>
      </c>
      <c r="S139" s="84">
        <f>(R139/$R$153)</f>
        <v>2.0686793204315605E-3</v>
      </c>
      <c r="T139" s="85">
        <f>((R139-P139)/P139)</f>
        <v>1.4700328190844453E-2</v>
      </c>
      <c r="U139" s="86"/>
      <c r="V139" s="87"/>
      <c r="W139" s="88"/>
      <c r="X139" s="88"/>
      <c r="Y139" s="82"/>
      <c r="Z139" s="82"/>
      <c r="AA139" s="89">
        <f>SUM(AA136:AA138)</f>
        <v>11005</v>
      </c>
      <c r="AB139" s="89"/>
      <c r="AC139" s="89"/>
      <c r="AD139" s="89"/>
      <c r="AE139" s="139"/>
      <c r="AF139" s="44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7"/>
      <c r="GA139" s="17"/>
      <c r="GB139" s="17"/>
      <c r="GC139" s="17"/>
      <c r="GD139" s="17"/>
      <c r="GE139" s="17"/>
      <c r="GF139" s="17"/>
      <c r="GG139" s="17"/>
      <c r="GH139" s="17"/>
      <c r="GI139" s="17"/>
      <c r="GJ139" s="17"/>
      <c r="GK139" s="17"/>
      <c r="GL139" s="17"/>
      <c r="GM139" s="17"/>
      <c r="GN139" s="17"/>
      <c r="GO139" s="17"/>
      <c r="GP139" s="17"/>
      <c r="GQ139" s="17"/>
      <c r="GR139" s="17"/>
      <c r="GS139" s="17"/>
      <c r="GT139" s="17"/>
      <c r="GU139" s="17"/>
      <c r="GV139" s="17"/>
      <c r="GW139" s="17"/>
      <c r="GX139" s="17"/>
      <c r="GY139" s="17"/>
      <c r="GZ139" s="17"/>
      <c r="HA139" s="17"/>
      <c r="HB139" s="17"/>
      <c r="HC139" s="17"/>
      <c r="HD139" s="17"/>
      <c r="HE139" s="17"/>
      <c r="HF139" s="17"/>
      <c r="HG139" s="17"/>
      <c r="HH139" s="17"/>
      <c r="HI139" s="17"/>
      <c r="HJ139" s="17"/>
      <c r="HK139" s="17"/>
      <c r="HL139" s="17"/>
      <c r="HM139" s="17"/>
      <c r="HN139" s="17"/>
      <c r="HO139" s="17"/>
      <c r="HP139" s="17"/>
      <c r="HQ139" s="17"/>
      <c r="HR139" s="17"/>
      <c r="HS139" s="17"/>
      <c r="HT139" s="17"/>
      <c r="HU139" s="17"/>
      <c r="HV139" s="17"/>
      <c r="HW139" s="17"/>
      <c r="HX139" s="17"/>
      <c r="HY139" s="17"/>
      <c r="HZ139" s="17"/>
      <c r="IA139" s="17"/>
      <c r="IB139" s="17"/>
      <c r="IC139" s="17"/>
      <c r="ID139" s="17"/>
      <c r="IE139" s="17"/>
      <c r="IF139" s="17"/>
      <c r="IG139" s="17"/>
    </row>
    <row r="140" spans="1:241" ht="15.75" customHeight="1" x14ac:dyDescent="0.25">
      <c r="A140" s="155" t="s">
        <v>173</v>
      </c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7"/>
      <c r="AF140" s="44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  <c r="FY140" s="17"/>
      <c r="FZ140" s="17"/>
      <c r="GA140" s="17"/>
      <c r="GB140" s="17"/>
      <c r="GC140" s="17"/>
      <c r="GD140" s="17"/>
      <c r="GE140" s="17"/>
      <c r="GF140" s="17"/>
      <c r="GG140" s="17"/>
      <c r="GH140" s="17"/>
      <c r="GI140" s="17"/>
      <c r="GJ140" s="17"/>
      <c r="GK140" s="17"/>
      <c r="GL140" s="17"/>
      <c r="GM140" s="17"/>
      <c r="GN140" s="17"/>
      <c r="GO140" s="17"/>
      <c r="GP140" s="17"/>
      <c r="GQ140" s="17"/>
      <c r="GR140" s="17"/>
      <c r="GS140" s="17"/>
      <c r="GT140" s="17"/>
      <c r="GU140" s="17"/>
      <c r="GV140" s="17"/>
      <c r="GW140" s="17"/>
      <c r="GX140" s="17"/>
      <c r="GY140" s="17"/>
      <c r="GZ140" s="17"/>
      <c r="HA140" s="17"/>
      <c r="HB140" s="17"/>
      <c r="HC140" s="17"/>
      <c r="HD140" s="17"/>
      <c r="HE140" s="17"/>
      <c r="HF140" s="17"/>
      <c r="HG140" s="17"/>
      <c r="HH140" s="17"/>
      <c r="HI140" s="17"/>
      <c r="HJ140" s="17"/>
      <c r="HK140" s="17"/>
      <c r="HL140" s="17"/>
      <c r="HM140" s="17"/>
      <c r="HN140" s="17"/>
      <c r="HO140" s="17"/>
      <c r="HP140" s="17"/>
      <c r="HQ140" s="17"/>
      <c r="HR140" s="17"/>
      <c r="HS140" s="17"/>
      <c r="HT140" s="17"/>
      <c r="HU140" s="17"/>
      <c r="HV140" s="17"/>
      <c r="HW140" s="17"/>
      <c r="HX140" s="17"/>
      <c r="HY140" s="17"/>
      <c r="HZ140" s="17"/>
      <c r="IA140" s="17"/>
      <c r="IB140" s="17"/>
      <c r="IC140" s="17"/>
      <c r="ID140" s="17"/>
      <c r="IE140" s="17"/>
      <c r="IF140" s="17"/>
      <c r="IG140" s="17"/>
    </row>
    <row r="141" spans="1:241" ht="15.75" customHeight="1" x14ac:dyDescent="0.25">
      <c r="A141" s="158" t="s">
        <v>2</v>
      </c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60"/>
      <c r="AF141" s="44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  <c r="FY141" s="17"/>
      <c r="FZ141" s="17"/>
      <c r="GA141" s="17"/>
      <c r="GB141" s="17"/>
      <c r="GC141" s="17"/>
      <c r="GD141" s="17"/>
      <c r="GE141" s="17"/>
      <c r="GF141" s="17"/>
      <c r="GG141" s="17"/>
      <c r="GH141" s="17"/>
      <c r="GI141" s="17"/>
      <c r="GJ141" s="17"/>
      <c r="GK141" s="17"/>
      <c r="GL141" s="17"/>
      <c r="GM141" s="17"/>
      <c r="GN141" s="17"/>
      <c r="GO141" s="17"/>
      <c r="GP141" s="17"/>
      <c r="GQ141" s="17"/>
      <c r="GR141" s="17"/>
      <c r="GS141" s="17"/>
      <c r="GT141" s="17"/>
      <c r="GU141" s="17"/>
      <c r="GV141" s="17"/>
      <c r="GW141" s="17"/>
      <c r="GX141" s="17"/>
      <c r="GY141" s="17"/>
      <c r="GZ141" s="17"/>
      <c r="HA141" s="17"/>
      <c r="HB141" s="17"/>
      <c r="HC141" s="17"/>
      <c r="HD141" s="17"/>
      <c r="HE141" s="17"/>
      <c r="HF141" s="17"/>
      <c r="HG141" s="17"/>
      <c r="HH141" s="17"/>
      <c r="HI141" s="17"/>
      <c r="HJ141" s="17"/>
      <c r="HK141" s="17"/>
      <c r="HL141" s="17"/>
      <c r="HM141" s="17"/>
      <c r="HN141" s="17"/>
      <c r="HO141" s="17"/>
      <c r="HP141" s="17"/>
      <c r="HQ141" s="17"/>
      <c r="HR141" s="17"/>
      <c r="HS141" s="17"/>
      <c r="HT141" s="17"/>
      <c r="HU141" s="17"/>
      <c r="HV141" s="17"/>
      <c r="HW141" s="17"/>
      <c r="HX141" s="17"/>
      <c r="HY141" s="17"/>
      <c r="HZ141" s="17"/>
      <c r="IA141" s="17"/>
      <c r="IB141" s="17"/>
      <c r="IC141" s="17"/>
      <c r="ID141" s="17"/>
      <c r="IE141" s="17"/>
      <c r="IF141" s="17"/>
      <c r="IG141" s="17"/>
    </row>
    <row r="142" spans="1:241" ht="15.75" customHeight="1" x14ac:dyDescent="0.25">
      <c r="A142" s="52">
        <v>121</v>
      </c>
      <c r="B142" s="49" t="s">
        <v>158</v>
      </c>
      <c r="C142" s="48" t="s">
        <v>104</v>
      </c>
      <c r="D142" s="59">
        <v>1407573024.4000001</v>
      </c>
      <c r="E142" s="92"/>
      <c r="F142" s="59"/>
      <c r="G142" s="72">
        <v>1051451140.11</v>
      </c>
      <c r="H142" s="72"/>
      <c r="I142" s="59">
        <f>974774815.27+1434.36</f>
        <v>974776249.63</v>
      </c>
      <c r="J142" s="141">
        <v>3433800414.1399999</v>
      </c>
      <c r="K142" s="97">
        <v>49174159.659999996</v>
      </c>
      <c r="L142" s="59">
        <v>10993875.84</v>
      </c>
      <c r="M142" s="58">
        <v>133955173.62</v>
      </c>
      <c r="N142" s="59">
        <v>3756640111.4499998</v>
      </c>
      <c r="O142" s="59">
        <v>313996464.73000002</v>
      </c>
      <c r="P142" s="60">
        <v>3309537908.1700001</v>
      </c>
      <c r="Q142" s="61">
        <f>(P142/$P$152)</f>
        <v>0.16994135008628866</v>
      </c>
      <c r="R142" s="60">
        <v>3442643646.7199998</v>
      </c>
      <c r="S142" s="61">
        <f>(R142/$R$152)</f>
        <v>0.15104244948455162</v>
      </c>
      <c r="T142" s="62">
        <f>((R142-P142)/P142)</f>
        <v>4.0218828804290736E-2</v>
      </c>
      <c r="U142" s="63">
        <f>(L142/R142)</f>
        <v>3.1934399746759976E-3</v>
      </c>
      <c r="V142" s="64">
        <f>M142/R142</f>
        <v>3.8910554610444979E-2</v>
      </c>
      <c r="W142" s="65">
        <f>R142/AE142</f>
        <v>1.6986070159756312</v>
      </c>
      <c r="X142" s="65">
        <f>M142/AE142</f>
        <v>6.6093741056804794E-2</v>
      </c>
      <c r="Y142" s="97">
        <v>1.69</v>
      </c>
      <c r="Z142" s="97">
        <v>1.72</v>
      </c>
      <c r="AA142" s="142">
        <v>15265</v>
      </c>
      <c r="AB142" s="97">
        <v>2025605126</v>
      </c>
      <c r="AC142" s="97">
        <v>2041411</v>
      </c>
      <c r="AD142" s="97">
        <v>901319</v>
      </c>
      <c r="AE142" s="55">
        <v>2026745217.9000001</v>
      </c>
      <c r="AF142" s="44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  <c r="FY142" s="17"/>
      <c r="FZ142" s="17"/>
      <c r="GA142" s="17"/>
      <c r="GB142" s="17"/>
      <c r="GC142" s="17"/>
      <c r="GD142" s="17"/>
      <c r="GE142" s="17"/>
      <c r="GF142" s="17"/>
      <c r="GG142" s="17"/>
      <c r="GH142" s="17"/>
      <c r="GI142" s="17"/>
      <c r="GJ142" s="17"/>
      <c r="GK142" s="17"/>
      <c r="GL142" s="17"/>
      <c r="GM142" s="17"/>
      <c r="GN142" s="17"/>
      <c r="GO142" s="17"/>
      <c r="GP142" s="17"/>
      <c r="GQ142" s="17"/>
      <c r="GR142" s="17"/>
      <c r="GS142" s="17"/>
      <c r="GT142" s="17"/>
      <c r="GU142" s="17"/>
      <c r="GV142" s="17"/>
      <c r="GW142" s="17"/>
      <c r="GX142" s="17"/>
      <c r="GY142" s="17"/>
      <c r="GZ142" s="17"/>
      <c r="HA142" s="17"/>
      <c r="HB142" s="17"/>
      <c r="HC142" s="17"/>
      <c r="HD142" s="17"/>
      <c r="HE142" s="17"/>
      <c r="HF142" s="17"/>
      <c r="HG142" s="17"/>
      <c r="HH142" s="17"/>
      <c r="HI142" s="17"/>
      <c r="HJ142" s="17"/>
      <c r="HK142" s="17"/>
      <c r="HL142" s="17"/>
      <c r="HM142" s="17"/>
      <c r="HN142" s="17"/>
      <c r="HO142" s="17"/>
      <c r="HP142" s="17"/>
      <c r="HQ142" s="17"/>
      <c r="HR142" s="17"/>
      <c r="HS142" s="17"/>
      <c r="HT142" s="17"/>
      <c r="HU142" s="17"/>
      <c r="HV142" s="17"/>
      <c r="HW142" s="17"/>
      <c r="HX142" s="17"/>
      <c r="HY142" s="17"/>
      <c r="HZ142" s="17"/>
      <c r="IA142" s="17"/>
      <c r="IB142" s="17"/>
      <c r="IC142" s="17"/>
      <c r="ID142" s="17"/>
      <c r="IE142" s="17"/>
      <c r="IF142" s="17"/>
      <c r="IG142" s="17"/>
    </row>
    <row r="143" spans="1:241" ht="15.75" customHeight="1" x14ac:dyDescent="0.25">
      <c r="A143" s="52">
        <v>122</v>
      </c>
      <c r="B143" s="48" t="s">
        <v>141</v>
      </c>
      <c r="C143" s="48" t="s">
        <v>23</v>
      </c>
      <c r="D143" s="55">
        <v>197395115</v>
      </c>
      <c r="E143" s="55"/>
      <c r="F143" s="55">
        <v>68303345.299999997</v>
      </c>
      <c r="G143" s="55">
        <v>21303511.210000001</v>
      </c>
      <c r="H143" s="55"/>
      <c r="I143" s="55"/>
      <c r="J143" s="55">
        <v>287792578.31</v>
      </c>
      <c r="K143" s="55">
        <v>2494126.81</v>
      </c>
      <c r="L143" s="55">
        <v>809077.7</v>
      </c>
      <c r="M143" s="58">
        <v>2169586.96</v>
      </c>
      <c r="N143" s="72">
        <v>290019077.32999998</v>
      </c>
      <c r="O143" s="72">
        <v>5607667.2300000004</v>
      </c>
      <c r="P143" s="75">
        <v>285262954.83999997</v>
      </c>
      <c r="Q143" s="61">
        <f>(P143/$P$152)</f>
        <v>1.4647957817748445E-2</v>
      </c>
      <c r="R143" s="75">
        <v>284411410.10000002</v>
      </c>
      <c r="S143" s="61">
        <f>(R143/$R$152)</f>
        <v>1.2478258121135493E-2</v>
      </c>
      <c r="T143" s="62">
        <f>((R143-P143)/P143)</f>
        <v>-2.985122062125345E-3</v>
      </c>
      <c r="U143" s="63">
        <f>(L143/R143)</f>
        <v>2.8447441673156693E-3</v>
      </c>
      <c r="V143" s="64">
        <f>M143/R143</f>
        <v>7.6283400839550208E-3</v>
      </c>
      <c r="W143" s="65">
        <f>R143/AE143</f>
        <v>253.86620994837662</v>
      </c>
      <c r="X143" s="65">
        <f>M143/AE143</f>
        <v>1.9365777853109423</v>
      </c>
      <c r="Y143" s="72">
        <v>252.06</v>
      </c>
      <c r="Z143" s="72">
        <v>255.1</v>
      </c>
      <c r="AA143" s="71">
        <v>511</v>
      </c>
      <c r="AB143" s="71">
        <v>1134377.7</v>
      </c>
      <c r="AC143" s="71">
        <v>7117.97</v>
      </c>
      <c r="AD143" s="71">
        <v>21175.599999999999</v>
      </c>
      <c r="AE143" s="55">
        <v>1120320.07</v>
      </c>
      <c r="AF143" s="44"/>
    </row>
    <row r="144" spans="1:241" ht="4.5" customHeight="1" x14ac:dyDescent="0.25">
      <c r="A144" s="117"/>
      <c r="B144" s="118"/>
      <c r="C144" s="118"/>
      <c r="D144" s="55"/>
      <c r="E144" s="55"/>
      <c r="F144" s="55"/>
      <c r="G144" s="55"/>
      <c r="H144" s="55"/>
      <c r="I144" s="55"/>
      <c r="J144" s="55"/>
      <c r="K144" s="55"/>
      <c r="L144" s="55">
        <v>6</v>
      </c>
      <c r="M144" s="58"/>
      <c r="N144" s="72"/>
      <c r="O144" s="72"/>
      <c r="P144" s="98"/>
      <c r="Q144" s="61"/>
      <c r="R144" s="75"/>
      <c r="S144" s="61"/>
      <c r="T144" s="62"/>
      <c r="U144" s="63"/>
      <c r="V144" s="64"/>
      <c r="W144" s="65"/>
      <c r="X144" s="65"/>
      <c r="Y144" s="72"/>
      <c r="Z144" s="72"/>
      <c r="AA144" s="71"/>
      <c r="AB144" s="71"/>
      <c r="AC144" s="71"/>
      <c r="AD144" s="71"/>
      <c r="AE144" s="72"/>
      <c r="AF144" s="44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  <c r="FY144" s="17"/>
      <c r="FZ144" s="17"/>
      <c r="GA144" s="17"/>
      <c r="GB144" s="17"/>
      <c r="GC144" s="17"/>
      <c r="GD144" s="17"/>
      <c r="GE144" s="17"/>
      <c r="GF144" s="17"/>
      <c r="GG144" s="17"/>
      <c r="GH144" s="17"/>
      <c r="GI144" s="17"/>
      <c r="GJ144" s="17"/>
      <c r="GK144" s="17"/>
      <c r="GL144" s="17"/>
      <c r="GM144" s="17"/>
      <c r="GN144" s="17"/>
      <c r="GO144" s="17"/>
      <c r="GP144" s="17"/>
      <c r="GQ144" s="17"/>
      <c r="GR144" s="17"/>
      <c r="GS144" s="17"/>
      <c r="GT144" s="17"/>
      <c r="GU144" s="17"/>
      <c r="GV144" s="17"/>
      <c r="GW144" s="17"/>
      <c r="GX144" s="17"/>
      <c r="GY144" s="17"/>
      <c r="GZ144" s="17"/>
      <c r="HA144" s="17"/>
      <c r="HB144" s="17"/>
      <c r="HC144" s="17"/>
      <c r="HD144" s="17"/>
      <c r="HE144" s="17"/>
      <c r="HF144" s="17"/>
      <c r="HG144" s="17"/>
      <c r="HH144" s="17"/>
      <c r="HI144" s="17"/>
      <c r="HJ144" s="17"/>
      <c r="HK144" s="17"/>
      <c r="HL144" s="17"/>
      <c r="HM144" s="17"/>
      <c r="HN144" s="17"/>
      <c r="HO144" s="17"/>
      <c r="HP144" s="17"/>
      <c r="HQ144" s="17"/>
      <c r="HR144" s="17"/>
      <c r="HS144" s="17"/>
      <c r="HT144" s="17"/>
      <c r="HU144" s="17"/>
      <c r="HV144" s="17"/>
      <c r="HW144" s="17"/>
      <c r="HX144" s="17"/>
      <c r="HY144" s="17"/>
      <c r="HZ144" s="17"/>
      <c r="IA144" s="17"/>
      <c r="IB144" s="17"/>
      <c r="IC144" s="17"/>
      <c r="ID144" s="17"/>
      <c r="IE144" s="17"/>
      <c r="IF144" s="17"/>
      <c r="IG144" s="17"/>
    </row>
    <row r="145" spans="1:241" ht="15.75" customHeight="1" x14ac:dyDescent="0.25">
      <c r="A145" s="158" t="s">
        <v>211</v>
      </c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60"/>
      <c r="AF145" s="44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  <c r="FY145" s="17"/>
      <c r="FZ145" s="17"/>
      <c r="GA145" s="17"/>
      <c r="GB145" s="17"/>
      <c r="GC145" s="17"/>
      <c r="GD145" s="17"/>
      <c r="GE145" s="17"/>
      <c r="GF145" s="17"/>
      <c r="GG145" s="17"/>
      <c r="GH145" s="17"/>
      <c r="GI145" s="17"/>
      <c r="GJ145" s="17"/>
      <c r="GK145" s="17"/>
      <c r="GL145" s="17"/>
      <c r="GM145" s="17"/>
      <c r="GN145" s="17"/>
      <c r="GO145" s="17"/>
      <c r="GP145" s="17"/>
      <c r="GQ145" s="17"/>
      <c r="GR145" s="17"/>
      <c r="GS145" s="17"/>
      <c r="GT145" s="17"/>
      <c r="GU145" s="17"/>
      <c r="GV145" s="17"/>
      <c r="GW145" s="17"/>
      <c r="GX145" s="17"/>
      <c r="GY145" s="17"/>
      <c r="GZ145" s="17"/>
      <c r="HA145" s="17"/>
      <c r="HB145" s="17"/>
      <c r="HC145" s="17"/>
      <c r="HD145" s="17"/>
      <c r="HE145" s="17"/>
      <c r="HF145" s="17"/>
      <c r="HG145" s="17"/>
      <c r="HH145" s="17"/>
      <c r="HI145" s="17"/>
      <c r="HJ145" s="17"/>
      <c r="HK145" s="17"/>
      <c r="HL145" s="17"/>
      <c r="HM145" s="17"/>
      <c r="HN145" s="17"/>
      <c r="HO145" s="17"/>
      <c r="HP145" s="17"/>
      <c r="HQ145" s="17"/>
      <c r="HR145" s="17"/>
      <c r="HS145" s="17"/>
      <c r="HT145" s="17"/>
      <c r="HU145" s="17"/>
      <c r="HV145" s="17"/>
      <c r="HW145" s="17"/>
      <c r="HX145" s="17"/>
      <c r="HY145" s="17"/>
      <c r="HZ145" s="17"/>
      <c r="IA145" s="17"/>
      <c r="IB145" s="17"/>
      <c r="IC145" s="17"/>
      <c r="ID145" s="17"/>
      <c r="IE145" s="17"/>
      <c r="IF145" s="17"/>
      <c r="IG145" s="17"/>
    </row>
    <row r="146" spans="1:241" ht="15.75" customHeight="1" x14ac:dyDescent="0.25">
      <c r="A146" s="52">
        <v>123</v>
      </c>
      <c r="B146" s="49" t="s">
        <v>190</v>
      </c>
      <c r="C146" s="48" t="s">
        <v>185</v>
      </c>
      <c r="D146" s="54"/>
      <c r="E146" s="54"/>
      <c r="F146" s="54"/>
      <c r="G146" s="54">
        <v>236525971</v>
      </c>
      <c r="H146" s="54"/>
      <c r="I146" s="55"/>
      <c r="J146" s="54">
        <v>236525971</v>
      </c>
      <c r="K146" s="55">
        <v>3709790</v>
      </c>
      <c r="L146" s="55">
        <v>850491</v>
      </c>
      <c r="M146" s="58">
        <v>2859299</v>
      </c>
      <c r="N146" s="72">
        <v>474531661.00999999</v>
      </c>
      <c r="O146" s="72">
        <v>2884551.15</v>
      </c>
      <c r="P146" s="75">
        <v>469056191</v>
      </c>
      <c r="Q146" s="61">
        <f>(P146/$P$152)</f>
        <v>2.4085550483677234E-2</v>
      </c>
      <c r="R146" s="75">
        <v>471647110</v>
      </c>
      <c r="S146" s="61">
        <f>(R146/$R$152)</f>
        <v>2.0693031895584926E-2</v>
      </c>
      <c r="T146" s="62">
        <f t="shared" ref="T146:T152" si="82">((R146-P146)/P146)</f>
        <v>5.5236857538887062E-3</v>
      </c>
      <c r="U146" s="63">
        <f>(L146/R146)</f>
        <v>1.8032358981273095E-3</v>
      </c>
      <c r="V146" s="64">
        <f>M146/R146</f>
        <v>6.062369384601975E-3</v>
      </c>
      <c r="W146" s="65">
        <f>R146/AE146</f>
        <v>1016.9761780522409</v>
      </c>
      <c r="X146" s="65">
        <f>M146/AE146</f>
        <v>6.1652852466934327</v>
      </c>
      <c r="Y146" s="72">
        <v>1016.98</v>
      </c>
      <c r="Z146" s="72">
        <v>1016.98</v>
      </c>
      <c r="AA146" s="92">
        <v>23</v>
      </c>
      <c r="AB146" s="72">
        <v>463381</v>
      </c>
      <c r="AC146" s="72">
        <v>393</v>
      </c>
      <c r="AD146" s="72"/>
      <c r="AE146" s="55">
        <v>463774</v>
      </c>
      <c r="AF146" s="44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  <c r="FY146" s="17"/>
      <c r="FZ146" s="17"/>
      <c r="GA146" s="17"/>
      <c r="GB146" s="17"/>
      <c r="GC146" s="17"/>
      <c r="GD146" s="17"/>
      <c r="GE146" s="17"/>
      <c r="GF146" s="17"/>
      <c r="GG146" s="17"/>
      <c r="GH146" s="17"/>
      <c r="GI146" s="17"/>
      <c r="GJ146" s="17"/>
      <c r="GK146" s="17"/>
      <c r="GL146" s="17"/>
      <c r="GM146" s="17"/>
      <c r="GN146" s="17"/>
      <c r="GO146" s="17"/>
      <c r="GP146" s="17"/>
      <c r="GQ146" s="17"/>
      <c r="GR146" s="17"/>
      <c r="GS146" s="17"/>
      <c r="GT146" s="17"/>
      <c r="GU146" s="17"/>
      <c r="GV146" s="17"/>
      <c r="GW146" s="17"/>
      <c r="GX146" s="17"/>
      <c r="GY146" s="17"/>
      <c r="GZ146" s="17"/>
      <c r="HA146" s="17"/>
      <c r="HB146" s="17"/>
      <c r="HC146" s="17"/>
      <c r="HD146" s="17"/>
      <c r="HE146" s="17"/>
      <c r="HF146" s="17"/>
      <c r="HG146" s="17"/>
      <c r="HH146" s="17"/>
      <c r="HI146" s="17"/>
      <c r="HJ146" s="17"/>
      <c r="HK146" s="17"/>
      <c r="HL146" s="17"/>
      <c r="HM146" s="17"/>
      <c r="HN146" s="17"/>
      <c r="HO146" s="17"/>
      <c r="HP146" s="17"/>
      <c r="HQ146" s="17"/>
      <c r="HR146" s="17"/>
      <c r="HS146" s="17"/>
      <c r="HT146" s="17"/>
      <c r="HU146" s="17"/>
      <c r="HV146" s="17"/>
      <c r="HW146" s="17"/>
      <c r="HX146" s="17"/>
      <c r="HY146" s="17"/>
      <c r="HZ146" s="17"/>
      <c r="IA146" s="17"/>
      <c r="IB146" s="17"/>
      <c r="IC146" s="17"/>
      <c r="ID146" s="17"/>
      <c r="IE146" s="17"/>
      <c r="IF146" s="17"/>
      <c r="IG146" s="17"/>
    </row>
    <row r="147" spans="1:241" ht="15.75" customHeight="1" x14ac:dyDescent="0.25">
      <c r="A147" s="52">
        <v>124</v>
      </c>
      <c r="B147" s="49" t="s">
        <v>212</v>
      </c>
      <c r="C147" s="49" t="s">
        <v>63</v>
      </c>
      <c r="D147" s="54"/>
      <c r="E147" s="54"/>
      <c r="F147" s="54">
        <v>6869682.5300000003</v>
      </c>
      <c r="G147" s="54">
        <v>10717181.17</v>
      </c>
      <c r="H147" s="54"/>
      <c r="I147" s="55"/>
      <c r="J147" s="54">
        <v>17586863.699999999</v>
      </c>
      <c r="K147" s="55">
        <v>519532.36</v>
      </c>
      <c r="L147" s="55">
        <v>237315.23</v>
      </c>
      <c r="M147" s="58">
        <v>282217.13</v>
      </c>
      <c r="N147" s="72">
        <v>49908935.590000004</v>
      </c>
      <c r="O147" s="72">
        <v>1039460.42</v>
      </c>
      <c r="P147" s="75">
        <v>49101939.020000003</v>
      </c>
      <c r="Q147" s="61">
        <f>(P147/$P$152)</f>
        <v>2.5213338056391862E-3</v>
      </c>
      <c r="R147" s="75">
        <v>48869475.170000002</v>
      </c>
      <c r="S147" s="61">
        <f t="shared" ref="S147:S151" si="83">(R147/$R$152)</f>
        <v>2.1440979642879726E-3</v>
      </c>
      <c r="T147" s="62">
        <f t="shared" ref="T147:T151" si="84">((R147-P147)/P147)</f>
        <v>-4.734310999517051E-3</v>
      </c>
      <c r="U147" s="63">
        <f t="shared" ref="U147:U151" si="85">(L147/R147)</f>
        <v>4.8561035119461058E-3</v>
      </c>
      <c r="V147" s="64">
        <f t="shared" ref="V147:V151" si="86">M147/R147</f>
        <v>5.7749163259532502E-3</v>
      </c>
      <c r="W147" s="65">
        <f t="shared" ref="W147:W151" si="87">R147/AE147</f>
        <v>101.85745466179502</v>
      </c>
      <c r="X147" s="65">
        <f t="shared" ref="X147:X151" si="88">M147/AE147</f>
        <v>0.58821827784644309</v>
      </c>
      <c r="Y147" s="72">
        <v>101.86</v>
      </c>
      <c r="Z147" s="72">
        <v>101.86</v>
      </c>
      <c r="AA147" s="153">
        <v>52</v>
      </c>
      <c r="AB147" s="72">
        <v>504288</v>
      </c>
      <c r="AC147" s="72">
        <v>5010</v>
      </c>
      <c r="AD147" s="72">
        <v>29515</v>
      </c>
      <c r="AE147" s="55">
        <v>479783</v>
      </c>
      <c r="AF147" s="44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  <c r="FY147" s="17"/>
      <c r="FZ147" s="17"/>
      <c r="GA147" s="17"/>
      <c r="GB147" s="17"/>
      <c r="GC147" s="17"/>
      <c r="GD147" s="17"/>
      <c r="GE147" s="17"/>
      <c r="GF147" s="17"/>
      <c r="GG147" s="17"/>
      <c r="GH147" s="17"/>
      <c r="GI147" s="17"/>
      <c r="GJ147" s="17"/>
      <c r="GK147" s="17"/>
      <c r="GL147" s="17"/>
      <c r="GM147" s="17"/>
      <c r="GN147" s="17"/>
      <c r="GO147" s="17"/>
      <c r="GP147" s="17"/>
      <c r="GQ147" s="17"/>
      <c r="GR147" s="17"/>
      <c r="GS147" s="17"/>
      <c r="GT147" s="17"/>
      <c r="GU147" s="17"/>
      <c r="GV147" s="17"/>
      <c r="GW147" s="17"/>
      <c r="GX147" s="17"/>
      <c r="GY147" s="17"/>
      <c r="GZ147" s="17"/>
      <c r="HA147" s="17"/>
      <c r="HB147" s="17"/>
      <c r="HC147" s="17"/>
      <c r="HD147" s="17"/>
      <c r="HE147" s="17"/>
      <c r="HF147" s="17"/>
      <c r="HG147" s="17"/>
      <c r="HH147" s="17"/>
      <c r="HI147" s="17"/>
      <c r="HJ147" s="17"/>
      <c r="HK147" s="17"/>
      <c r="HL147" s="17"/>
      <c r="HM147" s="17"/>
      <c r="HN147" s="17"/>
      <c r="HO147" s="17"/>
      <c r="HP147" s="17"/>
      <c r="HQ147" s="17"/>
      <c r="HR147" s="17"/>
      <c r="HS147" s="17"/>
      <c r="HT147" s="17"/>
      <c r="HU147" s="17"/>
      <c r="HV147" s="17"/>
      <c r="HW147" s="17"/>
      <c r="HX147" s="17"/>
      <c r="HY147" s="17"/>
      <c r="HZ147" s="17"/>
      <c r="IA147" s="17"/>
      <c r="IB147" s="17"/>
      <c r="IC147" s="17"/>
      <c r="ID147" s="17"/>
      <c r="IE147" s="17"/>
      <c r="IF147" s="17"/>
      <c r="IG147" s="17"/>
    </row>
    <row r="148" spans="1:241" ht="15.75" customHeight="1" x14ac:dyDescent="0.25">
      <c r="A148" s="52">
        <v>125</v>
      </c>
      <c r="B148" s="48" t="s">
        <v>174</v>
      </c>
      <c r="C148" s="48" t="s">
        <v>53</v>
      </c>
      <c r="D148" s="54"/>
      <c r="E148" s="54"/>
      <c r="F148" s="54">
        <v>485508630.91000003</v>
      </c>
      <c r="G148" s="54">
        <v>6265058733.7200003</v>
      </c>
      <c r="H148" s="54"/>
      <c r="I148" s="55"/>
      <c r="J148" s="55">
        <v>6696760660.3000002</v>
      </c>
      <c r="K148" s="55">
        <v>83769441.290000007</v>
      </c>
      <c r="L148" s="55">
        <v>11245263.800000001</v>
      </c>
      <c r="M148" s="58">
        <v>72524177.489999995</v>
      </c>
      <c r="N148" s="72">
        <v>6732335584.6899996</v>
      </c>
      <c r="O148" s="72">
        <v>35574924.390000001</v>
      </c>
      <c r="P148" s="75">
        <v>6662567644.5100002</v>
      </c>
      <c r="Q148" s="61">
        <f>(P148/$P$152)</f>
        <v>0.34211596058596766</v>
      </c>
      <c r="R148" s="75">
        <v>6696760660.3000002</v>
      </c>
      <c r="S148" s="61">
        <f t="shared" si="83"/>
        <v>0.29381348682638225</v>
      </c>
      <c r="T148" s="62">
        <f t="shared" si="84"/>
        <v>5.1321078620755519E-3</v>
      </c>
      <c r="U148" s="63">
        <f t="shared" si="85"/>
        <v>1.6792094522153995E-3</v>
      </c>
      <c r="V148" s="64">
        <f t="shared" si="86"/>
        <v>1.0829740104038759E-2</v>
      </c>
      <c r="W148" s="65">
        <f t="shared" si="87"/>
        <v>0.99962629288580607</v>
      </c>
      <c r="X148" s="65">
        <f t="shared" si="88"/>
        <v>1.0825692953117009E-2</v>
      </c>
      <c r="Y148" s="72">
        <v>121.66</v>
      </c>
      <c r="Z148" s="72">
        <v>121.66</v>
      </c>
      <c r="AA148" s="71">
        <v>437</v>
      </c>
      <c r="AB148" s="71">
        <v>6696760660</v>
      </c>
      <c r="AC148" s="71">
        <v>3702640</v>
      </c>
      <c r="AD148" s="71">
        <v>1199077</v>
      </c>
      <c r="AE148" s="55">
        <v>6699264223</v>
      </c>
      <c r="AF148" s="44"/>
      <c r="AG148" s="43"/>
    </row>
    <row r="149" spans="1:241" ht="15.75" customHeight="1" x14ac:dyDescent="0.25">
      <c r="A149" s="52">
        <v>126</v>
      </c>
      <c r="B149" s="48" t="s">
        <v>147</v>
      </c>
      <c r="C149" s="48" t="s">
        <v>219</v>
      </c>
      <c r="D149" s="54"/>
      <c r="E149" s="54"/>
      <c r="F149" s="54"/>
      <c r="G149" s="54">
        <v>301966797.44999999</v>
      </c>
      <c r="H149" s="54"/>
      <c r="I149" s="55">
        <f>31245022.37+2548180.65</f>
        <v>33793203.020000003</v>
      </c>
      <c r="J149" s="55">
        <v>335760000.47000003</v>
      </c>
      <c r="K149" s="55">
        <v>3087744.12</v>
      </c>
      <c r="L149" s="55">
        <v>677141.06</v>
      </c>
      <c r="M149" s="58">
        <v>2410603.06</v>
      </c>
      <c r="N149" s="72">
        <v>339578111.73000002</v>
      </c>
      <c r="O149" s="72">
        <v>3283530.97</v>
      </c>
      <c r="P149" s="75">
        <v>333499555.94999999</v>
      </c>
      <c r="Q149" s="61">
        <f>(P149/$P$152)</f>
        <v>1.7124857416321075E-2</v>
      </c>
      <c r="R149" s="75">
        <v>336294580.75999999</v>
      </c>
      <c r="S149" s="61">
        <f t="shared" si="83"/>
        <v>1.475457887567474E-2</v>
      </c>
      <c r="T149" s="62">
        <f t="shared" si="84"/>
        <v>8.3808951470359591E-3</v>
      </c>
      <c r="U149" s="63">
        <f t="shared" si="85"/>
        <v>2.0135354499906397E-3</v>
      </c>
      <c r="V149" s="64">
        <f t="shared" si="86"/>
        <v>7.1681293660820281E-3</v>
      </c>
      <c r="W149" s="65">
        <f t="shared" si="87"/>
        <v>102.0019086645087</v>
      </c>
      <c r="X149" s="65">
        <f t="shared" si="88"/>
        <v>0.73116287689448167</v>
      </c>
      <c r="Y149" s="72">
        <v>102</v>
      </c>
      <c r="Z149" s="72">
        <v>102</v>
      </c>
      <c r="AA149" s="71">
        <v>264</v>
      </c>
      <c r="AB149" s="71">
        <v>3304892</v>
      </c>
      <c r="AC149" s="71">
        <v>430815</v>
      </c>
      <c r="AD149" s="71">
        <v>438763</v>
      </c>
      <c r="AE149" s="55">
        <v>3296944</v>
      </c>
      <c r="AF149" s="44"/>
    </row>
    <row r="150" spans="1:241" ht="15.75" customHeight="1" x14ac:dyDescent="0.25">
      <c r="A150" s="52">
        <v>127</v>
      </c>
      <c r="B150" s="49" t="s">
        <v>113</v>
      </c>
      <c r="C150" s="49" t="s">
        <v>23</v>
      </c>
      <c r="D150" s="54"/>
      <c r="E150" s="54"/>
      <c r="F150" s="54">
        <v>481996060.57999998</v>
      </c>
      <c r="G150" s="54">
        <v>5952389803.0299997</v>
      </c>
      <c r="H150" s="54"/>
      <c r="I150" s="55"/>
      <c r="J150" s="55">
        <v>6434385863.6099997</v>
      </c>
      <c r="K150" s="55">
        <v>28568709.59</v>
      </c>
      <c r="L150" s="55">
        <v>10286213.66</v>
      </c>
      <c r="M150" s="58">
        <v>18282495.93</v>
      </c>
      <c r="N150" s="72">
        <v>9343885779.2700005</v>
      </c>
      <c r="O150" s="72">
        <v>60407409.170000002</v>
      </c>
      <c r="P150" s="75">
        <v>6494350937.8100004</v>
      </c>
      <c r="Q150" s="61">
        <f>(P150/$P$152)</f>
        <v>0.33347820660433269</v>
      </c>
      <c r="R150" s="75">
        <v>9283478370.1000004</v>
      </c>
      <c r="S150" s="61">
        <f t="shared" si="83"/>
        <v>0.40730306608780464</v>
      </c>
      <c r="T150" s="62">
        <f t="shared" si="84"/>
        <v>0.42946977442376078</v>
      </c>
      <c r="U150" s="63">
        <f t="shared" si="85"/>
        <v>1.1080128858951819E-3</v>
      </c>
      <c r="V150" s="64">
        <f t="shared" si="86"/>
        <v>1.9693583806780672E-3</v>
      </c>
      <c r="W150" s="65">
        <f t="shared" si="87"/>
        <v>120.42365855627429</v>
      </c>
      <c r="X150" s="65">
        <f t="shared" si="88"/>
        <v>0.23715734120971282</v>
      </c>
      <c r="Y150" s="72">
        <v>120.42</v>
      </c>
      <c r="Z150" s="72">
        <v>120.42</v>
      </c>
      <c r="AA150" s="71">
        <v>1501</v>
      </c>
      <c r="AB150" s="71">
        <v>54026014.799999997</v>
      </c>
      <c r="AC150" s="71">
        <v>27955047.699999999</v>
      </c>
      <c r="AD150" s="71">
        <v>4890908.6100000003</v>
      </c>
      <c r="AE150" s="55">
        <v>77090153.890000001</v>
      </c>
      <c r="AF150" s="44"/>
    </row>
    <row r="151" spans="1:241" ht="16.5" customHeight="1" x14ac:dyDescent="0.25">
      <c r="A151" s="52">
        <v>128</v>
      </c>
      <c r="B151" s="48" t="s">
        <v>151</v>
      </c>
      <c r="C151" s="48" t="s">
        <v>33</v>
      </c>
      <c r="D151" s="72"/>
      <c r="E151" s="72"/>
      <c r="F151" s="72"/>
      <c r="G151" s="72">
        <v>1777136485</v>
      </c>
      <c r="H151" s="72"/>
      <c r="I151" s="72"/>
      <c r="J151" s="72">
        <v>1777136485</v>
      </c>
      <c r="K151" s="72">
        <v>16989200</v>
      </c>
      <c r="L151" s="72">
        <v>3593713</v>
      </c>
      <c r="M151" s="58">
        <v>13395488</v>
      </c>
      <c r="N151" s="72">
        <v>2245936756</v>
      </c>
      <c r="O151" s="72">
        <v>17484959.91</v>
      </c>
      <c r="P151" s="75">
        <v>1871211640</v>
      </c>
      <c r="Q151" s="61">
        <f>(P151/$P$82)</f>
        <v>5.1643971811948805E-3</v>
      </c>
      <c r="R151" s="75">
        <v>2228451796</v>
      </c>
      <c r="S151" s="61">
        <f t="shared" si="83"/>
        <v>9.7771030744578311E-2</v>
      </c>
      <c r="T151" s="62">
        <f t="shared" si="84"/>
        <v>0.1909138166754884</v>
      </c>
      <c r="U151" s="63">
        <f t="shared" si="85"/>
        <v>1.6126500947656129E-3</v>
      </c>
      <c r="V151" s="64">
        <f t="shared" si="86"/>
        <v>6.0111185819879407E-3</v>
      </c>
      <c r="W151" s="65">
        <f t="shared" si="87"/>
        <v>1.1053336041096329</v>
      </c>
      <c r="X151" s="65">
        <f t="shared" si="88"/>
        <v>6.644291366959116E-3</v>
      </c>
      <c r="Y151" s="54">
        <v>1.1100000000000001</v>
      </c>
      <c r="Z151" s="54">
        <v>1.1100000000000001</v>
      </c>
      <c r="AA151" s="71">
        <v>116</v>
      </c>
      <c r="AB151" s="67">
        <v>1679939640</v>
      </c>
      <c r="AC151" s="67">
        <v>390314195</v>
      </c>
      <c r="AD151" s="67">
        <v>54164042</v>
      </c>
      <c r="AE151" s="67">
        <v>2016089792</v>
      </c>
      <c r="AF151" s="5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  <c r="FY151" s="17"/>
      <c r="FZ151" s="17"/>
      <c r="GA151" s="17"/>
      <c r="GB151" s="17"/>
      <c r="GC151" s="17"/>
      <c r="GD151" s="17"/>
      <c r="GE151" s="17"/>
      <c r="GF151" s="17"/>
      <c r="GG151" s="17"/>
      <c r="GH151" s="17"/>
      <c r="GI151" s="17"/>
      <c r="GJ151" s="17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GW151" s="17"/>
      <c r="GX151" s="17"/>
      <c r="GY151" s="17"/>
      <c r="GZ151" s="17"/>
      <c r="HA151" s="17"/>
      <c r="HB151" s="17"/>
      <c r="HC151" s="17"/>
      <c r="HD151" s="17"/>
      <c r="HE151" s="17"/>
      <c r="HF151" s="17"/>
      <c r="HG151" s="17"/>
      <c r="HH151" s="17"/>
      <c r="HI151" s="17"/>
      <c r="HJ151" s="17"/>
      <c r="HK151" s="17"/>
      <c r="HL151" s="17"/>
      <c r="HM151" s="17"/>
      <c r="HN151" s="17"/>
      <c r="HO151" s="17"/>
      <c r="HP151" s="17"/>
      <c r="HQ151" s="17"/>
      <c r="HR151" s="17"/>
      <c r="HS151" s="17"/>
      <c r="HT151" s="17"/>
      <c r="HU151" s="17"/>
      <c r="HV151" s="17"/>
      <c r="HW151" s="17"/>
      <c r="HX151" s="17"/>
      <c r="HY151" s="17"/>
      <c r="HZ151" s="17"/>
      <c r="IA151" s="17"/>
      <c r="IB151" s="17"/>
      <c r="IC151" s="17"/>
      <c r="ID151" s="17"/>
      <c r="IE151" s="17"/>
      <c r="IF151" s="17"/>
      <c r="IG151" s="17"/>
    </row>
    <row r="152" spans="1:241" ht="15.75" customHeight="1" x14ac:dyDescent="0.25">
      <c r="A152" s="143"/>
      <c r="B152" s="23"/>
      <c r="C152" s="144" t="s">
        <v>50</v>
      </c>
      <c r="D152" s="82">
        <f>SUM(D142:D151)</f>
        <v>1604968139.4000001</v>
      </c>
      <c r="E152" s="82"/>
      <c r="F152" s="82">
        <f>SUM(F142:F151)</f>
        <v>1042677719.3199999</v>
      </c>
      <c r="G152" s="82">
        <f>SUM(G142:G151)</f>
        <v>15616549622.690001</v>
      </c>
      <c r="H152" s="82"/>
      <c r="I152" s="82">
        <f t="shared" ref="I152:O152" si="89">SUM(I142:I151)</f>
        <v>1008569452.65</v>
      </c>
      <c r="J152" s="82">
        <f t="shared" si="89"/>
        <v>19219748836.529999</v>
      </c>
      <c r="K152" s="82">
        <f t="shared" si="89"/>
        <v>188312703.83000001</v>
      </c>
      <c r="L152" s="82">
        <f t="shared" si="89"/>
        <v>38693097.289999999</v>
      </c>
      <c r="M152" s="82">
        <f t="shared" si="89"/>
        <v>245879041.19</v>
      </c>
      <c r="N152" s="82">
        <f t="shared" si="89"/>
        <v>23232836017.07</v>
      </c>
      <c r="O152" s="82">
        <f t="shared" si="89"/>
        <v>440278967.97000009</v>
      </c>
      <c r="P152" s="101">
        <f>SUM(P142:P151)</f>
        <v>19474588771.300003</v>
      </c>
      <c r="Q152" s="84">
        <f>(P152/$P$153)</f>
        <v>1.4168072204530632E-2</v>
      </c>
      <c r="R152" s="101">
        <f>SUM(R142:R151)</f>
        <v>22792557049.150002</v>
      </c>
      <c r="S152" s="84">
        <f>(R152/$R$153)</f>
        <v>1.6636595508990791E-2</v>
      </c>
      <c r="T152" s="85">
        <f t="shared" si="82"/>
        <v>0.17037424085379091</v>
      </c>
      <c r="U152" s="63">
        <f t="shared" si="74"/>
        <v>1.6976198504872438E-3</v>
      </c>
      <c r="V152" s="87"/>
      <c r="W152" s="88"/>
      <c r="X152" s="88"/>
      <c r="Y152" s="82"/>
      <c r="Z152" s="82"/>
      <c r="AA152" s="89">
        <f>SUM(AA142:AA151)</f>
        <v>18169</v>
      </c>
      <c r="AB152" s="89"/>
      <c r="AC152" s="89"/>
      <c r="AD152" s="89"/>
      <c r="AE152" s="82"/>
      <c r="AF152" s="44"/>
    </row>
    <row r="153" spans="1:241" ht="15.75" customHeight="1" x14ac:dyDescent="0.25">
      <c r="A153" s="145"/>
      <c r="B153" s="146"/>
      <c r="C153" s="146" t="s">
        <v>142</v>
      </c>
      <c r="D153" s="147">
        <f>SUM(D152,D139,D134,D109,D103,D82,D50,D19)</f>
        <v>16799380377.164003</v>
      </c>
      <c r="E153" s="147"/>
      <c r="F153" s="147">
        <f t="shared" ref="F153:O153" si="90">SUM(F152,F139,F134,F109,F103,F82,F50,F19)</f>
        <v>548770052445.6012</v>
      </c>
      <c r="G153" s="147">
        <f t="shared" si="90"/>
        <v>576074322151.63916</v>
      </c>
      <c r="H153" s="147">
        <f t="shared" si="90"/>
        <v>33931312606.760002</v>
      </c>
      <c r="I153" s="147">
        <f t="shared" si="90"/>
        <v>7621910716.920001</v>
      </c>
      <c r="J153" s="147">
        <f t="shared" si="90"/>
        <v>1213637610146.0718</v>
      </c>
      <c r="K153" s="147">
        <f t="shared" si="90"/>
        <v>78286896717.719604</v>
      </c>
      <c r="L153" s="147">
        <f t="shared" si="90"/>
        <v>2292066076.5907998</v>
      </c>
      <c r="M153" s="147">
        <f t="shared" si="90"/>
        <v>10251345747.362801</v>
      </c>
      <c r="N153" s="147">
        <f t="shared" si="90"/>
        <v>1370598681892.7983</v>
      </c>
      <c r="O153" s="147">
        <f t="shared" si="90"/>
        <v>17475109158.953201</v>
      </c>
      <c r="P153" s="147">
        <f>SUM(P19,P50,P82,P103,P109,P134,P139,P152)</f>
        <v>1374540480184.2036</v>
      </c>
      <c r="Q153" s="148"/>
      <c r="R153" s="147">
        <f>SUM(R19,R50,R82,R103,R109,R134,R139,R152)</f>
        <v>1370025317790.0725</v>
      </c>
      <c r="S153" s="148"/>
      <c r="T153" s="148"/>
      <c r="U153" s="149"/>
      <c r="V153" s="150"/>
      <c r="W153" s="151"/>
      <c r="X153" s="151"/>
      <c r="Y153" s="147"/>
      <c r="Z153" s="147"/>
      <c r="AA153" s="152">
        <f>SUM(AA19,AA50,AA82,AA103,AA109,AA134,AA139,AA152)</f>
        <v>428803</v>
      </c>
      <c r="AB153" s="147"/>
      <c r="AC153" s="147"/>
      <c r="AD153" s="147"/>
      <c r="AE153" s="147"/>
      <c r="AF153" s="44"/>
    </row>
    <row r="154" spans="1:241" ht="6" customHeight="1" x14ac:dyDescent="0.25">
      <c r="A154" s="34"/>
      <c r="B154" s="34"/>
      <c r="C154" s="34"/>
      <c r="D154" s="5"/>
      <c r="E154" s="5"/>
      <c r="F154" s="5"/>
      <c r="G154" s="5"/>
      <c r="H154" s="5"/>
      <c r="I154" s="35"/>
      <c r="J154" s="5"/>
      <c r="K154" s="5"/>
      <c r="L154" s="5"/>
      <c r="M154" s="36"/>
      <c r="N154" s="5"/>
      <c r="O154" s="5"/>
      <c r="P154" s="40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241" ht="15.75" customHeight="1" x14ac:dyDescent="0.3">
      <c r="A155" s="28"/>
      <c r="B155" s="30"/>
      <c r="C155" s="29"/>
      <c r="D155" s="5"/>
      <c r="E155" s="5"/>
      <c r="F155" s="5"/>
      <c r="G155" s="5"/>
      <c r="H155" s="31"/>
      <c r="I155" s="5"/>
      <c r="J155" s="5"/>
      <c r="K155" s="5"/>
      <c r="L155" s="5"/>
      <c r="M155" s="36"/>
      <c r="N155" s="5"/>
      <c r="O155" s="5"/>
      <c r="P155" s="41"/>
      <c r="Q155" s="5"/>
      <c r="R155" s="32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33"/>
    </row>
    <row r="158" spans="1:241" ht="15.75" customHeight="1" x14ac:dyDescent="0.25">
      <c r="E158" s="23"/>
    </row>
  </sheetData>
  <sortState ref="B145:C149">
    <sortCondition ref="B145:B149"/>
  </sortState>
  <mergeCells count="13">
    <mergeCell ref="A140:AE140"/>
    <mergeCell ref="A141:AE141"/>
    <mergeCell ref="A145:AE145"/>
    <mergeCell ref="A1:AE1"/>
    <mergeCell ref="A3:AE3"/>
    <mergeCell ref="A20:AE20"/>
    <mergeCell ref="A51:AE51"/>
    <mergeCell ref="A83:AE83"/>
    <mergeCell ref="A84:AE84"/>
    <mergeCell ref="A104:AE104"/>
    <mergeCell ref="A110:AE110"/>
    <mergeCell ref="A135:AE135"/>
    <mergeCell ref="A94:AE94"/>
  </mergeCells>
  <phoneticPr fontId="10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58" max="16383" man="1"/>
    <brk id="93" max="16383" man="1"/>
    <brk id="131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M1" sqref="M1"/>
    </sheetView>
  </sheetViews>
  <sheetFormatPr defaultColWidth="10" defaultRowHeight="12.95" customHeight="1" x14ac:dyDescent="0.25"/>
  <cols>
    <col min="1" max="256" width="10" style="12" customWidth="1"/>
  </cols>
  <sheetData>
    <row r="1" spans="1:12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4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4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4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4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4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4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4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4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4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4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4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4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4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4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4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4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4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4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4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4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4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4"/>
    </row>
    <row r="24" spans="1:12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1" sqref="P1"/>
    </sheetView>
  </sheetViews>
  <sheetFormatPr defaultColWidth="10" defaultRowHeight="12.95" customHeight="1" x14ac:dyDescent="0.25"/>
  <cols>
    <col min="1" max="256" width="10" style="15" customWidth="1"/>
  </cols>
  <sheetData>
    <row r="1" spans="1:14" ht="12.9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S1" sqref="S1"/>
    </sheetView>
  </sheetViews>
  <sheetFormatPr defaultColWidth="8.85546875" defaultRowHeight="15" customHeight="1" x14ac:dyDescent="0.25"/>
  <cols>
    <col min="1" max="3" width="8.85546875" style="16" customWidth="1"/>
    <col min="4" max="4" width="10.42578125" style="16" customWidth="1"/>
    <col min="5" max="256" width="8.85546875" style="16" customWidth="1"/>
  </cols>
  <sheetData>
    <row r="1" spans="1:14" ht="15" customHeight="1" x14ac:dyDescent="0.25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4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4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4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4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4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4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4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4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4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4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4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4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4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4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4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4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4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4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4"/>
    </row>
    <row r="22" spans="1:14" ht="1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NOVEMBER 2022</vt:lpstr>
      <vt:lpstr>Market Share</vt:lpstr>
      <vt:lpstr>Unit Holders</vt:lpstr>
      <vt:lpstr>NAV Comparison Oct &amp; Nov '22</vt:lpstr>
      <vt:lpstr>'NOVEMBER 2022'!_Hlk108107245</vt:lpstr>
      <vt:lpstr>'NOVEMBER 2022'!_Hlk108109806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2023-05-19T11:02:44Z</dcterms:modified>
</cp:coreProperties>
</file>