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' Spreadsheet\2022\"/>
    </mc:Choice>
  </mc:AlternateContent>
  <bookViews>
    <workbookView xWindow="0" yWindow="0" windowWidth="20490" windowHeight="6750"/>
  </bookViews>
  <sheets>
    <sheet name="OCTOBER 2022" sheetId="1" r:id="rId1"/>
    <sheet name="Market Share" sheetId="2" r:id="rId2"/>
    <sheet name="Unit Holders" sheetId="3" r:id="rId3"/>
    <sheet name="NAV Comparison Sept &amp; Oct '22" sheetId="4" r:id="rId4"/>
  </sheets>
  <definedNames>
    <definedName name="_xlnm._FilterDatabase" localSheetId="0" hidden="1">'OCTOBER 2022'!$A$1:$AE$92</definedName>
    <definedName name="_Hlk108107245" localSheetId="0">'OCTOBER 2022'!$R$44</definedName>
    <definedName name="_Hlk108109806" localSheetId="0">'OCTOBER 2022'!$N$44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12" i="1" l="1"/>
  <c r="T112" i="1"/>
  <c r="U112" i="1"/>
  <c r="V112" i="1"/>
  <c r="W112" i="1"/>
  <c r="X112" i="1"/>
  <c r="S113" i="1"/>
  <c r="T113" i="1"/>
  <c r="U113" i="1"/>
  <c r="V113" i="1"/>
  <c r="W113" i="1"/>
  <c r="X113" i="1"/>
  <c r="S114" i="1"/>
  <c r="T114" i="1"/>
  <c r="U114" i="1"/>
  <c r="V114" i="1"/>
  <c r="W114" i="1"/>
  <c r="X114" i="1"/>
  <c r="S115" i="1"/>
  <c r="T115" i="1"/>
  <c r="U115" i="1"/>
  <c r="V115" i="1"/>
  <c r="W115" i="1"/>
  <c r="X115" i="1"/>
  <c r="S116" i="1"/>
  <c r="T116" i="1"/>
  <c r="U116" i="1"/>
  <c r="V116" i="1"/>
  <c r="W116" i="1"/>
  <c r="X116" i="1"/>
  <c r="S117" i="1"/>
  <c r="T117" i="1"/>
  <c r="U117" i="1"/>
  <c r="V117" i="1"/>
  <c r="W117" i="1"/>
  <c r="X117" i="1"/>
  <c r="S118" i="1"/>
  <c r="T118" i="1"/>
  <c r="U118" i="1"/>
  <c r="V118" i="1"/>
  <c r="W118" i="1"/>
  <c r="X118" i="1"/>
  <c r="S119" i="1"/>
  <c r="T119" i="1"/>
  <c r="U119" i="1"/>
  <c r="V119" i="1"/>
  <c r="W119" i="1"/>
  <c r="X119" i="1"/>
  <c r="S120" i="1"/>
  <c r="T120" i="1"/>
  <c r="U120" i="1"/>
  <c r="V120" i="1"/>
  <c r="W120" i="1"/>
  <c r="X120" i="1"/>
  <c r="S121" i="1"/>
  <c r="T121" i="1"/>
  <c r="U121" i="1"/>
  <c r="V121" i="1"/>
  <c r="W121" i="1"/>
  <c r="X121" i="1"/>
  <c r="S122" i="1"/>
  <c r="T122" i="1"/>
  <c r="U122" i="1"/>
  <c r="V122" i="1"/>
  <c r="W122" i="1"/>
  <c r="X122" i="1"/>
  <c r="S123" i="1"/>
  <c r="T123" i="1"/>
  <c r="U123" i="1"/>
  <c r="V123" i="1"/>
  <c r="W123" i="1"/>
  <c r="X123" i="1"/>
  <c r="S124" i="1"/>
  <c r="T124" i="1"/>
  <c r="U124" i="1"/>
  <c r="V124" i="1"/>
  <c r="W124" i="1"/>
  <c r="X124" i="1"/>
  <c r="S125" i="1"/>
  <c r="T125" i="1"/>
  <c r="U125" i="1"/>
  <c r="V125" i="1"/>
  <c r="W125" i="1"/>
  <c r="X125" i="1"/>
  <c r="S126" i="1"/>
  <c r="T126" i="1"/>
  <c r="U126" i="1"/>
  <c r="V126" i="1"/>
  <c r="W126" i="1"/>
  <c r="X126" i="1"/>
  <c r="S127" i="1"/>
  <c r="T127" i="1"/>
  <c r="U127" i="1"/>
  <c r="V127" i="1"/>
  <c r="W127" i="1"/>
  <c r="X127" i="1"/>
  <c r="S128" i="1"/>
  <c r="T128" i="1"/>
  <c r="U128" i="1"/>
  <c r="V128" i="1"/>
  <c r="W128" i="1"/>
  <c r="X128" i="1"/>
  <c r="S129" i="1"/>
  <c r="T129" i="1"/>
  <c r="U129" i="1"/>
  <c r="V129" i="1"/>
  <c r="W129" i="1"/>
  <c r="X129" i="1"/>
  <c r="S130" i="1"/>
  <c r="T130" i="1"/>
  <c r="U130" i="1"/>
  <c r="V130" i="1"/>
  <c r="W130" i="1"/>
  <c r="X130" i="1"/>
  <c r="S131" i="1"/>
  <c r="T131" i="1"/>
  <c r="U131" i="1"/>
  <c r="V131" i="1"/>
  <c r="W131" i="1"/>
  <c r="X131" i="1"/>
  <c r="S132" i="1"/>
  <c r="T132" i="1"/>
  <c r="U132" i="1"/>
  <c r="V132" i="1"/>
  <c r="W132" i="1"/>
  <c r="X132" i="1"/>
  <c r="S133" i="1"/>
  <c r="T133" i="1"/>
  <c r="U133" i="1"/>
  <c r="V133" i="1"/>
  <c r="W133" i="1"/>
  <c r="X133" i="1"/>
  <c r="T96" i="1"/>
  <c r="U96" i="1"/>
  <c r="V96" i="1"/>
  <c r="W96" i="1"/>
  <c r="X96" i="1"/>
  <c r="T97" i="1"/>
  <c r="U97" i="1"/>
  <c r="V97" i="1"/>
  <c r="W97" i="1"/>
  <c r="X97" i="1"/>
  <c r="T98" i="1"/>
  <c r="U98" i="1"/>
  <c r="V98" i="1"/>
  <c r="W98" i="1"/>
  <c r="X98" i="1"/>
  <c r="T99" i="1"/>
  <c r="U99" i="1"/>
  <c r="V99" i="1"/>
  <c r="W99" i="1"/>
  <c r="X99" i="1"/>
  <c r="T100" i="1"/>
  <c r="U100" i="1"/>
  <c r="V100" i="1"/>
  <c r="W100" i="1"/>
  <c r="X100" i="1"/>
  <c r="T101" i="1"/>
  <c r="U101" i="1"/>
  <c r="V101" i="1"/>
  <c r="W101" i="1"/>
  <c r="X101" i="1"/>
  <c r="T102" i="1"/>
  <c r="U102" i="1"/>
  <c r="V102" i="1"/>
  <c r="W102" i="1"/>
  <c r="X102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89" i="1"/>
  <c r="U89" i="1"/>
  <c r="V89" i="1"/>
  <c r="W89" i="1"/>
  <c r="X89" i="1"/>
  <c r="T90" i="1"/>
  <c r="U90" i="1"/>
  <c r="V90" i="1"/>
  <c r="W90" i="1"/>
  <c r="X90" i="1"/>
  <c r="T91" i="1"/>
  <c r="U91" i="1"/>
  <c r="V91" i="1"/>
  <c r="W91" i="1"/>
  <c r="X91" i="1"/>
  <c r="T92" i="1"/>
  <c r="U92" i="1"/>
  <c r="V92" i="1"/>
  <c r="W92" i="1"/>
  <c r="X92" i="1"/>
  <c r="X85" i="1"/>
  <c r="U85" i="1"/>
  <c r="V85" i="1"/>
  <c r="S53" i="1"/>
  <c r="T53" i="1"/>
  <c r="U53" i="1"/>
  <c r="V53" i="1"/>
  <c r="W53" i="1"/>
  <c r="X53" i="1"/>
  <c r="S54" i="1"/>
  <c r="T54" i="1"/>
  <c r="U54" i="1"/>
  <c r="V54" i="1"/>
  <c r="W54" i="1"/>
  <c r="X54" i="1"/>
  <c r="S55" i="1"/>
  <c r="T55" i="1"/>
  <c r="U55" i="1"/>
  <c r="V55" i="1"/>
  <c r="W55" i="1"/>
  <c r="X55" i="1"/>
  <c r="S56" i="1"/>
  <c r="T56" i="1"/>
  <c r="U56" i="1"/>
  <c r="V56" i="1"/>
  <c r="W56" i="1"/>
  <c r="X56" i="1"/>
  <c r="S57" i="1"/>
  <c r="T57" i="1"/>
  <c r="U57" i="1"/>
  <c r="V57" i="1"/>
  <c r="W57" i="1"/>
  <c r="X57" i="1"/>
  <c r="S58" i="1"/>
  <c r="T58" i="1"/>
  <c r="U58" i="1"/>
  <c r="V58" i="1"/>
  <c r="W58" i="1"/>
  <c r="X58" i="1"/>
  <c r="S59" i="1"/>
  <c r="T59" i="1"/>
  <c r="U59" i="1"/>
  <c r="V59" i="1"/>
  <c r="W59" i="1"/>
  <c r="X59" i="1"/>
  <c r="S60" i="1"/>
  <c r="T60" i="1"/>
  <c r="U60" i="1"/>
  <c r="V60" i="1"/>
  <c r="W60" i="1"/>
  <c r="X60" i="1"/>
  <c r="S61" i="1"/>
  <c r="T61" i="1"/>
  <c r="U61" i="1"/>
  <c r="V61" i="1"/>
  <c r="W61" i="1"/>
  <c r="X61" i="1"/>
  <c r="S62" i="1"/>
  <c r="T62" i="1"/>
  <c r="U62" i="1"/>
  <c r="V62" i="1"/>
  <c r="W62" i="1"/>
  <c r="X62" i="1"/>
  <c r="S63" i="1"/>
  <c r="T63" i="1"/>
  <c r="U63" i="1"/>
  <c r="V63" i="1"/>
  <c r="W63" i="1"/>
  <c r="X63" i="1"/>
  <c r="S64" i="1"/>
  <c r="T64" i="1"/>
  <c r="U64" i="1"/>
  <c r="V64" i="1"/>
  <c r="W64" i="1"/>
  <c r="X64" i="1"/>
  <c r="S65" i="1"/>
  <c r="T65" i="1"/>
  <c r="U65" i="1"/>
  <c r="V65" i="1"/>
  <c r="W65" i="1"/>
  <c r="X65" i="1"/>
  <c r="S66" i="1"/>
  <c r="T66" i="1"/>
  <c r="U66" i="1"/>
  <c r="V66" i="1"/>
  <c r="W66" i="1"/>
  <c r="X66" i="1"/>
  <c r="S67" i="1"/>
  <c r="T67" i="1"/>
  <c r="U67" i="1"/>
  <c r="V67" i="1"/>
  <c r="W67" i="1"/>
  <c r="X67" i="1"/>
  <c r="S68" i="1"/>
  <c r="T68" i="1"/>
  <c r="U68" i="1"/>
  <c r="V68" i="1"/>
  <c r="W68" i="1"/>
  <c r="X68" i="1"/>
  <c r="S69" i="1"/>
  <c r="T69" i="1"/>
  <c r="U69" i="1"/>
  <c r="V69" i="1"/>
  <c r="W69" i="1"/>
  <c r="X69" i="1"/>
  <c r="S70" i="1"/>
  <c r="T70" i="1"/>
  <c r="U70" i="1"/>
  <c r="V70" i="1"/>
  <c r="W70" i="1"/>
  <c r="X70" i="1"/>
  <c r="S71" i="1"/>
  <c r="T71" i="1"/>
  <c r="U71" i="1"/>
  <c r="V71" i="1"/>
  <c r="W71" i="1"/>
  <c r="X71" i="1"/>
  <c r="S72" i="1"/>
  <c r="T72" i="1"/>
  <c r="U72" i="1"/>
  <c r="V72" i="1"/>
  <c r="W72" i="1"/>
  <c r="X72" i="1"/>
  <c r="S73" i="1"/>
  <c r="T73" i="1"/>
  <c r="U73" i="1"/>
  <c r="V73" i="1"/>
  <c r="W73" i="1"/>
  <c r="X73" i="1"/>
  <c r="S74" i="1"/>
  <c r="T74" i="1"/>
  <c r="U74" i="1"/>
  <c r="V74" i="1"/>
  <c r="W74" i="1"/>
  <c r="X74" i="1"/>
  <c r="S75" i="1"/>
  <c r="T75" i="1"/>
  <c r="U75" i="1"/>
  <c r="V75" i="1"/>
  <c r="W75" i="1"/>
  <c r="X75" i="1"/>
  <c r="S76" i="1"/>
  <c r="T76" i="1"/>
  <c r="U76" i="1"/>
  <c r="V76" i="1"/>
  <c r="W76" i="1"/>
  <c r="X76" i="1"/>
  <c r="S77" i="1"/>
  <c r="T77" i="1"/>
  <c r="U77" i="1"/>
  <c r="V77" i="1"/>
  <c r="W77" i="1"/>
  <c r="X77" i="1"/>
  <c r="S78" i="1"/>
  <c r="T78" i="1"/>
  <c r="U78" i="1"/>
  <c r="V78" i="1"/>
  <c r="W78" i="1"/>
  <c r="X78" i="1"/>
  <c r="S79" i="1"/>
  <c r="T79" i="1"/>
  <c r="U79" i="1"/>
  <c r="V79" i="1"/>
  <c r="W79" i="1"/>
  <c r="X79" i="1"/>
  <c r="S80" i="1"/>
  <c r="T80" i="1"/>
  <c r="U80" i="1"/>
  <c r="V80" i="1"/>
  <c r="W80" i="1"/>
  <c r="X80" i="1"/>
  <c r="S81" i="1"/>
  <c r="T81" i="1"/>
  <c r="U81" i="1"/>
  <c r="V81" i="1"/>
  <c r="W81" i="1"/>
  <c r="X81" i="1"/>
  <c r="S82" i="1"/>
  <c r="T82" i="1"/>
  <c r="U82" i="1"/>
  <c r="V82" i="1"/>
  <c r="W82" i="1"/>
  <c r="X82" i="1"/>
  <c r="V22" i="1"/>
  <c r="W22" i="1"/>
  <c r="X22" i="1"/>
  <c r="V23" i="1"/>
  <c r="W23" i="1"/>
  <c r="X23" i="1"/>
  <c r="V24" i="1"/>
  <c r="W24" i="1"/>
  <c r="X24" i="1"/>
  <c r="V25" i="1"/>
  <c r="W25" i="1"/>
  <c r="X25" i="1"/>
  <c r="V26" i="1"/>
  <c r="W26" i="1"/>
  <c r="X26" i="1"/>
  <c r="V27" i="1"/>
  <c r="W27" i="1"/>
  <c r="X27" i="1"/>
  <c r="V28" i="1"/>
  <c r="W28" i="1"/>
  <c r="X28" i="1"/>
  <c r="V29" i="1"/>
  <c r="W29" i="1"/>
  <c r="X29" i="1"/>
  <c r="V30" i="1"/>
  <c r="W30" i="1"/>
  <c r="X30" i="1"/>
  <c r="V31" i="1"/>
  <c r="W31" i="1"/>
  <c r="X31" i="1"/>
  <c r="V32" i="1"/>
  <c r="W32" i="1"/>
  <c r="X32" i="1"/>
  <c r="V33" i="1"/>
  <c r="W33" i="1"/>
  <c r="X33" i="1"/>
  <c r="V34" i="1"/>
  <c r="W34" i="1"/>
  <c r="X34" i="1"/>
  <c r="V35" i="1"/>
  <c r="W35" i="1"/>
  <c r="X35" i="1"/>
  <c r="V36" i="1"/>
  <c r="W36" i="1"/>
  <c r="X36" i="1"/>
  <c r="V37" i="1"/>
  <c r="W37" i="1"/>
  <c r="X37" i="1"/>
  <c r="V38" i="1"/>
  <c r="W38" i="1"/>
  <c r="X38" i="1"/>
  <c r="V39" i="1"/>
  <c r="W39" i="1"/>
  <c r="X39" i="1"/>
  <c r="V40" i="1"/>
  <c r="W40" i="1"/>
  <c r="X40" i="1"/>
  <c r="V41" i="1"/>
  <c r="W41" i="1"/>
  <c r="X41" i="1"/>
  <c r="V42" i="1"/>
  <c r="W42" i="1"/>
  <c r="X42" i="1"/>
  <c r="V43" i="1"/>
  <c r="W43" i="1"/>
  <c r="X43" i="1"/>
  <c r="V44" i="1"/>
  <c r="W44" i="1"/>
  <c r="X44" i="1"/>
  <c r="V45" i="1"/>
  <c r="W45" i="1"/>
  <c r="X45" i="1"/>
  <c r="V46" i="1"/>
  <c r="W46" i="1"/>
  <c r="X46" i="1"/>
  <c r="V47" i="1"/>
  <c r="W47" i="1"/>
  <c r="X47" i="1"/>
  <c r="V48" i="1"/>
  <c r="W48" i="1"/>
  <c r="X48" i="1"/>
  <c r="V49" i="1"/>
  <c r="W49" i="1"/>
  <c r="X49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U5" i="1"/>
  <c r="V5" i="1"/>
  <c r="W5" i="1"/>
  <c r="X5" i="1"/>
  <c r="U6" i="1"/>
  <c r="V6" i="1"/>
  <c r="W6" i="1"/>
  <c r="X6" i="1"/>
  <c r="U7" i="1"/>
  <c r="V7" i="1"/>
  <c r="W7" i="1"/>
  <c r="X7" i="1"/>
  <c r="U8" i="1"/>
  <c r="V8" i="1"/>
  <c r="W8" i="1"/>
  <c r="X8" i="1"/>
  <c r="U9" i="1"/>
  <c r="V9" i="1"/>
  <c r="W9" i="1"/>
  <c r="X9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AE37" i="1"/>
  <c r="AE121" i="1" l="1"/>
  <c r="X147" i="1"/>
  <c r="W147" i="1"/>
  <c r="V147" i="1"/>
  <c r="U147" i="1"/>
  <c r="T147" i="1"/>
  <c r="F147" i="1"/>
  <c r="J147" i="1" s="1"/>
  <c r="P19" i="1" l="1"/>
  <c r="P152" i="1" l="1"/>
  <c r="P134" i="1"/>
  <c r="P109" i="1"/>
  <c r="P102" i="1"/>
  <c r="P101" i="1"/>
  <c r="P100" i="1"/>
  <c r="P99" i="1"/>
  <c r="P98" i="1"/>
  <c r="P97" i="1"/>
  <c r="P96" i="1"/>
  <c r="P95" i="1"/>
  <c r="P103" i="1" s="1"/>
  <c r="P91" i="1"/>
  <c r="P90" i="1"/>
  <c r="P89" i="1"/>
  <c r="P86" i="1"/>
  <c r="Z89" i="1"/>
  <c r="Y89" i="1"/>
  <c r="R89" i="1"/>
  <c r="O89" i="1"/>
  <c r="N89" i="1"/>
  <c r="M89" i="1"/>
  <c r="L89" i="1"/>
  <c r="K89" i="1"/>
  <c r="I89" i="1"/>
  <c r="G89" i="1"/>
  <c r="J89" i="1" s="1"/>
  <c r="P82" i="1" l="1"/>
  <c r="P50" i="1"/>
  <c r="Z85" i="1" l="1"/>
  <c r="Y85" i="1"/>
  <c r="Z102" i="1" l="1"/>
  <c r="Y102" i="1"/>
  <c r="R102" i="1"/>
  <c r="O102" i="1"/>
  <c r="N102" i="1"/>
  <c r="M102" i="1"/>
  <c r="J102" i="1"/>
  <c r="K102" i="1"/>
  <c r="L102" i="1"/>
  <c r="F102" i="1"/>
  <c r="G102" i="1"/>
  <c r="Z99" i="1"/>
  <c r="Y99" i="1"/>
  <c r="R99" i="1"/>
  <c r="O99" i="1"/>
  <c r="N99" i="1"/>
  <c r="M99" i="1"/>
  <c r="L99" i="1"/>
  <c r="K99" i="1"/>
  <c r="J99" i="1"/>
  <c r="F99" i="1"/>
  <c r="G99" i="1"/>
  <c r="Z86" i="1"/>
  <c r="Y86" i="1"/>
  <c r="R86" i="1"/>
  <c r="O86" i="1"/>
  <c r="N86" i="1"/>
  <c r="M86" i="1"/>
  <c r="K86" i="1"/>
  <c r="L86" i="1"/>
  <c r="J86" i="1"/>
  <c r="G86" i="1"/>
  <c r="Z98" i="1"/>
  <c r="Y98" i="1"/>
  <c r="R98" i="1"/>
  <c r="O98" i="1"/>
  <c r="N98" i="1"/>
  <c r="K98" i="1"/>
  <c r="L98" i="1"/>
  <c r="M98" i="1"/>
  <c r="J98" i="1"/>
  <c r="F98" i="1"/>
  <c r="G98" i="1"/>
  <c r="AE91" i="1"/>
  <c r="AD91" i="1"/>
  <c r="AC91" i="1"/>
  <c r="AB91" i="1"/>
  <c r="Y91" i="1"/>
  <c r="Z91" i="1"/>
  <c r="R91" i="1"/>
  <c r="O91" i="1"/>
  <c r="N91" i="1"/>
  <c r="M91" i="1"/>
  <c r="L91" i="1"/>
  <c r="K91" i="1"/>
  <c r="J91" i="1"/>
  <c r="G91" i="1"/>
  <c r="Z90" i="1"/>
  <c r="Y90" i="1"/>
  <c r="R90" i="1"/>
  <c r="O90" i="1"/>
  <c r="N90" i="1"/>
  <c r="M90" i="1"/>
  <c r="L90" i="1"/>
  <c r="K90" i="1"/>
  <c r="J90" i="1"/>
  <c r="F90" i="1"/>
  <c r="G90" i="1"/>
  <c r="Z101" i="1"/>
  <c r="Y101" i="1"/>
  <c r="R101" i="1"/>
  <c r="O101" i="1"/>
  <c r="N101" i="1"/>
  <c r="M101" i="1"/>
  <c r="L101" i="1"/>
  <c r="K101" i="1"/>
  <c r="J101" i="1"/>
  <c r="F101" i="1"/>
  <c r="G101" i="1"/>
  <c r="Z95" i="1"/>
  <c r="Y95" i="1"/>
  <c r="R95" i="1"/>
  <c r="O95" i="1"/>
  <c r="N95" i="1"/>
  <c r="M95" i="1"/>
  <c r="L95" i="1"/>
  <c r="K95" i="1"/>
  <c r="J95" i="1"/>
  <c r="G95" i="1"/>
  <c r="Y100" i="1" l="1"/>
  <c r="Z100" i="1"/>
  <c r="R100" i="1"/>
  <c r="O100" i="1"/>
  <c r="N100" i="1"/>
  <c r="M100" i="1"/>
  <c r="L100" i="1"/>
  <c r="K100" i="1"/>
  <c r="J100" i="1"/>
  <c r="G100" i="1"/>
  <c r="Z97" i="1"/>
  <c r="Y97" i="1"/>
  <c r="R97" i="1"/>
  <c r="O97" i="1"/>
  <c r="N97" i="1"/>
  <c r="M97" i="1"/>
  <c r="L97" i="1"/>
  <c r="K97" i="1"/>
  <c r="J97" i="1"/>
  <c r="G97" i="1"/>
  <c r="Z96" i="1"/>
  <c r="Y96" i="1"/>
  <c r="R96" i="1"/>
  <c r="O96" i="1"/>
  <c r="N96" i="1"/>
  <c r="M96" i="1"/>
  <c r="L96" i="1"/>
  <c r="K96" i="1"/>
  <c r="J96" i="1"/>
  <c r="G96" i="1"/>
  <c r="E121" i="1" l="1"/>
  <c r="I107" i="1" l="1"/>
  <c r="I142" i="1" l="1"/>
  <c r="L109" i="1"/>
  <c r="I149" i="1"/>
  <c r="I70" i="1"/>
  <c r="J125" i="1"/>
  <c r="J42" i="1"/>
  <c r="O134" i="1" l="1"/>
  <c r="AA82" i="1" l="1"/>
  <c r="R82" i="1"/>
  <c r="N82" i="1"/>
  <c r="J82" i="1"/>
  <c r="D82" i="1"/>
  <c r="Q68" i="1" l="1"/>
  <c r="Q62" i="1"/>
  <c r="O82" i="1" l="1"/>
  <c r="M82" i="1"/>
  <c r="L82" i="1"/>
  <c r="K82" i="1"/>
  <c r="F82" i="1"/>
  <c r="G82" i="1"/>
  <c r="D103" i="1"/>
  <c r="N103" i="1" l="1"/>
  <c r="P139" i="1" l="1"/>
  <c r="P153" i="1" s="1"/>
  <c r="Q81" i="1"/>
  <c r="Q15" i="1"/>
  <c r="Q118" i="1" l="1"/>
  <c r="R139" i="1" l="1"/>
  <c r="Q80" i="1" l="1"/>
  <c r="Q30" i="1"/>
  <c r="R152" i="1" l="1"/>
  <c r="S151" i="1" l="1"/>
  <c r="S147" i="1"/>
  <c r="G109" i="1"/>
  <c r="O109" i="1"/>
  <c r="K109" i="1"/>
  <c r="M109" i="1"/>
  <c r="N109" i="1"/>
  <c r="H109" i="1"/>
  <c r="I109" i="1"/>
  <c r="J109" i="1"/>
  <c r="F109" i="1"/>
  <c r="I82" i="1"/>
  <c r="O50" i="1"/>
  <c r="N50" i="1"/>
  <c r="I50" i="1"/>
  <c r="K50" i="1"/>
  <c r="L50" i="1"/>
  <c r="M50" i="1"/>
  <c r="F50" i="1"/>
  <c r="L134" i="1"/>
  <c r="M134" i="1"/>
  <c r="N134" i="1"/>
  <c r="F134" i="1"/>
  <c r="G134" i="1"/>
  <c r="H134" i="1"/>
  <c r="D134" i="1"/>
  <c r="J139" i="1"/>
  <c r="K139" i="1"/>
  <c r="L139" i="1"/>
  <c r="M139" i="1"/>
  <c r="N139" i="1"/>
  <c r="O139" i="1"/>
  <c r="F139" i="1"/>
  <c r="G139" i="1"/>
  <c r="H139" i="1"/>
  <c r="D139" i="1"/>
  <c r="M152" i="1"/>
  <c r="N152" i="1"/>
  <c r="O152" i="1"/>
  <c r="J152" i="1"/>
  <c r="K152" i="1"/>
  <c r="L152" i="1"/>
  <c r="G152" i="1"/>
  <c r="F152" i="1"/>
  <c r="D152" i="1"/>
  <c r="H153" i="1" l="1"/>
  <c r="J50" i="1"/>
  <c r="J134" i="1"/>
  <c r="D153" i="1" l="1"/>
  <c r="K134" i="1"/>
  <c r="O103" i="1" l="1"/>
  <c r="O153" i="1" s="1"/>
  <c r="F103" i="1"/>
  <c r="F153" i="1" s="1"/>
  <c r="G103" i="1"/>
  <c r="J103" i="1"/>
  <c r="J153" i="1" s="1"/>
  <c r="K103" i="1"/>
  <c r="K153" i="1" s="1"/>
  <c r="L103" i="1"/>
  <c r="L153" i="1" s="1"/>
  <c r="M103" i="1"/>
  <c r="M153" i="1" s="1"/>
  <c r="N153" i="1"/>
  <c r="AA152" i="1"/>
  <c r="I152" i="1"/>
  <c r="I153" i="1" s="1"/>
  <c r="G153" i="1" l="1"/>
  <c r="R19" i="1"/>
  <c r="Q92" i="1" l="1"/>
  <c r="Q152" i="1"/>
  <c r="X151" i="1" l="1"/>
  <c r="W151" i="1"/>
  <c r="V151" i="1"/>
  <c r="U151" i="1"/>
  <c r="T151" i="1"/>
  <c r="Q151" i="1" l="1"/>
  <c r="Q79" i="1" l="1"/>
  <c r="T137" i="1" l="1"/>
  <c r="R134" i="1" l="1"/>
  <c r="AA139" i="1" l="1"/>
  <c r="S137" i="1"/>
  <c r="S138" i="1" l="1"/>
  <c r="S136" i="1"/>
  <c r="Q137" i="1"/>
  <c r="Q138" i="1"/>
  <c r="Q136" i="1"/>
  <c r="T139" i="1"/>
  <c r="AA103" i="1"/>
  <c r="R103" i="1"/>
  <c r="S98" i="1" l="1"/>
  <c r="S102" i="1"/>
  <c r="S88" i="1"/>
  <c r="S89" i="1"/>
  <c r="S86" i="1"/>
  <c r="S97" i="1"/>
  <c r="S101" i="1"/>
  <c r="S90" i="1"/>
  <c r="S91" i="1"/>
  <c r="S96" i="1"/>
  <c r="S100" i="1"/>
  <c r="S92" i="1"/>
  <c r="S85" i="1"/>
  <c r="S99" i="1"/>
  <c r="S87" i="1"/>
  <c r="S52" i="1"/>
  <c r="S148" i="1"/>
  <c r="S149" i="1"/>
  <c r="S150" i="1"/>
  <c r="S146" i="1"/>
  <c r="S143" i="1"/>
  <c r="Q148" i="1"/>
  <c r="Q149" i="1"/>
  <c r="Q150" i="1"/>
  <c r="Q146" i="1"/>
  <c r="Q143" i="1"/>
  <c r="Q102" i="1"/>
  <c r="Q91" i="1"/>
  <c r="Q95" i="1"/>
  <c r="Q85" i="1"/>
  <c r="Q100" i="1"/>
  <c r="Q97" i="1"/>
  <c r="Q86" i="1"/>
  <c r="Q90" i="1"/>
  <c r="Q98" i="1"/>
  <c r="Q99" i="1"/>
  <c r="Q87" i="1"/>
  <c r="Q88" i="1"/>
  <c r="Q101" i="1"/>
  <c r="Q58" i="1"/>
  <c r="Q59" i="1"/>
  <c r="Q76" i="1"/>
  <c r="Q61" i="1"/>
  <c r="Q70" i="1"/>
  <c r="Q63" i="1"/>
  <c r="Q71" i="1"/>
  <c r="Q60" i="1"/>
  <c r="Q69" i="1"/>
  <c r="Q77" i="1"/>
  <c r="Q53" i="1"/>
  <c r="Q78" i="1"/>
  <c r="Q54" i="1"/>
  <c r="Q52" i="1"/>
  <c r="Q67" i="1"/>
  <c r="Q55" i="1"/>
  <c r="Q64" i="1"/>
  <c r="Q72" i="1"/>
  <c r="Q56" i="1"/>
  <c r="Q65" i="1"/>
  <c r="Q73" i="1"/>
  <c r="Q57" i="1"/>
  <c r="Q66" i="1"/>
  <c r="Q74" i="1"/>
  <c r="Q75" i="1"/>
  <c r="W85" i="1" l="1"/>
  <c r="T85" i="1"/>
  <c r="T150" i="1" l="1"/>
  <c r="U142" i="1"/>
  <c r="U137" i="1"/>
  <c r="U138" i="1"/>
  <c r="U143" i="1"/>
  <c r="U148" i="1"/>
  <c r="U149" i="1"/>
  <c r="U150" i="1"/>
  <c r="Q142" i="1"/>
  <c r="Q107" i="1" l="1"/>
  <c r="Q106" i="1"/>
  <c r="Q108" i="1"/>
  <c r="Q23" i="1"/>
  <c r="Q24" i="1"/>
  <c r="Q32" i="1"/>
  <c r="Q25" i="1"/>
  <c r="Q33" i="1"/>
  <c r="Q41" i="1"/>
  <c r="Q49" i="1"/>
  <c r="Q37" i="1"/>
  <c r="Q46" i="1"/>
  <c r="Q39" i="1"/>
  <c r="Q26" i="1"/>
  <c r="Q34" i="1"/>
  <c r="Q42" i="1"/>
  <c r="Q22" i="1"/>
  <c r="Q40" i="1"/>
  <c r="Q27" i="1"/>
  <c r="Q35" i="1"/>
  <c r="Q43" i="1"/>
  <c r="Q45" i="1"/>
  <c r="Q38" i="1"/>
  <c r="Q47" i="1"/>
  <c r="Q28" i="1"/>
  <c r="Q36" i="1"/>
  <c r="Q44" i="1"/>
  <c r="Q29" i="1"/>
  <c r="Q31" i="1"/>
  <c r="Q48" i="1"/>
  <c r="Q5" i="1"/>
  <c r="Q6" i="1"/>
  <c r="Q13" i="1"/>
  <c r="Q8" i="1"/>
  <c r="Q7" i="1"/>
  <c r="Q14" i="1"/>
  <c r="Q17" i="1"/>
  <c r="Q9" i="1"/>
  <c r="Q18" i="1"/>
  <c r="Q10" i="1"/>
  <c r="Q4" i="1"/>
  <c r="Q11" i="1"/>
  <c r="Q12" i="1"/>
  <c r="S142" i="1"/>
  <c r="Q123" i="1" l="1"/>
  <c r="Q139" i="1"/>
  <c r="Q115" i="1"/>
  <c r="Q124" i="1"/>
  <c r="Q132" i="1"/>
  <c r="Q116" i="1"/>
  <c r="Q125" i="1"/>
  <c r="Q133" i="1"/>
  <c r="Q117" i="1"/>
  <c r="Q126" i="1"/>
  <c r="Q111" i="1"/>
  <c r="Q50" i="1"/>
  <c r="Q120" i="1"/>
  <c r="Q121" i="1"/>
  <c r="Q119" i="1"/>
  <c r="Q127" i="1"/>
  <c r="Q134" i="1"/>
  <c r="Q112" i="1"/>
  <c r="Q129" i="1"/>
  <c r="Q128" i="1"/>
  <c r="Q113" i="1"/>
  <c r="Q122" i="1"/>
  <c r="Q130" i="1"/>
  <c r="Q109" i="1"/>
  <c r="Q114" i="1"/>
  <c r="Q131" i="1"/>
  <c r="Q103" i="1"/>
  <c r="Q82" i="1"/>
  <c r="Q19" i="1"/>
  <c r="U152" i="1"/>
  <c r="X111" i="1" l="1"/>
  <c r="X137" i="1" l="1"/>
  <c r="AA109" i="1" l="1"/>
  <c r="AA19" i="1" l="1"/>
  <c r="S4" i="1" l="1"/>
  <c r="T19" i="1"/>
  <c r="X149" i="1" l="1"/>
  <c r="W149" i="1"/>
  <c r="V149" i="1"/>
  <c r="T149" i="1"/>
  <c r="X107" i="1" l="1"/>
  <c r="W107" i="1"/>
  <c r="V107" i="1"/>
  <c r="U107" i="1"/>
  <c r="T107" i="1"/>
  <c r="X148" i="1" l="1"/>
  <c r="W148" i="1"/>
  <c r="V148" i="1"/>
  <c r="T148" i="1"/>
  <c r="T152" i="1" l="1"/>
  <c r="X150" i="1"/>
  <c r="W150" i="1"/>
  <c r="V150" i="1"/>
  <c r="X143" i="1"/>
  <c r="W143" i="1"/>
  <c r="V143" i="1"/>
  <c r="T143" i="1"/>
  <c r="X138" i="1"/>
  <c r="W138" i="1"/>
  <c r="V138" i="1"/>
  <c r="T138" i="1"/>
  <c r="W137" i="1"/>
  <c r="V137" i="1"/>
  <c r="X142" i="1"/>
  <c r="W142" i="1"/>
  <c r="V142" i="1"/>
  <c r="T142" i="1"/>
  <c r="X136" i="1"/>
  <c r="W136" i="1"/>
  <c r="V136" i="1"/>
  <c r="U136" i="1"/>
  <c r="T136" i="1"/>
  <c r="AA134" i="1"/>
  <c r="W111" i="1"/>
  <c r="V111" i="1"/>
  <c r="U111" i="1"/>
  <c r="T111" i="1"/>
  <c r="R109" i="1"/>
  <c r="Q105" i="1"/>
  <c r="X108" i="1"/>
  <c r="W108" i="1"/>
  <c r="V108" i="1"/>
  <c r="U108" i="1"/>
  <c r="T108" i="1"/>
  <c r="X106" i="1"/>
  <c r="W106" i="1"/>
  <c r="V106" i="1"/>
  <c r="U106" i="1"/>
  <c r="T106" i="1"/>
  <c r="X105" i="1"/>
  <c r="W105" i="1"/>
  <c r="V105" i="1"/>
  <c r="U105" i="1"/>
  <c r="T105" i="1"/>
  <c r="X146" i="1"/>
  <c r="W146" i="1"/>
  <c r="V146" i="1"/>
  <c r="U146" i="1"/>
  <c r="T146" i="1"/>
  <c r="X95" i="1"/>
  <c r="W95" i="1"/>
  <c r="V95" i="1"/>
  <c r="U95" i="1"/>
  <c r="T95" i="1"/>
  <c r="X52" i="1"/>
  <c r="W52" i="1"/>
  <c r="V52" i="1"/>
  <c r="U52" i="1"/>
  <c r="T52" i="1"/>
  <c r="AA50" i="1"/>
  <c r="R50" i="1"/>
  <c r="X21" i="1"/>
  <c r="W21" i="1"/>
  <c r="V21" i="1"/>
  <c r="U21" i="1"/>
  <c r="T21" i="1"/>
  <c r="X4" i="1"/>
  <c r="W4" i="1"/>
  <c r="V4" i="1"/>
  <c r="U4" i="1"/>
  <c r="T4" i="1"/>
  <c r="R153" i="1" l="1"/>
  <c r="S50" i="1" s="1"/>
  <c r="AA153" i="1"/>
  <c r="S106" i="1"/>
  <c r="S108" i="1"/>
  <c r="S107" i="1"/>
  <c r="S95" i="1"/>
  <c r="S105" i="1"/>
  <c r="S111" i="1"/>
  <c r="Q21" i="1"/>
  <c r="T134" i="1"/>
  <c r="S21" i="1"/>
  <c r="T103" i="1"/>
  <c r="T50" i="1"/>
  <c r="T109" i="1"/>
  <c r="S103" i="1" l="1"/>
  <c r="S109" i="1"/>
  <c r="S19" i="1"/>
  <c r="S134" i="1"/>
  <c r="S152" i="1"/>
  <c r="S139" i="1"/>
</calcChain>
</file>

<file path=xl/sharedStrings.xml><?xml version="1.0" encoding="utf-8"?>
<sst xmlns="http://schemas.openxmlformats.org/spreadsheetml/2006/main" count="316" uniqueCount="223">
  <si>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</si>
  <si>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</si>
  <si>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</si>
  <si>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</si>
  <si>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</si>
  <si>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</si>
  <si>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</si>
  <si>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</si>
  <si>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</si>
  <si>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</si>
  <si>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</si>
  <si>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</si>
  <si>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</si>
  <si>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</si>
  <si>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</si>
  <si>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</si>
  <si>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</si>
  <si>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</si>
  <si>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</si>
  <si>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</si>
  <si>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</si>
  <si>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</si>
  <si>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</si>
  <si>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</si>
  <si>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</si>
  <si>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</si>
  <si>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</si>
  <si>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</si>
  <si>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</si>
  <si>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</si>
  <si>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</si>
  <si>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</si>
  <si>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</si>
  <si>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</si>
  <si>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</si>
  <si>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</si>
  <si>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</si>
  <si>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</si>
  <si>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</si>
  <si>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</si>
  <si>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</si>
  <si>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</si>
  <si>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</si>
  <si>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</si>
  <si>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</si>
  <si>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</si>
  <si>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</si>
  <si>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</si>
  <si>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</si>
  <si>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</si>
  <si>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</si>
  <si>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</si>
  <si>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</si>
  <si>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</si>
  <si>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</si>
  <si>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</si>
  <si>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</si>
  <si>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</si>
  <si>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</si>
  <si>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</si>
  <si>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</si>
  <si>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</si>
  <si>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</si>
  <si>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</si>
  <si>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</si>
  <si>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</si>
  <si>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</si>
  <si>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</si>
  <si>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</si>
  <si>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</si>
  <si>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</si>
  <si>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</si>
  <si>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</si>
  <si>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</si>
  <si>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</si>
  <si>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</si>
  <si>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</si>
  <si>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</si>
  <si>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</si>
  <si>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</si>
  <si>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</si>
  <si>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</si>
  <si>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</si>
  <si>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</si>
  <si>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</si>
  <si>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</si>
  <si>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</si>
  <si>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</si>
  <si>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</si>
  <si>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</si>
  <si>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</si>
  <si>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</si>
  <si>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</si>
  <si>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</si>
  <si>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</si>
  <si>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</si>
  <si>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</si>
  <si>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</si>
  <si>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</si>
  <si>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</si>
  <si>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</si>
  <si>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</si>
  <si>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</si>
  <si>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</si>
  <si>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</si>
  <si>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</si>
  <si>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</si>
  <si>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</si>
  <si>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</si>
  <si>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</si>
  <si>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</si>
  <si>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</si>
  <si>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</si>
  <si>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</si>
  <si>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</si>
  <si>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</si>
  <si>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</si>
  <si>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</si>
  <si>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</si>
  <si>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</si>
  <si>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</si>
  <si>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</si>
  <si>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</si>
  <si>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</si>
  <si>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</si>
  <si>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</si>
  <si>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</si>
  <si>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</si>
  <si>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</si>
  <si>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</si>
  <si>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</si>
  <si>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</si>
  <si>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</si>
  <si>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Nigeria Energy Sector Fund</t>
  </si>
  <si>
    <t>Coronation Balanced Fund</t>
  </si>
  <si>
    <t>Cordros Milestone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</si>
  <si>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</si>
  <si>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</si>
  <si>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</si>
  <si>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</si>
  <si>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</si>
  <si>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</si>
  <si>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</si>
  <si>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</si>
  <si>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</si>
  <si>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</si>
  <si>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</si>
  <si>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</si>
  <si>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</si>
  <si>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</si>
  <si>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</si>
  <si>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</si>
  <si>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</si>
  <si>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</si>
  <si>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</si>
  <si>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</si>
  <si>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</si>
  <si>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</si>
  <si>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</si>
  <si>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</si>
  <si>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</si>
  <si>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</si>
  <si>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</si>
  <si>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</si>
  <si>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</si>
  <si>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</si>
  <si>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</si>
  <si>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</si>
  <si>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</si>
  <si>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</si>
  <si>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FBNQuest Asset Management Limited</t>
  </si>
  <si>
    <t>First City Asset Management Ltd.</t>
  </si>
  <si>
    <t>Nigeria Dollar Income Fund</t>
  </si>
  <si>
    <t>MIXED FUNDS</t>
  </si>
  <si>
    <t>SHARI'AH COMPLIANT FUNDS</t>
  </si>
  <si>
    <t>FBN Halal Fund</t>
  </si>
  <si>
    <t>Norrenberger Investment &amp; Capital Management Limited</t>
  </si>
  <si>
    <t>BOND/FIXED INCOME FUNDS</t>
  </si>
  <si>
    <t>Legacy Debt Fund</t>
  </si>
  <si>
    <t>NOVA Hybrid Balanced Fund</t>
  </si>
  <si>
    <t>S/N</t>
  </si>
  <si>
    <t>Stanbic IBTC Asset Management Limited</t>
  </si>
  <si>
    <t xml:space="preserve">Nigerian Eurobond Fund </t>
  </si>
  <si>
    <t>Chapel Hill Denham Nigeria Bond Fund</t>
  </si>
  <si>
    <t>FBN Dollar Fund (Retail)</t>
  </si>
  <si>
    <t xml:space="preserve">AXA Mansard Investments Limited </t>
  </si>
  <si>
    <t>EDC Nigeria Fixed Income Fund</t>
  </si>
  <si>
    <t xml:space="preserve">Capital Trust Investments &amp; Asset Mgt. Ltd </t>
  </si>
  <si>
    <t xml:space="preserve">NET ASSET VALUE  (N) </t>
  </si>
  <si>
    <t>AXA Mansard Dollar Bond Fund</t>
  </si>
  <si>
    <t>CLOSING NUMBER OF UNITS</t>
  </si>
  <si>
    <t>OPENING NUMBER OF UNITS</t>
  </si>
  <si>
    <t>Capital Trust Halal Fixed Income Fund</t>
  </si>
  <si>
    <t>ADDITIONS</t>
  </si>
  <si>
    <t>REDEMPTIONS</t>
  </si>
  <si>
    <t>Zenith ESG Impact Fund</t>
  </si>
  <si>
    <t>Zenith Balanced Strategy Fund</t>
  </si>
  <si>
    <t>Cordros Fixed Income Fund</t>
  </si>
  <si>
    <t>Nigeria Entertainment Fund</t>
  </si>
  <si>
    <t>Wealth For Women Fund</t>
  </si>
  <si>
    <t>ARM Investment Managers</t>
  </si>
  <si>
    <t>ARM Short Term-Bond Fund</t>
  </si>
  <si>
    <t>Lotus Halal Fixed Income Fund</t>
  </si>
  <si>
    <t>SPREADSHEET OF REGISTERED MUTUAL FUNDS AS AT 31ST OCTOBER, 2022</t>
  </si>
  <si>
    <t>DLM Fixed Income Fund</t>
  </si>
  <si>
    <t>DLM Asset Management Limited</t>
  </si>
  <si>
    <t>EDC Balanced Fund</t>
  </si>
  <si>
    <t>EDC Fund Management Limited</t>
  </si>
  <si>
    <t>882,980, 770.59</t>
  </si>
  <si>
    <t>6,887,526,592</t>
  </si>
  <si>
    <t>21,804,922.05</t>
  </si>
  <si>
    <t>917,280,477.56</t>
  </si>
  <si>
    <t>NET ASSET VALUE  (N) PREVIOUS SEPTEMBER</t>
  </si>
  <si>
    <t>Futureview Dollar Fund</t>
  </si>
  <si>
    <t>Futureview Asset Management Limited</t>
  </si>
  <si>
    <t>Cordros Halal Fixed Income Fund</t>
  </si>
  <si>
    <t>EUROBONDS</t>
  </si>
  <si>
    <t>FIXED INCOME</t>
  </si>
  <si>
    <t>DOLLAR FUNDS</t>
  </si>
  <si>
    <t>Emerging Africa Balanced-Diversity Fund</t>
  </si>
  <si>
    <t>Chapel Hill Denham Money Market Fund</t>
  </si>
  <si>
    <t>Coral Money Market Fund</t>
  </si>
  <si>
    <t>FBN Bond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</si>
</sst>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&quot; &quot;* #,##0&quot; &quot;;&quot;-&quot;* #,##0&quot; &quot;;&quot; &quot;* &quot;-&quot;??&quot; &quot;"/>
    <numFmt numFmtId="166" formatCode="&quot; &quot;* #,##0.00&quot; &quot;;&quot;-&quot;* #,##0.00&quot; &quot;;&quot; &quot;* &quot;-&quot;??&quot; &quot;"/>
    <numFmt numFmtId="167" formatCode="&quot; &quot;* #,##0.00&quot; &quot;;&quot; &quot;* \(#,##0.00\);&quot; &quot;* &quot;-&quot;??&quot; &quot;"/>
    <numFmt numFmtId="168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Trebuchet MS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b/>
      <sz val="32"/>
      <color indexed="9"/>
      <name val="Calibri"/>
      <family val="2"/>
    </font>
    <font>
      <sz val="11"/>
      <name val="Calibri"/>
      <family val="2"/>
    </font>
    <font>
      <sz val="8"/>
      <color indexed="8"/>
      <name val="Calibri"/>
      <family val="2"/>
    </font>
    <font>
      <sz val="8"/>
      <color rgb="FFFF0000"/>
      <name val="Calibri"/>
      <family val="2"/>
    </font>
    <font>
      <sz val="8"/>
      <color indexed="9"/>
      <name val="Calibri"/>
      <family val="2"/>
    </font>
    <font>
      <sz val="8"/>
      <color rgb="FF000000"/>
      <name val="Calibri"/>
      <family val="2"/>
    </font>
    <font>
      <b/>
      <sz val="8"/>
      <color rgb="FFFF0000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3" fillId="0" borderId="0" applyFont="0" applyFill="0" applyBorder="0" applyAlignment="0" applyProtection="0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0" borderId="0" xfId="0" applyNumberFormat="1" applyFont="1" applyAlignment="1"/>
    <xf numFmtId="0" fontId="0" fillId="2" borderId="12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8" borderId="0" xfId="0" applyNumberFormat="1" applyFont="1" applyFill="1" applyAlignment="1"/>
    <xf numFmtId="0" fontId="0" fillId="8" borderId="0" xfId="0" applyFont="1" applyFill="1" applyAlignment="1"/>
    <xf numFmtId="0" fontId="1" fillId="2" borderId="4" xfId="0" applyNumberFormat="1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3" fillId="0" borderId="0" xfId="0" applyNumberFormat="1" applyFont="1" applyAlignment="1"/>
    <xf numFmtId="0" fontId="6" fillId="11" borderId="4" xfId="0" applyFont="1" applyFill="1" applyBorder="1" applyAlignment="1"/>
    <xf numFmtId="0" fontId="6" fillId="0" borderId="4" xfId="0" applyFont="1" applyBorder="1" applyAlignment="1"/>
    <xf numFmtId="0" fontId="0" fillId="12" borderId="4" xfId="0" applyNumberFormat="1" applyFont="1" applyFill="1" applyBorder="1" applyAlignment="1"/>
    <xf numFmtId="0" fontId="0" fillId="12" borderId="0" xfId="0" applyNumberFormat="1" applyFont="1" applyFill="1" applyAlignment="1"/>
    <xf numFmtId="0" fontId="2" fillId="2" borderId="4" xfId="0" applyNumberFormat="1" applyFont="1" applyFill="1" applyBorder="1" applyAlignment="1"/>
    <xf numFmtId="4" fontId="0" fillId="2" borderId="4" xfId="0" applyNumberFormat="1" applyFont="1" applyFill="1" applyBorder="1" applyAlignment="1"/>
    <xf numFmtId="43" fontId="0" fillId="2" borderId="4" xfId="1" applyFont="1" applyFill="1" applyBorder="1" applyAlignment="1"/>
    <xf numFmtId="43" fontId="0" fillId="0" borderId="0" xfId="1" applyFont="1" applyAlignment="1"/>
    <xf numFmtId="0" fontId="3" fillId="2" borderId="4" xfId="0" applyNumberFormat="1" applyFont="1" applyFill="1" applyBorder="1" applyAlignment="1"/>
    <xf numFmtId="0" fontId="3" fillId="0" borderId="0" xfId="0" applyFont="1" applyAlignment="1"/>
    <xf numFmtId="0" fontId="0" fillId="2" borderId="4" xfId="0" applyNumberFormat="1" applyFill="1" applyBorder="1"/>
    <xf numFmtId="0" fontId="0" fillId="0" borderId="0" xfId="0" applyNumberFormat="1"/>
    <xf numFmtId="43" fontId="0" fillId="0" borderId="0" xfId="0" applyNumberFormat="1" applyFont="1" applyAlignment="1"/>
    <xf numFmtId="0" fontId="0" fillId="0" borderId="4" xfId="0" applyNumberFormat="1" applyFont="1" applyBorder="1" applyAlignment="1"/>
    <xf numFmtId="0" fontId="3" fillId="0" borderId="13" xfId="0" applyFont="1" applyBorder="1" applyAlignment="1"/>
    <xf numFmtId="3" fontId="3" fillId="0" borderId="13" xfId="0" applyNumberFormat="1" applyFont="1" applyBorder="1" applyAlignment="1"/>
    <xf numFmtId="4" fontId="3" fillId="0" borderId="13" xfId="0" applyNumberFormat="1" applyFont="1" applyBorder="1" applyAlignment="1"/>
    <xf numFmtId="0" fontId="8" fillId="2" borderId="4" xfId="0" applyNumberFormat="1" applyFont="1" applyFill="1" applyBorder="1" applyAlignment="1"/>
    <xf numFmtId="0" fontId="8" fillId="0" borderId="0" xfId="0" applyNumberFormat="1" applyFont="1" applyAlignment="1"/>
    <xf numFmtId="49" fontId="5" fillId="0" borderId="13" xfId="0" applyNumberFormat="1" applyFont="1" applyFill="1" applyBorder="1" applyAlignment="1">
      <alignment wrapText="1"/>
    </xf>
    <xf numFmtId="49" fontId="5" fillId="0" borderId="13" xfId="0" applyNumberFormat="1" applyFont="1" applyFill="1" applyBorder="1" applyAlignment="1"/>
    <xf numFmtId="49" fontId="2" fillId="8" borderId="13" xfId="0" applyNumberFormat="1" applyFont="1" applyFill="1" applyBorder="1" applyAlignment="1">
      <alignment horizontal="center" vertical="top" wrapText="1"/>
    </xf>
    <xf numFmtId="43" fontId="2" fillId="8" borderId="13" xfId="1" applyFont="1" applyFill="1" applyBorder="1" applyAlignment="1">
      <alignment horizontal="center" vertical="top" wrapText="1"/>
    </xf>
    <xf numFmtId="165" fontId="5" fillId="0" borderId="13" xfId="0" applyNumberFormat="1" applyFont="1" applyFill="1" applyBorder="1" applyAlignment="1">
      <alignment horizontal="center" wrapText="1"/>
    </xf>
    <xf numFmtId="166" fontId="9" fillId="0" borderId="13" xfId="0" applyNumberFormat="1" applyFont="1" applyFill="1" applyBorder="1" applyAlignment="1">
      <alignment horizontal="right"/>
    </xf>
    <xf numFmtId="43" fontId="9" fillId="0" borderId="13" xfId="1" applyFont="1" applyFill="1" applyBorder="1" applyAlignment="1"/>
    <xf numFmtId="166" fontId="9" fillId="0" borderId="13" xfId="0" applyNumberFormat="1" applyFont="1" applyFill="1" applyBorder="1" applyAlignment="1"/>
    <xf numFmtId="4" fontId="9" fillId="0" borderId="13" xfId="0" applyNumberFormat="1" applyFont="1" applyFill="1" applyBorder="1" applyAlignment="1"/>
    <xf numFmtId="43" fontId="9" fillId="5" borderId="13" xfId="1" applyFont="1" applyFill="1" applyBorder="1" applyAlignment="1"/>
    <xf numFmtId="4" fontId="9" fillId="2" borderId="13" xfId="0" applyNumberFormat="1" applyFont="1" applyFill="1" applyBorder="1" applyAlignment="1"/>
    <xf numFmtId="166" fontId="9" fillId="7" borderId="13" xfId="0" applyNumberFormat="1" applyFont="1" applyFill="1" applyBorder="1" applyAlignment="1">
      <alignment horizontal="left"/>
    </xf>
    <xf numFmtId="10" fontId="9" fillId="6" borderId="13" xfId="0" applyNumberFormat="1" applyFont="1" applyFill="1" applyBorder="1" applyAlignment="1"/>
    <xf numFmtId="10" fontId="9" fillId="4" borderId="13" xfId="0" applyNumberFormat="1" applyFont="1" applyFill="1" applyBorder="1" applyAlignment="1"/>
    <xf numFmtId="10" fontId="10" fillId="8" borderId="13" xfId="0" applyNumberFormat="1" applyFont="1" applyFill="1" applyBorder="1" applyAlignment="1">
      <alignment horizontal="right" vertical="center"/>
    </xf>
    <xf numFmtId="10" fontId="9" fillId="3" borderId="13" xfId="0" applyNumberFormat="1" applyFont="1" applyFill="1" applyBorder="1" applyAlignment="1">
      <alignment horizontal="right" vertical="center"/>
    </xf>
    <xf numFmtId="166" fontId="9" fillId="3" borderId="13" xfId="0" applyNumberFormat="1" applyFont="1" applyFill="1" applyBorder="1" applyAlignment="1">
      <alignment horizontal="right" vertical="center"/>
    </xf>
    <xf numFmtId="165" fontId="9" fillId="0" borderId="13" xfId="0" applyNumberFormat="1" applyFont="1" applyFill="1" applyBorder="1" applyAlignment="1"/>
    <xf numFmtId="49" fontId="5" fillId="12" borderId="13" xfId="0" applyNumberFormat="1" applyFont="1" applyFill="1" applyBorder="1" applyAlignment="1">
      <alignment vertical="center" wrapText="1"/>
    </xf>
    <xf numFmtId="49" fontId="5" fillId="0" borderId="13" xfId="0" applyNumberFormat="1" applyFont="1" applyFill="1" applyBorder="1" applyAlignment="1">
      <alignment vertical="center" wrapText="1"/>
    </xf>
    <xf numFmtId="4" fontId="9" fillId="0" borderId="13" xfId="0" applyNumberFormat="1" applyFont="1" applyBorder="1" applyAlignment="1"/>
    <xf numFmtId="165" fontId="9" fillId="2" borderId="13" xfId="0" applyNumberFormat="1" applyFont="1" applyFill="1" applyBorder="1" applyAlignment="1"/>
    <xf numFmtId="166" fontId="9" fillId="2" borderId="13" xfId="0" applyNumberFormat="1" applyFont="1" applyFill="1" applyBorder="1" applyAlignment="1"/>
    <xf numFmtId="166" fontId="5" fillId="2" borderId="13" xfId="0" applyNumberFormat="1" applyFont="1" applyFill="1" applyBorder="1" applyAlignment="1"/>
    <xf numFmtId="166" fontId="11" fillId="2" borderId="13" xfId="0" applyNumberFormat="1" applyFont="1" applyFill="1" applyBorder="1" applyAlignment="1"/>
    <xf numFmtId="166" fontId="5" fillId="5" borderId="13" xfId="0" applyNumberFormat="1" applyFont="1" applyFill="1" applyBorder="1" applyAlignment="1"/>
    <xf numFmtId="166" fontId="9" fillId="7" borderId="13" xfId="0" applyNumberFormat="1" applyFont="1" applyFill="1" applyBorder="1" applyAlignment="1"/>
    <xf numFmtId="165" fontId="5" fillId="2" borderId="13" xfId="0" applyNumberFormat="1" applyFont="1" applyFill="1" applyBorder="1" applyAlignment="1"/>
    <xf numFmtId="49" fontId="5" fillId="12" borderId="13" xfId="0" applyNumberFormat="1" applyFont="1" applyFill="1" applyBorder="1" applyAlignment="1"/>
    <xf numFmtId="165" fontId="13" fillId="2" borderId="13" xfId="0" applyNumberFormat="1" applyFont="1" applyFill="1" applyBorder="1" applyAlignment="1">
      <alignment horizontal="center"/>
    </xf>
    <xf numFmtId="49" fontId="14" fillId="2" borderId="13" xfId="0" applyNumberFormat="1" applyFont="1" applyFill="1" applyBorder="1" applyAlignment="1">
      <alignment horizontal="right"/>
    </xf>
    <xf numFmtId="166" fontId="15" fillId="2" borderId="13" xfId="0" applyNumberFormat="1" applyFont="1" applyFill="1" applyBorder="1" applyAlignment="1"/>
    <xf numFmtId="166" fontId="15" fillId="7" borderId="13" xfId="0" applyNumberFormat="1" applyFont="1" applyFill="1" applyBorder="1" applyAlignment="1">
      <alignment horizontal="left"/>
    </xf>
    <xf numFmtId="10" fontId="13" fillId="6" borderId="13" xfId="0" applyNumberFormat="1" applyFont="1" applyFill="1" applyBorder="1" applyAlignment="1"/>
    <xf numFmtId="10" fontId="15" fillId="4" borderId="13" xfId="0" applyNumberFormat="1" applyFont="1" applyFill="1" applyBorder="1" applyAlignment="1"/>
    <xf numFmtId="10" fontId="13" fillId="8" borderId="13" xfId="0" applyNumberFormat="1" applyFont="1" applyFill="1" applyBorder="1" applyAlignment="1">
      <alignment horizontal="right" vertical="center"/>
    </xf>
    <xf numFmtId="10" fontId="15" fillId="3" borderId="13" xfId="0" applyNumberFormat="1" applyFont="1" applyFill="1" applyBorder="1" applyAlignment="1">
      <alignment horizontal="right" vertical="center"/>
    </xf>
    <xf numFmtId="166" fontId="15" fillId="3" borderId="13" xfId="0" applyNumberFormat="1" applyFont="1" applyFill="1" applyBorder="1" applyAlignment="1">
      <alignment horizontal="right" vertical="center"/>
    </xf>
    <xf numFmtId="165" fontId="15" fillId="2" borderId="13" xfId="0" applyNumberFormat="1" applyFont="1" applyFill="1" applyBorder="1" applyAlignment="1"/>
    <xf numFmtId="49" fontId="5" fillId="12" borderId="13" xfId="0" applyNumberFormat="1" applyFont="1" applyFill="1" applyBorder="1" applyAlignment="1">
      <alignment wrapText="1"/>
    </xf>
    <xf numFmtId="0" fontId="3" fillId="0" borderId="13" xfId="0" applyNumberFormat="1" applyFont="1" applyBorder="1" applyAlignment="1"/>
    <xf numFmtId="166" fontId="5" fillId="0" borderId="13" xfId="0" applyNumberFormat="1" applyFont="1" applyFill="1" applyBorder="1" applyAlignment="1"/>
    <xf numFmtId="0" fontId="15" fillId="2" borderId="13" xfId="0" applyNumberFormat="1" applyFont="1" applyFill="1" applyBorder="1" applyAlignment="1"/>
    <xf numFmtId="166" fontId="15" fillId="2" borderId="13" xfId="0" applyNumberFormat="1" applyFont="1" applyFill="1" applyBorder="1" applyAlignment="1">
      <alignment horizontal="left"/>
    </xf>
    <xf numFmtId="4" fontId="17" fillId="0" borderId="13" xfId="0" applyNumberFormat="1" applyFont="1" applyBorder="1" applyAlignment="1"/>
    <xf numFmtId="166" fontId="9" fillId="7" borderId="13" xfId="0" applyNumberFormat="1" applyFont="1" applyFill="1" applyBorder="1"/>
    <xf numFmtId="166" fontId="9" fillId="12" borderId="13" xfId="0" applyNumberFormat="1" applyFont="1" applyFill="1" applyBorder="1" applyAlignment="1"/>
    <xf numFmtId="165" fontId="9" fillId="12" borderId="13" xfId="0" applyNumberFormat="1" applyFont="1" applyFill="1" applyBorder="1" applyAlignment="1"/>
    <xf numFmtId="43" fontId="9" fillId="0" borderId="13" xfId="1" applyFont="1" applyFill="1" applyBorder="1" applyAlignment="1">
      <alignment horizontal="right"/>
    </xf>
    <xf numFmtId="43" fontId="5" fillId="5" borderId="13" xfId="1" applyFont="1" applyFill="1" applyBorder="1" applyAlignment="1"/>
    <xf numFmtId="49" fontId="5" fillId="0" borderId="13" xfId="0" applyNumberFormat="1" applyFont="1" applyFill="1" applyBorder="1" applyAlignment="1">
      <alignment vertical="top" wrapText="1"/>
    </xf>
    <xf numFmtId="49" fontId="13" fillId="12" borderId="13" xfId="0" applyNumberFormat="1" applyFont="1" applyFill="1" applyBorder="1" applyAlignment="1">
      <alignment horizontal="center" wrapText="1"/>
    </xf>
    <xf numFmtId="166" fontId="15" fillId="7" borderId="13" xfId="0" applyNumberFormat="1" applyFont="1" applyFill="1" applyBorder="1"/>
    <xf numFmtId="166" fontId="15" fillId="7" borderId="13" xfId="0" applyNumberFormat="1" applyFont="1" applyFill="1" applyBorder="1" applyAlignment="1"/>
    <xf numFmtId="2" fontId="9" fillId="0" borderId="13" xfId="0" applyNumberFormat="1" applyFont="1" applyFill="1" applyBorder="1" applyAlignment="1"/>
    <xf numFmtId="0" fontId="9" fillId="2" borderId="13" xfId="0" applyNumberFormat="1" applyFont="1" applyFill="1" applyBorder="1" applyAlignment="1"/>
    <xf numFmtId="166" fontId="9" fillId="2" borderId="13" xfId="0" applyNumberFormat="1" applyFont="1" applyFill="1" applyBorder="1" applyAlignment="1">
      <alignment horizontal="left"/>
    </xf>
    <xf numFmtId="164" fontId="9" fillId="2" borderId="13" xfId="0" applyNumberFormat="1" applyFont="1" applyFill="1" applyBorder="1" applyAlignment="1"/>
    <xf numFmtId="166" fontId="9" fillId="10" borderId="13" xfId="0" applyNumberFormat="1" applyFont="1" applyFill="1" applyBorder="1" applyAlignment="1"/>
    <xf numFmtId="1" fontId="9" fillId="0" borderId="13" xfId="0" applyNumberFormat="1" applyFont="1" applyFill="1" applyBorder="1" applyAlignment="1"/>
    <xf numFmtId="2" fontId="9" fillId="12" borderId="13" xfId="0" applyNumberFormat="1" applyFont="1" applyFill="1" applyBorder="1" applyAlignment="1"/>
    <xf numFmtId="4" fontId="9" fillId="0" borderId="0" xfId="0" applyNumberFormat="1" applyFont="1" applyAlignment="1">
      <alignment vertical="center"/>
    </xf>
    <xf numFmtId="3" fontId="9" fillId="0" borderId="13" xfId="0" applyNumberFormat="1" applyFont="1" applyBorder="1" applyAlignment="1"/>
    <xf numFmtId="165" fontId="5" fillId="0" borderId="13" xfId="0" applyNumberFormat="1" applyFont="1" applyFill="1" applyBorder="1" applyAlignment="1">
      <alignment horizontal="right" wrapText="1"/>
    </xf>
    <xf numFmtId="43" fontId="9" fillId="5" borderId="13" xfId="1" applyFont="1" applyFill="1" applyBorder="1" applyAlignment="1">
      <alignment horizontal="left"/>
    </xf>
    <xf numFmtId="10" fontId="9" fillId="8" borderId="13" xfId="0" applyNumberFormat="1" applyFont="1" applyFill="1" applyBorder="1" applyAlignment="1"/>
    <xf numFmtId="166" fontId="9" fillId="2" borderId="13" xfId="0" applyNumberFormat="1" applyFont="1" applyFill="1" applyBorder="1" applyAlignment="1">
      <alignment horizontal="right"/>
    </xf>
    <xf numFmtId="4" fontId="5" fillId="2" borderId="13" xfId="0" applyNumberFormat="1" applyFont="1" applyFill="1" applyBorder="1" applyAlignment="1"/>
    <xf numFmtId="43" fontId="9" fillId="2" borderId="13" xfId="1" applyFont="1" applyFill="1" applyBorder="1" applyAlignment="1"/>
    <xf numFmtId="43" fontId="9" fillId="10" borderId="13" xfId="1" applyFont="1" applyFill="1" applyBorder="1" applyAlignment="1"/>
    <xf numFmtId="166" fontId="12" fillId="11" borderId="13" xfId="0" applyNumberFormat="1" applyFont="1" applyFill="1" applyBorder="1" applyAlignment="1">
      <alignment horizontal="left"/>
    </xf>
    <xf numFmtId="165" fontId="10" fillId="0" borderId="13" xfId="0" applyNumberFormat="1" applyFont="1" applyFill="1" applyBorder="1" applyAlignment="1">
      <alignment horizontal="center" wrapText="1"/>
    </xf>
    <xf numFmtId="49" fontId="10" fillId="0" borderId="13" xfId="0" applyNumberFormat="1" applyFont="1" applyFill="1" applyBorder="1" applyAlignment="1">
      <alignment wrapText="1"/>
    </xf>
    <xf numFmtId="49" fontId="10" fillId="0" borderId="13" xfId="0" applyNumberFormat="1" applyFont="1" applyFill="1" applyBorder="1" applyAlignment="1"/>
    <xf numFmtId="166" fontId="9" fillId="0" borderId="13" xfId="0" applyNumberFormat="1" applyFont="1" applyFill="1" applyBorder="1" applyAlignment="1">
      <alignment horizontal="left"/>
    </xf>
    <xf numFmtId="3" fontId="9" fillId="2" borderId="13" xfId="0" applyNumberFormat="1" applyFont="1" applyFill="1" applyBorder="1" applyAlignment="1"/>
    <xf numFmtId="166" fontId="12" fillId="0" borderId="13" xfId="0" applyNumberFormat="1" applyFont="1" applyBorder="1" applyAlignment="1"/>
    <xf numFmtId="3" fontId="9" fillId="0" borderId="13" xfId="0" applyNumberFormat="1" applyFont="1" applyFill="1" applyBorder="1" applyAlignment="1"/>
    <xf numFmtId="165" fontId="13" fillId="0" borderId="13" xfId="0" applyNumberFormat="1" applyFont="1" applyFill="1" applyBorder="1" applyAlignment="1">
      <alignment horizontal="center" wrapText="1"/>
    </xf>
    <xf numFmtId="49" fontId="14" fillId="0" borderId="13" xfId="0" applyNumberFormat="1" applyFont="1" applyFill="1" applyBorder="1" applyAlignment="1">
      <alignment horizontal="right"/>
    </xf>
    <xf numFmtId="43" fontId="15" fillId="2" borderId="13" xfId="1" applyFont="1" applyFill="1" applyBorder="1" applyAlignment="1"/>
    <xf numFmtId="168" fontId="15" fillId="2" borderId="13" xfId="1" applyNumberFormat="1" applyFont="1" applyFill="1" applyBorder="1" applyAlignment="1"/>
    <xf numFmtId="49" fontId="9" fillId="2" borderId="13" xfId="0" applyNumberFormat="1" applyFont="1" applyFill="1" applyBorder="1" applyAlignment="1">
      <alignment horizontal="right"/>
    </xf>
    <xf numFmtId="4" fontId="9" fillId="2" borderId="13" xfId="0" applyNumberFormat="1" applyFont="1" applyFill="1" applyBorder="1" applyAlignment="1">
      <alignment horizontal="right"/>
    </xf>
    <xf numFmtId="43" fontId="9" fillId="5" borderId="13" xfId="1" applyFont="1" applyFill="1" applyBorder="1" applyAlignment="1">
      <alignment horizontal="right"/>
    </xf>
    <xf numFmtId="43" fontId="9" fillId="2" borderId="13" xfId="1" applyFont="1" applyFill="1" applyBorder="1" applyAlignment="1">
      <alignment horizontal="right"/>
    </xf>
    <xf numFmtId="2" fontId="9" fillId="2" borderId="13" xfId="0" applyNumberFormat="1" applyFont="1" applyFill="1" applyBorder="1" applyAlignment="1">
      <alignment horizontal="right"/>
    </xf>
    <xf numFmtId="165" fontId="13" fillId="2" borderId="13" xfId="0" applyNumberFormat="1" applyFont="1" applyFill="1" applyBorder="1" applyAlignment="1">
      <alignment horizontal="center" wrapText="1"/>
    </xf>
    <xf numFmtId="167" fontId="9" fillId="2" borderId="13" xfId="0" applyNumberFormat="1" applyFont="1" applyFill="1" applyBorder="1" applyAlignment="1"/>
    <xf numFmtId="166" fontId="9" fillId="2" borderId="13" xfId="0" applyNumberFormat="1" applyFont="1" applyFill="1" applyBorder="1" applyAlignment="1">
      <alignment wrapText="1"/>
    </xf>
    <xf numFmtId="4" fontId="5" fillId="12" borderId="13" xfId="0" applyNumberFormat="1" applyFont="1" applyFill="1" applyBorder="1" applyAlignment="1">
      <alignment wrapText="1"/>
    </xf>
    <xf numFmtId="0" fontId="5" fillId="12" borderId="13" xfId="0" applyFont="1" applyFill="1" applyBorder="1" applyAlignment="1">
      <alignment wrapText="1"/>
    </xf>
    <xf numFmtId="0" fontId="5" fillId="0" borderId="13" xfId="0" applyFont="1" applyFill="1" applyBorder="1" applyAlignment="1"/>
    <xf numFmtId="166" fontId="15" fillId="2" borderId="13" xfId="0" applyNumberFormat="1" applyFont="1" applyFill="1" applyBorder="1" applyAlignment="1">
      <alignment wrapText="1"/>
    </xf>
    <xf numFmtId="165" fontId="10" fillId="12" borderId="13" xfId="0" applyNumberFormat="1" applyFont="1" applyFill="1" applyBorder="1" applyAlignment="1">
      <alignment horizontal="center" wrapText="1"/>
    </xf>
    <xf numFmtId="166" fontId="9" fillId="2" borderId="13" xfId="0" applyNumberFormat="1" applyFont="1" applyFill="1" applyBorder="1" applyAlignment="1">
      <alignment horizontal="left" wrapText="1"/>
    </xf>
    <xf numFmtId="165" fontId="9" fillId="2" borderId="13" xfId="0" applyNumberFormat="1" applyFont="1" applyFill="1" applyBorder="1" applyAlignment="1">
      <alignment horizontal="left"/>
    </xf>
    <xf numFmtId="165" fontId="9" fillId="0" borderId="13" xfId="0" applyNumberFormat="1" applyFont="1" applyFill="1" applyBorder="1" applyAlignment="1">
      <alignment horizontal="center"/>
    </xf>
    <xf numFmtId="49" fontId="15" fillId="0" borderId="13" xfId="0" applyNumberFormat="1" applyFont="1" applyFill="1" applyBorder="1" applyAlignment="1">
      <alignment horizontal="right"/>
    </xf>
    <xf numFmtId="165" fontId="9" fillId="14" borderId="13" xfId="0" applyNumberFormat="1" applyFont="1" applyFill="1" applyBorder="1" applyAlignment="1">
      <alignment horizontal="center" wrapText="1"/>
    </xf>
    <xf numFmtId="49" fontId="15" fillId="14" borderId="13" xfId="0" applyNumberFormat="1" applyFont="1" applyFill="1" applyBorder="1" applyAlignment="1">
      <alignment horizontal="right"/>
    </xf>
    <xf numFmtId="166" fontId="15" fillId="14" borderId="13" xfId="0" applyNumberFormat="1" applyFont="1" applyFill="1" applyBorder="1" applyAlignment="1"/>
    <xf numFmtId="166" fontId="15" fillId="14" borderId="13" xfId="0" applyNumberFormat="1" applyFont="1" applyFill="1" applyBorder="1"/>
    <xf numFmtId="10" fontId="15" fillId="14" borderId="13" xfId="0" applyNumberFormat="1" applyFont="1" applyFill="1" applyBorder="1" applyAlignment="1"/>
    <xf numFmtId="10" fontId="13" fillId="14" borderId="13" xfId="0" applyNumberFormat="1" applyFont="1" applyFill="1" applyBorder="1" applyAlignment="1">
      <alignment horizontal="right" vertical="center"/>
    </xf>
    <xf numFmtId="10" fontId="15" fillId="14" borderId="13" xfId="0" applyNumberFormat="1" applyFont="1" applyFill="1" applyBorder="1" applyAlignment="1">
      <alignment horizontal="right" vertical="center"/>
    </xf>
    <xf numFmtId="166" fontId="15" fillId="14" borderId="13" xfId="0" applyNumberFormat="1" applyFont="1" applyFill="1" applyBorder="1" applyAlignment="1">
      <alignment horizontal="right" vertical="center"/>
    </xf>
    <xf numFmtId="165" fontId="15" fillId="14" borderId="13" xfId="0" applyNumberFormat="1" applyFont="1" applyFill="1" applyBorder="1" applyAlignment="1"/>
    <xf numFmtId="166" fontId="9" fillId="7" borderId="13" xfId="0" applyNumberFormat="1" applyFont="1" applyFill="1" applyBorder="1" applyAlignment="1">
      <alignment horizontal="left" wrapText="1"/>
    </xf>
    <xf numFmtId="49" fontId="16" fillId="9" borderId="14" xfId="0" applyNumberFormat="1" applyFont="1" applyFill="1" applyBorder="1" applyAlignment="1">
      <alignment horizontal="center" vertical="top" wrapText="1"/>
    </xf>
    <xf numFmtId="49" fontId="16" fillId="9" borderId="15" xfId="0" applyNumberFormat="1" applyFont="1" applyFill="1" applyBorder="1" applyAlignment="1">
      <alignment horizontal="center" vertical="top" wrapText="1"/>
    </xf>
    <xf numFmtId="49" fontId="16" fillId="9" borderId="16" xfId="0" applyNumberFormat="1" applyFont="1" applyFill="1" applyBorder="1" applyAlignment="1">
      <alignment horizontal="center" vertical="top" wrapText="1"/>
    </xf>
    <xf numFmtId="0" fontId="14" fillId="8" borderId="14" xfId="0" applyFont="1" applyFill="1" applyBorder="1" applyAlignment="1">
      <alignment horizontal="center" wrapText="1"/>
    </xf>
    <xf numFmtId="0" fontId="14" fillId="8" borderId="15" xfId="0" applyFont="1" applyFill="1" applyBorder="1" applyAlignment="1">
      <alignment horizontal="center" wrapText="1"/>
    </xf>
    <xf numFmtId="0" fontId="14" fillId="8" borderId="16" xfId="0" applyFont="1" applyFill="1" applyBorder="1" applyAlignment="1">
      <alignment horizontal="center" wrapText="1"/>
    </xf>
    <xf numFmtId="49" fontId="7" fillId="13" borderId="13" xfId="0" applyNumberFormat="1" applyFont="1" applyFill="1" applyBorder="1" applyAlignment="1">
      <alignment horizontal="center"/>
    </xf>
    <xf numFmtId="0" fontId="7" fillId="13" borderId="13" xfId="0" applyNumberFormat="1" applyFont="1" applyFill="1" applyBorder="1" applyAlignment="1">
      <alignment horizontal="center"/>
    </xf>
    <xf numFmtId="49" fontId="4" fillId="9" borderId="14" xfId="0" applyNumberFormat="1" applyFont="1" applyFill="1" applyBorder="1" applyAlignment="1">
      <alignment horizontal="center" vertical="top" wrapText="1"/>
    </xf>
    <xf numFmtId="49" fontId="4" fillId="9" borderId="15" xfId="0" applyNumberFormat="1" applyFont="1" applyFill="1" applyBorder="1" applyAlignment="1">
      <alignment horizontal="center" vertical="top" wrapText="1"/>
    </xf>
    <xf numFmtId="49" fontId="4" fillId="9" borderId="16" xfId="0" applyNumberFormat="1" applyFont="1" applyFill="1" applyBorder="1" applyAlignment="1">
      <alignment horizontal="center" vertical="top" wrapText="1"/>
    </xf>
    <xf numFmtId="166" fontId="13" fillId="8" borderId="14" xfId="0" applyNumberFormat="1" applyFont="1" applyFill="1" applyBorder="1" applyAlignment="1">
      <alignment horizontal="center" wrapText="1"/>
    </xf>
    <xf numFmtId="166" fontId="13" fillId="8" borderId="15" xfId="0" applyNumberFormat="1" applyFont="1" applyFill="1" applyBorder="1" applyAlignment="1">
      <alignment horizontal="center" wrapText="1"/>
    </xf>
    <xf numFmtId="166" fontId="13" fillId="8" borderId="16" xfId="0" applyNumberFormat="1" applyFont="1" applyFill="1" applyBorder="1" applyAlignment="1">
      <alignment horizontal="center" wrapText="1"/>
    </xf>
    <xf numFmtId="166" fontId="14" fillId="8" borderId="14" xfId="0" applyNumberFormat="1" applyFont="1" applyFill="1" applyBorder="1" applyAlignment="1">
      <alignment horizontal="center" wrapText="1"/>
    </xf>
    <xf numFmtId="166" fontId="14" fillId="8" borderId="15" xfId="0" applyNumberFormat="1" applyFont="1" applyFill="1" applyBorder="1" applyAlignment="1">
      <alignment horizontal="center" wrapText="1"/>
    </xf>
    <xf numFmtId="166" fontId="14" fillId="8" borderId="16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11</xdr:col>
      <xdr:colOff>9525</xdr:colOff>
      <xdr:row>23</xdr:row>
      <xdr:rowOff>76200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343775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11906</xdr:colOff>
      <xdr:row>24</xdr:row>
      <xdr:rowOff>11906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46406" cy="4012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333373</xdr:colOff>
      <xdr:row>22</xdr:row>
      <xdr:rowOff>71436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8936" cy="426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7"/>
  <sheetViews>
    <sheetView showGridLines="0" tabSelected="1" view="pageBreakPreview" zoomScale="150" zoomScaleNormal="160" zoomScaleSheetLayoutView="150" workbookViewId="0">
      <pane ySplit="2" topLeftCell="A3" activePane="bottomLeft" state="frozen"/>
      <selection pane="bottomLeft" sqref="A1:AE1"/>
    </sheetView>
  </sheetViews>
  <sheetFormatPr defaultColWidth="8.85546875" defaultRowHeight="15.75" customHeight="1" x14ac:dyDescent="0.25"/>
  <cols>
    <col min="1" max="1" width="6.42578125" style="1" customWidth="1"/>
    <col min="2" max="2" width="27.42578125" style="17" customWidth="1"/>
    <col min="3" max="3" width="38" style="1" customWidth="1"/>
    <col min="4" max="4" width="0.42578125" style="1" customWidth="1"/>
    <col min="5" max="5" width="1.140625" style="1" hidden="1" customWidth="1"/>
    <col min="6" max="6" width="21.140625" style="1" hidden="1" customWidth="1"/>
    <col min="7" max="7" width="21.42578125" style="1" hidden="1" customWidth="1"/>
    <col min="8" max="8" width="19.28515625" style="1" hidden="1" customWidth="1"/>
    <col min="9" max="9" width="18" style="1" hidden="1" customWidth="1"/>
    <col min="10" max="10" width="22" style="1" customWidth="1"/>
    <col min="11" max="11" width="19.140625" style="17" customWidth="1"/>
    <col min="12" max="12" width="19.7109375" style="1" customWidth="1"/>
    <col min="13" max="13" width="19.140625" style="31" customWidth="1"/>
    <col min="14" max="14" width="22.42578125" style="1" customWidth="1"/>
    <col min="15" max="15" width="19.42578125" style="1" customWidth="1"/>
    <col min="16" max="16" width="20.5703125" style="35" customWidth="1"/>
    <col min="17" max="17" width="9.28515625" style="1" customWidth="1"/>
    <col min="18" max="18" width="20.140625" style="1" customWidth="1"/>
    <col min="19" max="19" width="9.140625" style="1" customWidth="1"/>
    <col min="20" max="20" width="11.5703125" style="1" customWidth="1"/>
    <col min="21" max="21" width="12.28515625" style="1" customWidth="1"/>
    <col min="22" max="22" width="12.7109375" style="1" customWidth="1"/>
    <col min="23" max="23" width="12.28515625" style="1" customWidth="1"/>
    <col min="24" max="24" width="12.7109375" style="1" customWidth="1"/>
    <col min="25" max="25" width="15" style="1" customWidth="1"/>
    <col min="26" max="26" width="14.42578125" style="1" customWidth="1"/>
    <col min="27" max="27" width="14.28515625" style="1" customWidth="1"/>
    <col min="28" max="28" width="20.140625" style="17" customWidth="1"/>
    <col min="29" max="29" width="18.140625" style="17" customWidth="1"/>
    <col min="30" max="30" width="19" style="17" customWidth="1"/>
    <col min="31" max="31" width="21.85546875" style="1" customWidth="1"/>
    <col min="32" max="32" width="8.85546875" style="1" customWidth="1"/>
    <col min="33" max="33" width="20.28515625" style="1" customWidth="1"/>
    <col min="34" max="241" width="8.85546875" style="1" customWidth="1"/>
  </cols>
  <sheetData>
    <row r="1" spans="1:241" ht="39" customHeight="1" x14ac:dyDescent="0.65">
      <c r="A1" s="158" t="s">
        <v>203</v>
      </c>
      <c r="B1" s="158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3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ht="54" customHeight="1" x14ac:dyDescent="0.25">
      <c r="A2" s="45" t="s">
        <v>180</v>
      </c>
      <c r="B2" s="45" t="s">
        <v>1</v>
      </c>
      <c r="C2" s="45" t="s">
        <v>0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159</v>
      </c>
      <c r="L2" s="45" t="s">
        <v>9</v>
      </c>
      <c r="M2" s="46" t="s">
        <v>10</v>
      </c>
      <c r="N2" s="45" t="s">
        <v>11</v>
      </c>
      <c r="O2" s="45" t="s">
        <v>12</v>
      </c>
      <c r="P2" s="45" t="s">
        <v>212</v>
      </c>
      <c r="Q2" s="45" t="s">
        <v>13</v>
      </c>
      <c r="R2" s="45" t="s">
        <v>188</v>
      </c>
      <c r="S2" s="45" t="s">
        <v>13</v>
      </c>
      <c r="T2" s="45" t="s">
        <v>14</v>
      </c>
      <c r="U2" s="45" t="s">
        <v>15</v>
      </c>
      <c r="V2" s="45" t="s">
        <v>16</v>
      </c>
      <c r="W2" s="45" t="s">
        <v>17</v>
      </c>
      <c r="X2" s="45" t="s">
        <v>18</v>
      </c>
      <c r="Y2" s="45" t="s">
        <v>19</v>
      </c>
      <c r="Z2" s="45" t="s">
        <v>20</v>
      </c>
      <c r="AA2" s="45" t="s">
        <v>21</v>
      </c>
      <c r="AB2" s="45" t="s">
        <v>191</v>
      </c>
      <c r="AC2" s="45" t="s">
        <v>193</v>
      </c>
      <c r="AD2" s="45" t="s">
        <v>194</v>
      </c>
      <c r="AE2" s="45" t="s">
        <v>190</v>
      </c>
      <c r="AF2" s="5"/>
    </row>
    <row r="3" spans="1:241" ht="18" customHeight="1" x14ac:dyDescent="0.25">
      <c r="A3" s="160" t="s">
        <v>22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2"/>
      <c r="AF3" s="5"/>
    </row>
    <row r="4" spans="1:241" ht="18" customHeight="1" x14ac:dyDescent="0.25">
      <c r="A4" s="47">
        <v>1</v>
      </c>
      <c r="B4" s="43" t="s">
        <v>32</v>
      </c>
      <c r="C4" s="43" t="s">
        <v>31</v>
      </c>
      <c r="D4" s="48">
        <v>317473218.51999998</v>
      </c>
      <c r="E4" s="49"/>
      <c r="F4" s="50">
        <v>66621728.350000001</v>
      </c>
      <c r="G4" s="50"/>
      <c r="H4" s="50"/>
      <c r="I4" s="50"/>
      <c r="J4" s="51">
        <v>384094946.87</v>
      </c>
      <c r="K4" s="51">
        <v>3936205.22</v>
      </c>
      <c r="L4" s="51">
        <v>1014267.29</v>
      </c>
      <c r="M4" s="52">
        <v>2921937.93</v>
      </c>
      <c r="N4" s="53">
        <v>389225454.10000002</v>
      </c>
      <c r="O4" s="53">
        <v>10175885.359999999</v>
      </c>
      <c r="P4" s="54">
        <v>400005117.72000003</v>
      </c>
      <c r="Q4" s="55">
        <f t="shared" ref="Q4:Q15" si="0">(P4/$P$19)</f>
        <v>2.5763219463030115E-2</v>
      </c>
      <c r="R4" s="54">
        <v>379049568.74000001</v>
      </c>
      <c r="S4" s="55">
        <f t="shared" ref="S4:S18" si="1">(R4/$R$19)</f>
        <v>2.5054830624973663E-2</v>
      </c>
      <c r="T4" s="56">
        <f t="shared" ref="T4:T18" si="2">((R4-P4)/P4)</f>
        <v>-5.23882021796249E-2</v>
      </c>
      <c r="U4" s="57">
        <f t="shared" ref="U4:U18" si="3">(L4/R4)</f>
        <v>2.6758170267058459E-3</v>
      </c>
      <c r="V4" s="58">
        <f t="shared" ref="V4:V17" si="4">M4/R4</f>
        <v>7.7085905669615302E-3</v>
      </c>
      <c r="W4" s="59">
        <f t="shared" ref="W4:W17" si="5">R4/AE4</f>
        <v>176.86484079700924</v>
      </c>
      <c r="X4" s="59">
        <f t="shared" ref="X4:X17" si="6">M4/AE4</f>
        <v>1.3633786433949784</v>
      </c>
      <c r="Y4" s="50">
        <v>176.8648</v>
      </c>
      <c r="Z4" s="50">
        <v>181.6129</v>
      </c>
      <c r="AA4" s="60">
        <v>1714</v>
      </c>
      <c r="AB4" s="50">
        <v>2143497.1981000002</v>
      </c>
      <c r="AC4" s="50"/>
      <c r="AD4" s="50">
        <v>337.67</v>
      </c>
      <c r="AE4" s="50">
        <v>2143159.5281000002</v>
      </c>
      <c r="AF4" s="5"/>
    </row>
    <row r="5" spans="1:241" ht="18" customHeight="1" x14ac:dyDescent="0.25">
      <c r="A5" s="47">
        <v>2</v>
      </c>
      <c r="B5" s="43" t="s">
        <v>49</v>
      </c>
      <c r="C5" s="43" t="s">
        <v>48</v>
      </c>
      <c r="D5" s="48">
        <v>309556774.55000001</v>
      </c>
      <c r="E5" s="49"/>
      <c r="F5" s="50">
        <v>59057313.759999998</v>
      </c>
      <c r="G5" s="50" t="s">
        <v>88</v>
      </c>
      <c r="H5" s="50"/>
      <c r="I5" s="50"/>
      <c r="J5" s="51">
        <v>407245520.36000001</v>
      </c>
      <c r="K5" s="51">
        <v>2536982.36</v>
      </c>
      <c r="L5" s="51">
        <v>4334621.43</v>
      </c>
      <c r="M5" s="52">
        <v>-1797639.07</v>
      </c>
      <c r="N5" s="53">
        <v>412485279.83999997</v>
      </c>
      <c r="O5" s="53">
        <v>4334621.43</v>
      </c>
      <c r="P5" s="54">
        <v>417427980.16000003</v>
      </c>
      <c r="Q5" s="55">
        <f t="shared" si="0"/>
        <v>2.688537767759103E-2</v>
      </c>
      <c r="R5" s="54">
        <v>408150658.41000003</v>
      </c>
      <c r="S5" s="55">
        <f t="shared" si="1"/>
        <v>2.6978386098490494E-2</v>
      </c>
      <c r="T5" s="56">
        <f t="shared" si="2"/>
        <v>-2.2224963804400474E-2</v>
      </c>
      <c r="U5" s="57">
        <f t="shared" ref="U5:U18" si="7">(L5/R5)</f>
        <v>1.0620150526979519E-2</v>
      </c>
      <c r="V5" s="58">
        <f t="shared" ref="V5:V18" si="8">M5/R5</f>
        <v>-4.4043517582525024E-3</v>
      </c>
      <c r="W5" s="59">
        <f t="shared" ref="W5:W18" si="9">R5/AE5</f>
        <v>134.61565765008831</v>
      </c>
      <c r="X5" s="59">
        <f t="shared" ref="X5:X18" si="10">M5/AE5</f>
        <v>-0.59289470845948333</v>
      </c>
      <c r="Y5" s="50">
        <v>133.9674</v>
      </c>
      <c r="Z5" s="50">
        <v>135.4812</v>
      </c>
      <c r="AA5" s="60">
        <v>300</v>
      </c>
      <c r="AB5" s="60">
        <v>3032486.44</v>
      </c>
      <c r="AC5" s="60"/>
      <c r="AD5" s="60">
        <v>516.27000000001863</v>
      </c>
      <c r="AE5" s="60">
        <v>3031970.17</v>
      </c>
      <c r="AF5" s="5"/>
    </row>
    <row r="6" spans="1:241" s="19" customFormat="1" ht="15" x14ac:dyDescent="0.25">
      <c r="A6" s="47">
        <v>3</v>
      </c>
      <c r="B6" s="43" t="s">
        <v>36</v>
      </c>
      <c r="C6" s="44" t="s">
        <v>35</v>
      </c>
      <c r="D6" s="48">
        <v>1795843136.26</v>
      </c>
      <c r="E6" s="49"/>
      <c r="F6" s="50"/>
      <c r="G6" s="50">
        <v>26668609</v>
      </c>
      <c r="H6" s="50">
        <v>1088551.1000000001</v>
      </c>
      <c r="I6" s="50"/>
      <c r="J6" s="50">
        <v>1823600296.3599999</v>
      </c>
      <c r="K6" s="51">
        <v>10650140.449999999</v>
      </c>
      <c r="L6" s="51">
        <v>6125046.54</v>
      </c>
      <c r="M6" s="52">
        <v>-65663101.079999998</v>
      </c>
      <c r="N6" s="53">
        <v>2239847944</v>
      </c>
      <c r="O6" s="53">
        <v>73902174</v>
      </c>
      <c r="P6" s="54">
        <v>2239394952</v>
      </c>
      <c r="Q6" s="55">
        <f t="shared" si="0"/>
        <v>0.14423321366893882</v>
      </c>
      <c r="R6" s="54">
        <v>2165945770</v>
      </c>
      <c r="S6" s="55">
        <f t="shared" si="1"/>
        <v>0.14316703905143233</v>
      </c>
      <c r="T6" s="56">
        <f t="shared" si="2"/>
        <v>-3.2798672665758512E-2</v>
      </c>
      <c r="U6" s="57">
        <f t="shared" si="7"/>
        <v>2.8278854553223649E-3</v>
      </c>
      <c r="V6" s="58">
        <f t="shared" si="8"/>
        <v>-3.0316133482880321E-2</v>
      </c>
      <c r="W6" s="59">
        <f t="shared" si="9"/>
        <v>20.505361997669127</v>
      </c>
      <c r="X6" s="59">
        <f t="shared" si="10"/>
        <v>-0.62164329143611874</v>
      </c>
      <c r="Y6" s="50">
        <v>20.402899999999999</v>
      </c>
      <c r="Z6" s="50">
        <v>21.018000000000001</v>
      </c>
      <c r="AA6" s="60">
        <v>725</v>
      </c>
      <c r="AB6" s="60">
        <v>106032140</v>
      </c>
      <c r="AC6" s="60">
        <v>230137</v>
      </c>
      <c r="AD6" s="60">
        <v>634014</v>
      </c>
      <c r="AE6" s="50">
        <v>105628263</v>
      </c>
      <c r="AF6" s="26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</row>
    <row r="7" spans="1:241" s="19" customFormat="1" ht="15" x14ac:dyDescent="0.25">
      <c r="A7" s="47">
        <v>4</v>
      </c>
      <c r="B7" s="61" t="s">
        <v>43</v>
      </c>
      <c r="C7" s="62" t="s">
        <v>42</v>
      </c>
      <c r="D7" s="48">
        <v>182922561</v>
      </c>
      <c r="E7" s="49"/>
      <c r="F7" s="50"/>
      <c r="G7" s="50"/>
      <c r="H7" s="50"/>
      <c r="I7" s="50"/>
      <c r="J7" s="51">
        <v>182922561</v>
      </c>
      <c r="K7" s="51">
        <v>3208508.68</v>
      </c>
      <c r="L7" s="51">
        <v>529189.88</v>
      </c>
      <c r="M7" s="52">
        <v>2679318.7999999998</v>
      </c>
      <c r="N7" s="53">
        <v>253734111.87</v>
      </c>
      <c r="O7" s="53">
        <v>2338939.9300000002</v>
      </c>
      <c r="P7" s="54">
        <v>248711304.47</v>
      </c>
      <c r="Q7" s="55">
        <f t="shared" si="0"/>
        <v>1.6018804850597881E-2</v>
      </c>
      <c r="R7" s="54">
        <v>251395171.94</v>
      </c>
      <c r="S7" s="55">
        <f t="shared" si="1"/>
        <v>1.6616991476418878E-2</v>
      </c>
      <c r="T7" s="56">
        <f t="shared" si="2"/>
        <v>1.0791095626792193E-2</v>
      </c>
      <c r="U7" s="57">
        <f t="shared" si="7"/>
        <v>2.1050121047125787E-3</v>
      </c>
      <c r="V7" s="58">
        <f t="shared" si="8"/>
        <v>1.0657797360720466E-2</v>
      </c>
      <c r="W7" s="59">
        <f t="shared" si="9"/>
        <v>141.83985746862999</v>
      </c>
      <c r="X7" s="59">
        <f t="shared" si="10"/>
        <v>1.5117004585741318</v>
      </c>
      <c r="Y7" s="50">
        <v>137.91</v>
      </c>
      <c r="Z7" s="50">
        <v>140.88999999999999</v>
      </c>
      <c r="AA7" s="60">
        <v>604</v>
      </c>
      <c r="AB7" s="60">
        <v>1758673.94</v>
      </c>
      <c r="AC7" s="60">
        <v>60307.040000000001</v>
      </c>
      <c r="AD7" s="60">
        <v>46593.61</v>
      </c>
      <c r="AE7" s="50">
        <v>1772387.37</v>
      </c>
      <c r="AF7" s="26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</row>
    <row r="8" spans="1:241" ht="18" customHeight="1" x14ac:dyDescent="0.25">
      <c r="A8" s="47">
        <v>5</v>
      </c>
      <c r="B8" s="43" t="s">
        <v>38</v>
      </c>
      <c r="C8" s="43" t="s">
        <v>37</v>
      </c>
      <c r="D8" s="48">
        <v>275220989.31999999</v>
      </c>
      <c r="E8" s="49"/>
      <c r="F8" s="50">
        <v>91933443.549999997</v>
      </c>
      <c r="G8" s="50"/>
      <c r="H8" s="50"/>
      <c r="I8" s="50"/>
      <c r="J8" s="51">
        <v>361998551.25</v>
      </c>
      <c r="K8" s="51">
        <v>1172991.3400000001</v>
      </c>
      <c r="L8" s="51">
        <v>695124.28</v>
      </c>
      <c r="M8" s="52">
        <v>-4454394.1900000004</v>
      </c>
      <c r="N8" s="53">
        <v>365424739.94999999</v>
      </c>
      <c r="O8" s="53">
        <v>3426188.7</v>
      </c>
      <c r="P8" s="54">
        <v>366299236.95999998</v>
      </c>
      <c r="Q8" s="55">
        <f t="shared" si="0"/>
        <v>2.3592317230168039E-2</v>
      </c>
      <c r="R8" s="54">
        <v>361998551.25</v>
      </c>
      <c r="S8" s="55">
        <f t="shared" si="1"/>
        <v>2.392777392730875E-2</v>
      </c>
      <c r="T8" s="56">
        <f t="shared" si="2"/>
        <v>-1.1740908186684581E-2</v>
      </c>
      <c r="U8" s="57">
        <f t="shared" si="7"/>
        <v>1.9202405026199675E-3</v>
      </c>
      <c r="V8" s="58">
        <f t="shared" si="8"/>
        <v>-1.2305005571482935E-2</v>
      </c>
      <c r="W8" s="59">
        <f t="shared" si="9"/>
        <v>154.90942950736891</v>
      </c>
      <c r="X8" s="59">
        <f t="shared" si="10"/>
        <v>-1.9061613931634174</v>
      </c>
      <c r="Y8" s="50">
        <v>154.91</v>
      </c>
      <c r="Z8" s="50">
        <v>156.99</v>
      </c>
      <c r="AA8" s="60">
        <v>1448</v>
      </c>
      <c r="AB8" s="60">
        <v>2339832</v>
      </c>
      <c r="AC8" s="60">
        <v>3368.8</v>
      </c>
      <c r="AD8" s="60">
        <v>6361</v>
      </c>
      <c r="AE8" s="50">
        <v>2336840</v>
      </c>
      <c r="AF8" s="5"/>
    </row>
    <row r="9" spans="1:241" ht="15" customHeight="1" x14ac:dyDescent="0.25">
      <c r="A9" s="47">
        <v>6</v>
      </c>
      <c r="B9" s="43" t="s">
        <v>28</v>
      </c>
      <c r="C9" s="44" t="s">
        <v>27</v>
      </c>
      <c r="D9" s="48">
        <v>119000339.3</v>
      </c>
      <c r="E9" s="48"/>
      <c r="F9" s="50">
        <v>125893205.63</v>
      </c>
      <c r="G9" s="50"/>
      <c r="H9" s="50"/>
      <c r="I9" s="50"/>
      <c r="J9" s="51">
        <v>244893544.93000001</v>
      </c>
      <c r="K9" s="51">
        <v>2626079.29</v>
      </c>
      <c r="L9" s="51">
        <v>823624.36</v>
      </c>
      <c r="M9" s="52">
        <v>1802454.93</v>
      </c>
      <c r="N9" s="53">
        <v>251250993.03</v>
      </c>
      <c r="O9" s="53">
        <v>10448266.65</v>
      </c>
      <c r="P9" s="54">
        <v>247803609.91</v>
      </c>
      <c r="Q9" s="55">
        <f t="shared" si="0"/>
        <v>1.5960342763192668E-2</v>
      </c>
      <c r="R9" s="54">
        <v>251250993.03</v>
      </c>
      <c r="S9" s="55">
        <f t="shared" si="1"/>
        <v>1.6607461382025811E-2</v>
      </c>
      <c r="T9" s="56">
        <f t="shared" si="2"/>
        <v>1.3911755043649537E-2</v>
      </c>
      <c r="U9" s="57">
        <f t="shared" si="7"/>
        <v>3.2780939492711068E-3</v>
      </c>
      <c r="V9" s="58">
        <f t="shared" si="8"/>
        <v>7.1739216162412635E-3</v>
      </c>
      <c r="W9" s="59">
        <f t="shared" si="9"/>
        <v>126.23039255612898</v>
      </c>
      <c r="X9" s="59">
        <f t="shared" si="10"/>
        <v>0.90556694178503383</v>
      </c>
      <c r="Y9" s="50">
        <v>120.98</v>
      </c>
      <c r="Z9" s="50">
        <v>123.4</v>
      </c>
      <c r="AA9" s="60">
        <v>2470</v>
      </c>
      <c r="AB9" s="60">
        <v>1990416</v>
      </c>
      <c r="AC9" s="60"/>
      <c r="AD9" s="60"/>
      <c r="AE9" s="60">
        <v>1990416</v>
      </c>
      <c r="AF9" s="5"/>
    </row>
    <row r="10" spans="1:241" ht="16.5" customHeight="1" x14ac:dyDescent="0.25">
      <c r="A10" s="47">
        <v>7</v>
      </c>
      <c r="B10" s="43" t="s">
        <v>165</v>
      </c>
      <c r="C10" s="43" t="s">
        <v>164</v>
      </c>
      <c r="D10" s="63">
        <v>16004315.800000001</v>
      </c>
      <c r="E10" s="48"/>
      <c r="F10" s="50"/>
      <c r="G10" s="50"/>
      <c r="H10" s="50"/>
      <c r="I10" s="50"/>
      <c r="J10" s="63">
        <v>16004315.800000001</v>
      </c>
      <c r="K10" s="51">
        <v>233131.14</v>
      </c>
      <c r="L10" s="51">
        <v>15588.43</v>
      </c>
      <c r="M10" s="52">
        <v>207542.71</v>
      </c>
      <c r="N10" s="53">
        <v>23712863.049458701</v>
      </c>
      <c r="O10" s="53">
        <v>625552.37359384901</v>
      </c>
      <c r="P10" s="54">
        <v>23173305.663176529</v>
      </c>
      <c r="Q10" s="55">
        <f t="shared" si="0"/>
        <v>1.4925283028558735E-3</v>
      </c>
      <c r="R10" s="54">
        <v>23087310.675864901</v>
      </c>
      <c r="S10" s="55">
        <f t="shared" si="1"/>
        <v>1.5260501693558563E-3</v>
      </c>
      <c r="T10" s="56">
        <f t="shared" si="2"/>
        <v>-3.7109503737430861E-3</v>
      </c>
      <c r="U10" s="57">
        <f t="shared" si="7"/>
        <v>6.7519470842032246E-4</v>
      </c>
      <c r="V10" s="58">
        <f t="shared" si="8"/>
        <v>8.9894710091531684E-3</v>
      </c>
      <c r="W10" s="59">
        <f t="shared" si="9"/>
        <v>91.616312205813102</v>
      </c>
      <c r="X10" s="59">
        <f t="shared" si="10"/>
        <v>0.82358218253968252</v>
      </c>
      <c r="Y10" s="50">
        <v>90.23</v>
      </c>
      <c r="Z10" s="50">
        <v>92.79</v>
      </c>
      <c r="AA10" s="64">
        <v>2</v>
      </c>
      <c r="AB10" s="64">
        <v>253000</v>
      </c>
      <c r="AC10" s="65"/>
      <c r="AD10" s="65">
        <v>1000</v>
      </c>
      <c r="AE10" s="50">
        <v>252000</v>
      </c>
      <c r="AF10" s="5"/>
    </row>
    <row r="11" spans="1:241" ht="16.5" customHeight="1" x14ac:dyDescent="0.25">
      <c r="A11" s="47">
        <v>8</v>
      </c>
      <c r="B11" s="43" t="s">
        <v>26</v>
      </c>
      <c r="C11" s="44" t="s">
        <v>25</v>
      </c>
      <c r="D11" s="48">
        <v>628074264</v>
      </c>
      <c r="E11" s="48"/>
      <c r="F11" s="50">
        <v>55102509.039999999</v>
      </c>
      <c r="G11" s="50"/>
      <c r="H11" s="50"/>
      <c r="I11" s="50"/>
      <c r="J11" s="51">
        <v>898534935.64999998</v>
      </c>
      <c r="K11" s="49">
        <v>4605162.96</v>
      </c>
      <c r="L11" s="51">
        <v>1436115.21</v>
      </c>
      <c r="M11" s="52">
        <v>3169047.75</v>
      </c>
      <c r="N11" s="53">
        <v>898534935.64999998</v>
      </c>
      <c r="O11" s="53">
        <v>6767344.3899999997</v>
      </c>
      <c r="P11" s="54">
        <v>918342791.05999994</v>
      </c>
      <c r="Q11" s="55">
        <f t="shared" si="0"/>
        <v>5.9147910414815749E-2</v>
      </c>
      <c r="R11" s="54">
        <v>891767591.25999999</v>
      </c>
      <c r="S11" s="55">
        <f t="shared" si="1"/>
        <v>5.8945024077275102E-2</v>
      </c>
      <c r="T11" s="56">
        <f t="shared" si="2"/>
        <v>-2.8938213550220662E-2</v>
      </c>
      <c r="U11" s="57">
        <f t="shared" si="7"/>
        <v>1.6104142201118546E-3</v>
      </c>
      <c r="V11" s="58">
        <f t="shared" si="8"/>
        <v>3.5536700156622377E-3</v>
      </c>
      <c r="W11" s="59">
        <f t="shared" si="9"/>
        <v>1.8151893880766257</v>
      </c>
      <c r="X11" s="59">
        <f t="shared" si="10"/>
        <v>6.4505841011561899E-3</v>
      </c>
      <c r="Y11" s="50">
        <v>1.8</v>
      </c>
      <c r="Z11" s="50">
        <v>1.83</v>
      </c>
      <c r="AA11" s="60">
        <v>3684</v>
      </c>
      <c r="AB11" s="60">
        <v>491276764</v>
      </c>
      <c r="AC11" s="60">
        <v>59764</v>
      </c>
      <c r="AD11" s="60">
        <v>55785</v>
      </c>
      <c r="AE11" s="50">
        <v>491280743</v>
      </c>
      <c r="AF11" s="5"/>
    </row>
    <row r="12" spans="1:241" ht="16.5" customHeight="1" x14ac:dyDescent="0.25">
      <c r="A12" s="47">
        <v>9</v>
      </c>
      <c r="B12" s="43" t="s">
        <v>40</v>
      </c>
      <c r="C12" s="43" t="s">
        <v>39</v>
      </c>
      <c r="D12" s="63">
        <v>206099676.84999999</v>
      </c>
      <c r="E12" s="48"/>
      <c r="F12" s="50">
        <v>53772666.420000002</v>
      </c>
      <c r="G12" s="50"/>
      <c r="H12" s="50"/>
      <c r="I12" s="50"/>
      <c r="J12" s="51">
        <v>259872343.27000001</v>
      </c>
      <c r="K12" s="51">
        <v>2292844.7599999998</v>
      </c>
      <c r="L12" s="51">
        <v>516787.5</v>
      </c>
      <c r="M12" s="52">
        <v>-4406891.1900000004</v>
      </c>
      <c r="N12" s="53">
        <v>265811201.77000001</v>
      </c>
      <c r="O12" s="53">
        <v>1753193.83</v>
      </c>
      <c r="P12" s="54">
        <v>270216634.89999998</v>
      </c>
      <c r="Q12" s="55">
        <f t="shared" si="0"/>
        <v>1.740390349796293E-2</v>
      </c>
      <c r="R12" s="54">
        <v>264058007.94</v>
      </c>
      <c r="S12" s="55">
        <f t="shared" si="1"/>
        <v>1.7453993381648426E-2</v>
      </c>
      <c r="T12" s="56">
        <f t="shared" si="2"/>
        <v>-2.2791442733638968E-2</v>
      </c>
      <c r="U12" s="57">
        <f t="shared" si="7"/>
        <v>1.957098381645846E-3</v>
      </c>
      <c r="V12" s="58">
        <f t="shared" si="8"/>
        <v>-1.6689102611882715E-2</v>
      </c>
      <c r="W12" s="59">
        <f t="shared" si="9"/>
        <v>11.482176316008992</v>
      </c>
      <c r="X12" s="59">
        <f t="shared" si="10"/>
        <v>-0.19162721874560351</v>
      </c>
      <c r="Y12" s="50">
        <v>11.42</v>
      </c>
      <c r="Z12" s="50">
        <v>11.49</v>
      </c>
      <c r="AA12" s="64">
        <v>182</v>
      </c>
      <c r="AB12" s="64">
        <v>22996566.399999999</v>
      </c>
      <c r="AC12" s="65">
        <v>75695.56</v>
      </c>
      <c r="AD12" s="65">
        <v>75053.009999999995</v>
      </c>
      <c r="AE12" s="50">
        <v>22997208.949999999</v>
      </c>
      <c r="AF12" s="5"/>
    </row>
    <row r="13" spans="1:241" ht="16.5" customHeight="1" x14ac:dyDescent="0.25">
      <c r="A13" s="47">
        <v>10</v>
      </c>
      <c r="B13" s="62" t="s">
        <v>47</v>
      </c>
      <c r="C13" s="62" t="s">
        <v>46</v>
      </c>
      <c r="D13" s="48">
        <v>192429757.44999999</v>
      </c>
      <c r="E13" s="49"/>
      <c r="F13" s="50">
        <v>49584743.840000004</v>
      </c>
      <c r="G13" s="50">
        <v>6732150.5099999998</v>
      </c>
      <c r="H13" s="50"/>
      <c r="I13" s="50"/>
      <c r="J13" s="51">
        <v>248746651.80000001</v>
      </c>
      <c r="K13" s="51">
        <v>199827.1</v>
      </c>
      <c r="L13" s="51">
        <v>515610.01</v>
      </c>
      <c r="M13" s="52">
        <v>-315782.90999999997</v>
      </c>
      <c r="N13" s="53">
        <v>260070091.59999999</v>
      </c>
      <c r="O13" s="53">
        <v>3768067.17</v>
      </c>
      <c r="P13" s="54">
        <v>276576760.31999999</v>
      </c>
      <c r="Q13" s="55">
        <f t="shared" si="0"/>
        <v>1.781354152445077E-2</v>
      </c>
      <c r="R13" s="54">
        <v>256302024.43000001</v>
      </c>
      <c r="S13" s="55">
        <f t="shared" si="1"/>
        <v>1.69413299486861E-2</v>
      </c>
      <c r="T13" s="56">
        <f t="shared" si="2"/>
        <v>-7.3305999631140609E-2</v>
      </c>
      <c r="U13" s="57">
        <f t="shared" si="7"/>
        <v>2.0117281989741791E-3</v>
      </c>
      <c r="V13" s="58">
        <f t="shared" si="8"/>
        <v>-1.2320734130067128E-3</v>
      </c>
      <c r="W13" s="59">
        <f t="shared" si="9"/>
        <v>1.3033783540629795</v>
      </c>
      <c r="X13" s="59">
        <f t="shared" si="10"/>
        <v>-1.6058578171294466E-3</v>
      </c>
      <c r="Y13" s="50">
        <v>1.3033999999999999</v>
      </c>
      <c r="Z13" s="50">
        <v>1.3225</v>
      </c>
      <c r="AA13" s="60">
        <v>16</v>
      </c>
      <c r="AB13" s="60">
        <v>196644377</v>
      </c>
      <c r="AC13" s="60"/>
      <c r="AD13" s="60"/>
      <c r="AE13" s="60">
        <v>196644377</v>
      </c>
      <c r="AF13" s="5"/>
    </row>
    <row r="14" spans="1:241" ht="16.5" customHeight="1" x14ac:dyDescent="0.25">
      <c r="A14" s="47">
        <v>11</v>
      </c>
      <c r="B14" s="43" t="s">
        <v>30</v>
      </c>
      <c r="C14" s="43" t="s">
        <v>29</v>
      </c>
      <c r="D14" s="48">
        <v>549718038.29999995</v>
      </c>
      <c r="E14" s="49"/>
      <c r="F14" s="50">
        <v>111255429.11</v>
      </c>
      <c r="G14" s="50">
        <v>10628767.119999999</v>
      </c>
      <c r="H14" s="50"/>
      <c r="I14" s="50"/>
      <c r="J14" s="51">
        <v>674654026.63</v>
      </c>
      <c r="K14" s="51">
        <v>2420532.5</v>
      </c>
      <c r="L14" s="51">
        <v>1340667.73</v>
      </c>
      <c r="M14" s="52">
        <v>1079864.77</v>
      </c>
      <c r="N14" s="53">
        <v>673313358.89999998</v>
      </c>
      <c r="O14" s="53">
        <v>6156029.54</v>
      </c>
      <c r="P14" s="54">
        <v>694241494.17999995</v>
      </c>
      <c r="Q14" s="55">
        <f t="shared" si="0"/>
        <v>4.471416785077547E-2</v>
      </c>
      <c r="R14" s="54">
        <v>673313358.89999998</v>
      </c>
      <c r="S14" s="55">
        <f t="shared" si="1"/>
        <v>4.4505398649702738E-2</v>
      </c>
      <c r="T14" s="56">
        <f t="shared" si="2"/>
        <v>-3.0145324725539692E-2</v>
      </c>
      <c r="U14" s="57">
        <f t="shared" si="7"/>
        <v>1.9911497555763109E-3</v>
      </c>
      <c r="V14" s="58">
        <f t="shared" si="8"/>
        <v>1.6038071363446403E-3</v>
      </c>
      <c r="W14" s="59">
        <f t="shared" si="9"/>
        <v>17.798595697778566</v>
      </c>
      <c r="X14" s="59">
        <f t="shared" si="10"/>
        <v>2.8545514797010275E-2</v>
      </c>
      <c r="Y14" s="50">
        <v>17.43</v>
      </c>
      <c r="Z14" s="50">
        <v>17.739999999999998</v>
      </c>
      <c r="AA14" s="60">
        <v>8831</v>
      </c>
      <c r="AB14" s="60">
        <v>37811446.140000001</v>
      </c>
      <c r="AC14" s="60">
        <v>18131.560000000001</v>
      </c>
      <c r="AD14" s="60"/>
      <c r="AE14" s="50">
        <v>37829577.700000003</v>
      </c>
      <c r="AF14" s="5"/>
    </row>
    <row r="15" spans="1:241" ht="15.95" customHeight="1" x14ac:dyDescent="0.25">
      <c r="A15" s="47">
        <v>12</v>
      </c>
      <c r="B15" s="44" t="s">
        <v>41</v>
      </c>
      <c r="C15" s="43" t="s">
        <v>23</v>
      </c>
      <c r="D15" s="66">
        <v>242626660.47</v>
      </c>
      <c r="E15" s="67"/>
      <c r="F15" s="65">
        <v>76364753.849999994</v>
      </c>
      <c r="G15" s="67"/>
      <c r="H15" s="67"/>
      <c r="I15" s="66">
        <v>19571.650000000001</v>
      </c>
      <c r="J15" s="66">
        <v>319014585.97000003</v>
      </c>
      <c r="K15" s="66">
        <v>974845.48</v>
      </c>
      <c r="L15" s="66">
        <v>335739.91</v>
      </c>
      <c r="M15" s="68">
        <v>-4531811.8</v>
      </c>
      <c r="N15" s="66">
        <v>327917994.54000002</v>
      </c>
      <c r="O15" s="66">
        <v>4352483.5</v>
      </c>
      <c r="P15" s="54">
        <v>342966099.51999998</v>
      </c>
      <c r="Q15" s="55">
        <f t="shared" si="0"/>
        <v>2.2089494606162125E-2</v>
      </c>
      <c r="R15" s="69">
        <v>323565511.04000002</v>
      </c>
      <c r="S15" s="55">
        <f t="shared" si="1"/>
        <v>2.1387385038158336E-2</v>
      </c>
      <c r="T15" s="56">
        <f t="shared" si="2"/>
        <v>-5.6567073268034819E-2</v>
      </c>
      <c r="U15" s="57">
        <f t="shared" si="7"/>
        <v>1.0376257621551479E-3</v>
      </c>
      <c r="V15" s="58">
        <f t="shared" si="8"/>
        <v>-1.4005855523457707E-2</v>
      </c>
      <c r="W15" s="59">
        <f t="shared" si="9"/>
        <v>3122.8089730683064</v>
      </c>
      <c r="X15" s="59">
        <f t="shared" si="10"/>
        <v>-43.737611304152033</v>
      </c>
      <c r="Y15" s="66">
        <v>3093.09</v>
      </c>
      <c r="Z15" s="66">
        <v>3139.25</v>
      </c>
      <c r="AA15" s="70">
        <v>21</v>
      </c>
      <c r="AB15" s="66">
        <v>108733.22</v>
      </c>
      <c r="AC15" s="70"/>
      <c r="AD15" s="70">
        <v>5119.6099999999997</v>
      </c>
      <c r="AE15" s="66">
        <v>103613.61</v>
      </c>
      <c r="AF15" s="5"/>
    </row>
    <row r="16" spans="1:241" ht="15.95" customHeight="1" x14ac:dyDescent="0.25">
      <c r="A16" s="47">
        <v>13</v>
      </c>
      <c r="B16" s="43" t="s">
        <v>24</v>
      </c>
      <c r="C16" s="43" t="s">
        <v>23</v>
      </c>
      <c r="D16" s="66">
        <v>4710229257.21</v>
      </c>
      <c r="E16" s="67"/>
      <c r="F16" s="65">
        <v>2128153909.3199999</v>
      </c>
      <c r="G16" s="66">
        <v>54402431.079999998</v>
      </c>
      <c r="H16" s="67"/>
      <c r="I16" s="67"/>
      <c r="J16" s="66">
        <v>6892786616.2299995</v>
      </c>
      <c r="K16" s="66">
        <v>25512440.91</v>
      </c>
      <c r="L16" s="66">
        <v>18211359.559999999</v>
      </c>
      <c r="M16" s="68">
        <v>-42101241.490000002</v>
      </c>
      <c r="N16" s="66">
        <v>6903856389.2299995</v>
      </c>
      <c r="O16" s="66">
        <v>27625530.32</v>
      </c>
      <c r="P16" s="54">
        <v>6958904269.5200005</v>
      </c>
      <c r="Q16" s="55"/>
      <c r="R16" s="69">
        <v>6876230858.9099998</v>
      </c>
      <c r="S16" s="55">
        <f t="shared" si="1"/>
        <v>0.45451258546710149</v>
      </c>
      <c r="T16" s="56">
        <f t="shared" si="2"/>
        <v>-1.1880233928796828E-2</v>
      </c>
      <c r="U16" s="57">
        <f t="shared" si="7"/>
        <v>2.6484508640954516E-3</v>
      </c>
      <c r="V16" s="58">
        <f t="shared" si="8"/>
        <v>-6.12272076866741E-3</v>
      </c>
      <c r="W16" s="59">
        <f t="shared" si="9"/>
        <v>11662.966211523215</v>
      </c>
      <c r="X16" s="59">
        <f t="shared" si="10"/>
        <v>-71.409085447559448</v>
      </c>
      <c r="Y16" s="66">
        <v>11562.39</v>
      </c>
      <c r="Z16" s="66">
        <v>11718.7</v>
      </c>
      <c r="AA16" s="70">
        <v>17131</v>
      </c>
      <c r="AB16" s="66">
        <v>592900.01</v>
      </c>
      <c r="AC16" s="70">
        <v>263.5</v>
      </c>
      <c r="AD16" s="70">
        <v>3585.29</v>
      </c>
      <c r="AE16" s="66">
        <v>589578.22</v>
      </c>
      <c r="AF16" s="41"/>
      <c r="AG16" s="42"/>
      <c r="AH16" s="42"/>
      <c r="AI16" s="42"/>
      <c r="AJ16" s="42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</row>
    <row r="17" spans="1:241" ht="16.5" customHeight="1" x14ac:dyDescent="0.25">
      <c r="A17" s="47">
        <v>14</v>
      </c>
      <c r="B17" s="43" t="s">
        <v>34</v>
      </c>
      <c r="C17" s="43" t="s">
        <v>33</v>
      </c>
      <c r="D17" s="48">
        <v>1247321728</v>
      </c>
      <c r="E17" s="49"/>
      <c r="F17" s="50">
        <v>9887866</v>
      </c>
      <c r="G17" s="50"/>
      <c r="H17" s="50"/>
      <c r="I17" s="50"/>
      <c r="J17" s="51">
        <v>1257209594</v>
      </c>
      <c r="K17" s="51">
        <v>7921621</v>
      </c>
      <c r="L17" s="51">
        <v>3161892</v>
      </c>
      <c r="M17" s="52">
        <v>-109758637</v>
      </c>
      <c r="N17" s="53">
        <v>1726646239</v>
      </c>
      <c r="O17" s="53">
        <v>27264141.079999998</v>
      </c>
      <c r="P17" s="54">
        <v>1815454175</v>
      </c>
      <c r="Q17" s="55">
        <f>(P17/$P$19)</f>
        <v>0.11692836482242014</v>
      </c>
      <c r="R17" s="54">
        <v>1699382098</v>
      </c>
      <c r="S17" s="55">
        <f t="shared" si="1"/>
        <v>0.11232760605436164</v>
      </c>
      <c r="T17" s="56">
        <f t="shared" si="2"/>
        <v>-6.3935558714942498E-2</v>
      </c>
      <c r="U17" s="57">
        <f t="shared" si="7"/>
        <v>1.8606127507881985E-3</v>
      </c>
      <c r="V17" s="58">
        <f t="shared" si="8"/>
        <v>-6.4587379806563081E-2</v>
      </c>
      <c r="W17" s="59">
        <f t="shared" si="9"/>
        <v>0.89002184324317457</v>
      </c>
      <c r="X17" s="59">
        <f t="shared" si="10"/>
        <v>-5.7484178825684261E-2</v>
      </c>
      <c r="Y17" s="50">
        <v>0.89</v>
      </c>
      <c r="Z17" s="50">
        <v>0.91</v>
      </c>
      <c r="AA17" s="60">
        <v>2762</v>
      </c>
      <c r="AB17" s="60">
        <v>1909898820</v>
      </c>
      <c r="AC17" s="60">
        <v>295000</v>
      </c>
      <c r="AD17" s="60">
        <v>822595</v>
      </c>
      <c r="AE17" s="50">
        <v>1909371226</v>
      </c>
      <c r="AF17" s="5"/>
    </row>
    <row r="18" spans="1:241" ht="16.5" customHeight="1" x14ac:dyDescent="0.25">
      <c r="A18" s="47">
        <v>15</v>
      </c>
      <c r="B18" s="71" t="s">
        <v>45</v>
      </c>
      <c r="C18" s="43" t="s">
        <v>44</v>
      </c>
      <c r="D18" s="48">
        <v>216688012.84999999</v>
      </c>
      <c r="E18" s="49"/>
      <c r="F18" s="50">
        <v>85298082.189999998</v>
      </c>
      <c r="G18" s="50"/>
      <c r="H18" s="50"/>
      <c r="I18" s="50"/>
      <c r="J18" s="51">
        <v>301986095.04000002</v>
      </c>
      <c r="K18" s="51">
        <v>890099.28</v>
      </c>
      <c r="L18" s="51">
        <v>659270.46</v>
      </c>
      <c r="M18" s="52">
        <v>-9477463.6400000006</v>
      </c>
      <c r="N18" s="53">
        <v>309407472.16000003</v>
      </c>
      <c r="O18" s="53">
        <v>6103063.5800000001</v>
      </c>
      <c r="P18" s="54">
        <v>306690796.00999999</v>
      </c>
      <c r="Q18" s="55">
        <f>(P18/$P$19)</f>
        <v>1.9753102985117052E-2</v>
      </c>
      <c r="R18" s="54">
        <v>303304408.57999998</v>
      </c>
      <c r="S18" s="55">
        <f t="shared" si="1"/>
        <v>2.0048144653060471E-2</v>
      </c>
      <c r="T18" s="56">
        <f t="shared" si="2"/>
        <v>-1.1041698916486526E-2</v>
      </c>
      <c r="U18" s="57">
        <f t="shared" si="7"/>
        <v>2.1736263679336199E-3</v>
      </c>
      <c r="V18" s="58">
        <f t="shared" si="8"/>
        <v>-3.1247365260436734E-2</v>
      </c>
      <c r="W18" s="59">
        <f t="shared" si="9"/>
        <v>1.1892995704328937</v>
      </c>
      <c r="X18" s="59">
        <f t="shared" si="10"/>
        <v>-3.7162478081397138E-2</v>
      </c>
      <c r="Y18" s="50">
        <v>1.1599999999999999</v>
      </c>
      <c r="Z18" s="50">
        <v>1.19</v>
      </c>
      <c r="AA18" s="60">
        <v>154</v>
      </c>
      <c r="AB18" s="50">
        <v>257688538.74000001</v>
      </c>
      <c r="AC18" s="60">
        <v>271200</v>
      </c>
      <c r="AD18" s="60">
        <v>2931976.08</v>
      </c>
      <c r="AE18" s="50">
        <v>255027762.66</v>
      </c>
      <c r="AF18" s="24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</row>
    <row r="19" spans="1:241" ht="16.5" customHeight="1" x14ac:dyDescent="0.25">
      <c r="A19" s="72"/>
      <c r="B19" s="23"/>
      <c r="C19" s="73" t="s">
        <v>50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>
        <f>SUM(P4:P18)</f>
        <v>15526208527.393177</v>
      </c>
      <c r="Q19" s="76">
        <f>(P19/$P$153)</f>
        <v>1.0460421830238537E-2</v>
      </c>
      <c r="R19" s="75">
        <f>SUM(R4:R18)</f>
        <v>15128801883.105864</v>
      </c>
      <c r="S19" s="76">
        <f>(R19/$R$153)</f>
        <v>1.1006443317754045E-2</v>
      </c>
      <c r="T19" s="77">
        <f>((R19-P19)/P19)</f>
        <v>-2.559585900100218E-2</v>
      </c>
      <c r="U19" s="78"/>
      <c r="V19" s="79"/>
      <c r="W19" s="80"/>
      <c r="X19" s="80"/>
      <c r="Y19" s="74"/>
      <c r="Z19" s="74"/>
      <c r="AA19" s="81">
        <f>SUM(AA4:AA18)</f>
        <v>40044</v>
      </c>
      <c r="AB19" s="81"/>
      <c r="AC19" s="81"/>
      <c r="AD19" s="81"/>
      <c r="AE19" s="74"/>
      <c r="AF19" s="5"/>
    </row>
    <row r="20" spans="1:241" ht="15.75" customHeight="1" x14ac:dyDescent="0.25">
      <c r="A20" s="152" t="s">
        <v>51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4"/>
      <c r="AF20" s="5"/>
    </row>
    <row r="21" spans="1:241" ht="18" customHeight="1" x14ac:dyDescent="0.25">
      <c r="A21" s="47">
        <v>16</v>
      </c>
      <c r="B21" s="82" t="s">
        <v>66</v>
      </c>
      <c r="C21" s="43" t="s">
        <v>44</v>
      </c>
      <c r="D21" s="50"/>
      <c r="E21" s="50"/>
      <c r="F21" s="50"/>
      <c r="G21" s="50">
        <v>12218383561.809999</v>
      </c>
      <c r="H21" s="50"/>
      <c r="I21" s="50"/>
      <c r="J21" s="50">
        <v>12218383561.809999</v>
      </c>
      <c r="K21" s="50">
        <v>118249792.84999999</v>
      </c>
      <c r="L21" s="50">
        <v>15547469.25</v>
      </c>
      <c r="M21" s="52">
        <v>102702323.61</v>
      </c>
      <c r="N21" s="65">
        <v>12311331473.129999</v>
      </c>
      <c r="O21" s="65">
        <v>254312083.47999999</v>
      </c>
      <c r="P21" s="69">
        <v>11623627642.629999</v>
      </c>
      <c r="Q21" s="55">
        <f t="shared" ref="Q21:Q49" si="11">(P21/$P$50)</f>
        <v>1.7695369812298831E-2</v>
      </c>
      <c r="R21" s="69">
        <v>12057019389.65</v>
      </c>
      <c r="S21" s="55">
        <f t="shared" ref="S21:S49" si="12">(R21/$R$50)</f>
        <v>2.0842398141474615E-2</v>
      </c>
      <c r="T21" s="56">
        <f t="shared" ref="T21:T50" si="13">((R21-P21)/P21)</f>
        <v>3.728541212302116E-2</v>
      </c>
      <c r="U21" s="57">
        <f t="shared" ref="U21:U49" si="14">(L21/R21)</f>
        <v>1.2894952514836524E-3</v>
      </c>
      <c r="V21" s="58">
        <f t="shared" ref="V21:V49" si="15">M21/R21</f>
        <v>8.5180524548348867E-3</v>
      </c>
      <c r="W21" s="59">
        <f t="shared" ref="W21:W49" si="16">R21/AE21</f>
        <v>99.99999999709712</v>
      </c>
      <c r="X21" s="59">
        <f t="shared" ref="X21:X49" si="17">M21/AE21</f>
        <v>0.85180524545876168</v>
      </c>
      <c r="Y21" s="65">
        <v>100</v>
      </c>
      <c r="Z21" s="65">
        <v>100</v>
      </c>
      <c r="AA21" s="60">
        <v>5779</v>
      </c>
      <c r="AB21" s="60">
        <v>116236276.43000001</v>
      </c>
      <c r="AC21" s="60">
        <v>9417983.4399999995</v>
      </c>
      <c r="AD21" s="60">
        <v>5084065.97</v>
      </c>
      <c r="AE21" s="50">
        <v>120570193.90000001</v>
      </c>
      <c r="AF21" s="5"/>
    </row>
    <row r="22" spans="1:241" ht="18" customHeight="1" x14ac:dyDescent="0.25">
      <c r="A22" s="47">
        <v>17</v>
      </c>
      <c r="B22" s="43" t="s">
        <v>73</v>
      </c>
      <c r="C22" s="43" t="s">
        <v>31</v>
      </c>
      <c r="D22" s="50"/>
      <c r="E22" s="50"/>
      <c r="F22" s="50">
        <v>630562518.21000004</v>
      </c>
      <c r="G22" s="50"/>
      <c r="H22" s="50"/>
      <c r="I22" s="50"/>
      <c r="J22" s="50">
        <v>630562518.21000004</v>
      </c>
      <c r="K22" s="50">
        <v>6249628.4400000004</v>
      </c>
      <c r="L22" s="50">
        <v>1367386.11</v>
      </c>
      <c r="M22" s="52">
        <v>4882242.33</v>
      </c>
      <c r="N22" s="65">
        <v>646403470.14999998</v>
      </c>
      <c r="O22" s="65">
        <v>21401712.989999998</v>
      </c>
      <c r="P22" s="69">
        <v>596520228.39999998</v>
      </c>
      <c r="Q22" s="55">
        <f t="shared" si="11"/>
        <v>9.0811976833650616E-4</v>
      </c>
      <c r="R22" s="69">
        <v>625001757.15999997</v>
      </c>
      <c r="S22" s="55">
        <f t="shared" si="12"/>
        <v>1.0804109241984139E-3</v>
      </c>
      <c r="T22" s="56">
        <f t="shared" ref="T22:T49" si="18">((R22-P22)/P22)</f>
        <v>4.7746123943514525E-2</v>
      </c>
      <c r="U22" s="57">
        <f t="shared" ref="U22:U49" si="19">(L22/R22)</f>
        <v>2.18781162506388E-3</v>
      </c>
      <c r="V22" s="58">
        <f t="shared" ref="V22:V49" si="20">M22/R22</f>
        <v>7.8115657661265584E-3</v>
      </c>
      <c r="W22" s="59">
        <f t="shared" ref="W22:W49" si="21">R22/AE22</f>
        <v>100.89265651393444</v>
      </c>
      <c r="X22" s="59">
        <f t="shared" ref="X22:X49" si="22">M22/AE22</f>
        <v>0.78812962167781597</v>
      </c>
      <c r="Y22" s="65">
        <v>100</v>
      </c>
      <c r="Z22" s="65">
        <v>100</v>
      </c>
      <c r="AA22" s="60">
        <v>653</v>
      </c>
      <c r="AB22" s="60">
        <v>5908420</v>
      </c>
      <c r="AC22" s="60">
        <v>342150</v>
      </c>
      <c r="AD22" s="60">
        <v>55850</v>
      </c>
      <c r="AE22" s="50">
        <v>6194720</v>
      </c>
      <c r="AF22" s="5"/>
    </row>
    <row r="23" spans="1:241" ht="18" customHeight="1" x14ac:dyDescent="0.25">
      <c r="A23" s="47">
        <v>18</v>
      </c>
      <c r="B23" s="43" t="s">
        <v>57</v>
      </c>
      <c r="C23" s="43" t="s">
        <v>56</v>
      </c>
      <c r="D23" s="50"/>
      <c r="E23" s="50"/>
      <c r="F23" s="50">
        <v>1016105480.36</v>
      </c>
      <c r="G23" s="50"/>
      <c r="H23" s="50"/>
      <c r="I23" s="50"/>
      <c r="J23" s="50">
        <v>1104483222.9300001</v>
      </c>
      <c r="K23" s="50">
        <v>12446786.689999999</v>
      </c>
      <c r="L23" s="50">
        <v>2011802.61</v>
      </c>
      <c r="M23" s="52">
        <v>10468114.58</v>
      </c>
      <c r="N23" s="65">
        <v>1104483222.9300001</v>
      </c>
      <c r="O23" s="65">
        <v>19642472.120000001</v>
      </c>
      <c r="P23" s="69">
        <v>1021922867.42</v>
      </c>
      <c r="Q23" s="55">
        <f t="shared" si="11"/>
        <v>1.5557366094833148E-3</v>
      </c>
      <c r="R23" s="69">
        <v>1084840750.8099999</v>
      </c>
      <c r="S23" s="55">
        <f t="shared" si="12"/>
        <v>1.8753128047457367E-3</v>
      </c>
      <c r="T23" s="56">
        <f t="shared" si="18"/>
        <v>6.1568133364943455E-2</v>
      </c>
      <c r="U23" s="57">
        <f t="shared" si="19"/>
        <v>1.8544681405984068E-3</v>
      </c>
      <c r="V23" s="58">
        <f t="shared" si="20"/>
        <v>9.6494481537349585E-3</v>
      </c>
      <c r="W23" s="59">
        <f t="shared" si="21"/>
        <v>101.1941509558178</v>
      </c>
      <c r="X23" s="59">
        <f t="shared" si="22"/>
        <v>0.97646771310939284</v>
      </c>
      <c r="Y23" s="65">
        <v>100</v>
      </c>
      <c r="Z23" s="65">
        <v>100</v>
      </c>
      <c r="AA23" s="60">
        <v>828</v>
      </c>
      <c r="AB23" s="60">
        <v>9988371.5199999996</v>
      </c>
      <c r="AC23" s="60">
        <v>1000142.5</v>
      </c>
      <c r="AD23" s="60">
        <v>268124.15000000002</v>
      </c>
      <c r="AE23" s="50">
        <v>10720389.869999999</v>
      </c>
      <c r="AF23" s="5"/>
    </row>
    <row r="24" spans="1:241" ht="18" customHeight="1" x14ac:dyDescent="0.25">
      <c r="A24" s="47">
        <v>19</v>
      </c>
      <c r="B24" s="43" t="s">
        <v>81</v>
      </c>
      <c r="C24" s="43" t="s">
        <v>48</v>
      </c>
      <c r="D24" s="50"/>
      <c r="E24" s="50"/>
      <c r="F24" s="50">
        <v>485790697.76999998</v>
      </c>
      <c r="G24" s="50"/>
      <c r="H24" s="50"/>
      <c r="I24" s="50"/>
      <c r="J24" s="50">
        <v>485790697.76999998</v>
      </c>
      <c r="K24" s="50">
        <v>3362799.7</v>
      </c>
      <c r="L24" s="50">
        <v>1090628.6200000001</v>
      </c>
      <c r="M24" s="52">
        <v>2272171.08</v>
      </c>
      <c r="N24" s="65">
        <v>489874330.08999997</v>
      </c>
      <c r="O24" s="65">
        <v>1090628.6200000001</v>
      </c>
      <c r="P24" s="69">
        <v>452404762.88</v>
      </c>
      <c r="Q24" s="55">
        <f t="shared" si="11"/>
        <v>6.8872385025881813E-4</v>
      </c>
      <c r="R24" s="69">
        <v>488783701.47000003</v>
      </c>
      <c r="S24" s="55">
        <f t="shared" si="12"/>
        <v>8.4493722551748677E-4</v>
      </c>
      <c r="T24" s="56">
        <f t="shared" si="18"/>
        <v>8.0412368690401068E-2</v>
      </c>
      <c r="U24" s="57">
        <f t="shared" si="19"/>
        <v>2.2313113483939263E-3</v>
      </c>
      <c r="V24" s="58">
        <f t="shared" si="20"/>
        <v>4.6486228431237052E-3</v>
      </c>
      <c r="W24" s="59">
        <f t="shared" si="21"/>
        <v>101.28409544897109</v>
      </c>
      <c r="X24" s="59">
        <f t="shared" si="22"/>
        <v>0.47083155974920876</v>
      </c>
      <c r="Y24" s="65">
        <v>100</v>
      </c>
      <c r="Z24" s="65">
        <v>100</v>
      </c>
      <c r="AA24" s="60">
        <v>1062</v>
      </c>
      <c r="AB24" s="60">
        <v>4413285.28</v>
      </c>
      <c r="AC24" s="60">
        <v>412582.98</v>
      </c>
      <c r="AD24" s="60"/>
      <c r="AE24" s="50">
        <v>4825868.26</v>
      </c>
      <c r="AF24" s="5"/>
    </row>
    <row r="25" spans="1:241" ht="18" customHeight="1" x14ac:dyDescent="0.25">
      <c r="A25" s="47">
        <v>20</v>
      </c>
      <c r="B25" s="43" t="s">
        <v>58</v>
      </c>
      <c r="C25" s="44" t="s">
        <v>35</v>
      </c>
      <c r="D25" s="50"/>
      <c r="E25" s="50"/>
      <c r="F25" s="50">
        <v>17988178153.41</v>
      </c>
      <c r="G25" s="50"/>
      <c r="H25" s="50"/>
      <c r="I25" s="83"/>
      <c r="J25" s="50">
        <v>17988178153.41</v>
      </c>
      <c r="K25" s="50">
        <v>673010681.34000003</v>
      </c>
      <c r="L25" s="50">
        <v>124465089.48999999</v>
      </c>
      <c r="M25" s="52">
        <v>548545591.85000002</v>
      </c>
      <c r="N25" s="65">
        <v>67990989286</v>
      </c>
      <c r="O25" s="65">
        <v>1359092152</v>
      </c>
      <c r="P25" s="69">
        <v>64429205034</v>
      </c>
      <c r="Q25" s="55">
        <f t="shared" si="11"/>
        <v>9.808457779632497E-2</v>
      </c>
      <c r="R25" s="69">
        <v>66631897134</v>
      </c>
      <c r="S25" s="55">
        <f t="shared" si="12"/>
        <v>0.11518340346875097</v>
      </c>
      <c r="T25" s="56">
        <f t="shared" si="18"/>
        <v>3.4187789510015144E-2</v>
      </c>
      <c r="U25" s="57">
        <f t="shared" si="19"/>
        <v>1.867950558869645E-3</v>
      </c>
      <c r="V25" s="58">
        <f t="shared" si="20"/>
        <v>8.2324774686641147E-3</v>
      </c>
      <c r="W25" s="59">
        <f t="shared" si="21"/>
        <v>1</v>
      </c>
      <c r="X25" s="59">
        <f t="shared" si="22"/>
        <v>8.2324774686641147E-3</v>
      </c>
      <c r="Y25" s="65">
        <v>1</v>
      </c>
      <c r="Z25" s="65">
        <v>1</v>
      </c>
      <c r="AA25" s="60">
        <v>28398</v>
      </c>
      <c r="AB25" s="60">
        <v>64429205034</v>
      </c>
      <c r="AC25" s="60">
        <v>8310832181</v>
      </c>
      <c r="AD25" s="60">
        <v>6108140081</v>
      </c>
      <c r="AE25" s="50">
        <v>66631897134</v>
      </c>
      <c r="AF25" s="5"/>
    </row>
    <row r="26" spans="1:241" ht="18" customHeight="1" x14ac:dyDescent="0.25">
      <c r="A26" s="47">
        <v>21</v>
      </c>
      <c r="B26" s="82" t="s">
        <v>60</v>
      </c>
      <c r="C26" s="43" t="s">
        <v>185</v>
      </c>
      <c r="D26" s="84"/>
      <c r="E26" s="50"/>
      <c r="F26" s="50">
        <v>13030835291.27</v>
      </c>
      <c r="G26" s="50"/>
      <c r="H26" s="50"/>
      <c r="I26" s="50"/>
      <c r="J26" s="50">
        <v>13030835291.27</v>
      </c>
      <c r="K26" s="50">
        <v>326087590.07999998</v>
      </c>
      <c r="L26" s="50">
        <v>42044376.969999999</v>
      </c>
      <c r="M26" s="52">
        <v>284043213.11000001</v>
      </c>
      <c r="N26" s="65">
        <v>31557651969.57</v>
      </c>
      <c r="O26" s="65">
        <v>171037805.63</v>
      </c>
      <c r="P26" s="69">
        <v>32083685500.389999</v>
      </c>
      <c r="Q26" s="55">
        <f t="shared" si="11"/>
        <v>4.8842985798057958E-2</v>
      </c>
      <c r="R26" s="69">
        <v>31386614163.939999</v>
      </c>
      <c r="S26" s="55">
        <f t="shared" si="12"/>
        <v>5.4256552766203496E-2</v>
      </c>
      <c r="T26" s="56">
        <f t="shared" si="18"/>
        <v>-2.1726660312809992E-2</v>
      </c>
      <c r="U26" s="57">
        <f t="shared" si="19"/>
        <v>1.3395639539324595E-3</v>
      </c>
      <c r="V26" s="58">
        <f t="shared" si="20"/>
        <v>9.0498201439114297E-3</v>
      </c>
      <c r="W26" s="59">
        <f t="shared" si="21"/>
        <v>1.0090794090010429</v>
      </c>
      <c r="X26" s="59">
        <f t="shared" si="22"/>
        <v>9.1319871623838783E-3</v>
      </c>
      <c r="Y26" s="65">
        <v>1</v>
      </c>
      <c r="Z26" s="65">
        <v>1</v>
      </c>
      <c r="AA26" s="64">
        <v>21181</v>
      </c>
      <c r="AB26" s="65">
        <v>31407398948.27</v>
      </c>
      <c r="AC26" s="65">
        <v>7212489829.3599997</v>
      </c>
      <c r="AD26" s="65">
        <v>7515682424.8199997</v>
      </c>
      <c r="AE26" s="50">
        <v>31104206352.810001</v>
      </c>
      <c r="AF26" s="5"/>
    </row>
    <row r="27" spans="1:241" ht="18" customHeight="1" x14ac:dyDescent="0.25">
      <c r="A27" s="47">
        <v>22</v>
      </c>
      <c r="B27" s="44" t="s">
        <v>220</v>
      </c>
      <c r="C27" s="44" t="s">
        <v>29</v>
      </c>
      <c r="D27" s="50"/>
      <c r="E27" s="50"/>
      <c r="F27" s="50">
        <v>4294120072.5500002</v>
      </c>
      <c r="G27" s="50"/>
      <c r="H27" s="50"/>
      <c r="I27" s="50"/>
      <c r="J27" s="50">
        <v>4298723390.4399996</v>
      </c>
      <c r="K27" s="50">
        <v>39976625.369999997</v>
      </c>
      <c r="L27" s="50">
        <v>6198523.2999999998</v>
      </c>
      <c r="M27" s="52">
        <v>33778102.07</v>
      </c>
      <c r="N27" s="65">
        <v>4298723390.4399996</v>
      </c>
      <c r="O27" s="65">
        <v>41385509.549999997</v>
      </c>
      <c r="P27" s="69">
        <v>4073748136.6100001</v>
      </c>
      <c r="Q27" s="55">
        <f t="shared" si="11"/>
        <v>6.2017196365700767E-3</v>
      </c>
      <c r="R27" s="69">
        <v>4258746765.0799999</v>
      </c>
      <c r="S27" s="55">
        <f t="shared" si="12"/>
        <v>7.3618937477789928E-3</v>
      </c>
      <c r="T27" s="56">
        <f t="shared" si="18"/>
        <v>4.5412387380420569E-2</v>
      </c>
      <c r="U27" s="57">
        <f t="shared" si="19"/>
        <v>1.4554806007310373E-3</v>
      </c>
      <c r="V27" s="58">
        <f t="shared" si="20"/>
        <v>7.9314652721234249E-3</v>
      </c>
      <c r="W27" s="59">
        <f t="shared" si="21"/>
        <v>100.03651094254602</v>
      </c>
      <c r="X27" s="59">
        <f t="shared" si="22"/>
        <v>0.79343611248519874</v>
      </c>
      <c r="Y27" s="65">
        <v>100</v>
      </c>
      <c r="Z27" s="65">
        <v>100</v>
      </c>
      <c r="AA27" s="64">
        <v>1653</v>
      </c>
      <c r="AB27" s="65">
        <v>40737481.689999998</v>
      </c>
      <c r="AC27" s="65">
        <v>2508497.96</v>
      </c>
      <c r="AD27" s="65">
        <v>674055.41</v>
      </c>
      <c r="AE27" s="50">
        <v>42571924.240000002</v>
      </c>
      <c r="AF27" s="5"/>
    </row>
    <row r="28" spans="1:241" ht="16.5" customHeight="1" x14ac:dyDescent="0.25">
      <c r="A28" s="47">
        <v>23</v>
      </c>
      <c r="B28" s="43" t="s">
        <v>221</v>
      </c>
      <c r="C28" s="43" t="s">
        <v>79</v>
      </c>
      <c r="D28" s="50"/>
      <c r="E28" s="50"/>
      <c r="F28" s="48">
        <v>6830285390.96</v>
      </c>
      <c r="G28" s="48"/>
      <c r="H28" s="48"/>
      <c r="I28" s="48"/>
      <c r="J28" s="48">
        <v>6830285390.96</v>
      </c>
      <c r="K28" s="50">
        <v>79539999.849999994</v>
      </c>
      <c r="L28" s="50">
        <v>11703398.83</v>
      </c>
      <c r="M28" s="52">
        <v>69032799.790000007</v>
      </c>
      <c r="N28" s="65">
        <v>6838500369.8800001</v>
      </c>
      <c r="O28" s="65">
        <v>174046635.47999999</v>
      </c>
      <c r="P28" s="69">
        <v>6673013243.3800001</v>
      </c>
      <c r="Q28" s="55">
        <f t="shared" si="11"/>
        <v>1.0158742239032984E-2</v>
      </c>
      <c r="R28" s="69">
        <v>6664453734.3999996</v>
      </c>
      <c r="S28" s="55">
        <f t="shared" si="12"/>
        <v>1.1520525400086822E-2</v>
      </c>
      <c r="T28" s="56">
        <f t="shared" si="18"/>
        <v>-1.282705228929675E-3</v>
      </c>
      <c r="U28" s="57">
        <f t="shared" si="19"/>
        <v>1.7560927416436865E-3</v>
      </c>
      <c r="V28" s="58">
        <f t="shared" si="20"/>
        <v>1.0358358320303506E-2</v>
      </c>
      <c r="W28" s="59">
        <f t="shared" si="21"/>
        <v>100.00000000600198</v>
      </c>
      <c r="X28" s="59">
        <f t="shared" si="22"/>
        <v>1.0358358320925212</v>
      </c>
      <c r="Y28" s="65">
        <v>100</v>
      </c>
      <c r="Z28" s="65">
        <v>100</v>
      </c>
      <c r="AA28" s="60">
        <v>1241</v>
      </c>
      <c r="AB28" s="60">
        <v>66730132.43</v>
      </c>
      <c r="AC28" s="60">
        <v>71769194.890000001</v>
      </c>
      <c r="AD28" s="60">
        <v>71854789.980000004</v>
      </c>
      <c r="AE28" s="50">
        <v>66644537.340000004</v>
      </c>
      <c r="AF28" s="5"/>
    </row>
    <row r="29" spans="1:241" ht="18" customHeight="1" x14ac:dyDescent="0.25">
      <c r="A29" s="47">
        <v>24</v>
      </c>
      <c r="B29" s="43" t="s">
        <v>64</v>
      </c>
      <c r="C29" s="43" t="s">
        <v>63</v>
      </c>
      <c r="D29" s="50"/>
      <c r="E29" s="50"/>
      <c r="F29" s="50">
        <v>2710238169.1500001</v>
      </c>
      <c r="G29" s="50"/>
      <c r="H29" s="50"/>
      <c r="I29" s="50"/>
      <c r="J29" s="50">
        <v>2710238169.1500001</v>
      </c>
      <c r="K29" s="50">
        <v>42333422.079999998</v>
      </c>
      <c r="L29" s="50">
        <v>6220154.4900000002</v>
      </c>
      <c r="M29" s="52">
        <v>36113267.590000004</v>
      </c>
      <c r="N29" s="65">
        <v>4693779810.8800001</v>
      </c>
      <c r="O29" s="65">
        <v>41453238</v>
      </c>
      <c r="P29" s="69">
        <v>4933473603.3800001</v>
      </c>
      <c r="Q29" s="55">
        <f t="shared" si="11"/>
        <v>7.5105330758230395E-3</v>
      </c>
      <c r="R29" s="69">
        <v>4652326572.8800001</v>
      </c>
      <c r="S29" s="55">
        <f t="shared" si="12"/>
        <v>8.0422565131946667E-3</v>
      </c>
      <c r="T29" s="56">
        <f t="shared" si="18"/>
        <v>-5.6987642602847159E-2</v>
      </c>
      <c r="U29" s="57">
        <f t="shared" si="19"/>
        <v>1.3369986806728927E-3</v>
      </c>
      <c r="V29" s="58">
        <f t="shared" si="20"/>
        <v>7.7624102745745688E-3</v>
      </c>
      <c r="W29" s="59">
        <f t="shared" si="21"/>
        <v>101.37361571384699</v>
      </c>
      <c r="X29" s="59">
        <f t="shared" si="22"/>
        <v>0.78690359618793981</v>
      </c>
      <c r="Y29" s="65">
        <v>100</v>
      </c>
      <c r="Z29" s="65">
        <v>100</v>
      </c>
      <c r="AA29" s="60">
        <v>5225</v>
      </c>
      <c r="AB29" s="60">
        <v>49334735</v>
      </c>
      <c r="AC29" s="60">
        <v>13075422</v>
      </c>
      <c r="AD29" s="60">
        <v>9633561</v>
      </c>
      <c r="AE29" s="50">
        <v>45892874</v>
      </c>
      <c r="AF29" s="5"/>
    </row>
    <row r="30" spans="1:241" ht="18" customHeight="1" x14ac:dyDescent="0.25">
      <c r="A30" s="47">
        <v>25</v>
      </c>
      <c r="B30" s="43" t="s">
        <v>151</v>
      </c>
      <c r="C30" s="44" t="s">
        <v>150</v>
      </c>
      <c r="D30" s="50"/>
      <c r="E30" s="50"/>
      <c r="F30" s="65">
        <v>21744342.690000001</v>
      </c>
      <c r="G30" s="65"/>
      <c r="H30" s="85"/>
      <c r="I30" s="86"/>
      <c r="J30" s="65">
        <v>21744342.690000001</v>
      </c>
      <c r="K30" s="63">
        <v>151686.26</v>
      </c>
      <c r="L30" s="63">
        <v>17510.55</v>
      </c>
      <c r="M30" s="52">
        <v>134175.71</v>
      </c>
      <c r="N30" s="63">
        <v>26976894.149999999</v>
      </c>
      <c r="O30" s="87">
        <v>319770.59999999998</v>
      </c>
      <c r="P30" s="88">
        <v>18941235.739999998</v>
      </c>
      <c r="Q30" s="55">
        <f t="shared" si="11"/>
        <v>2.8835418806085787E-5</v>
      </c>
      <c r="R30" s="88">
        <v>26657123.550000001</v>
      </c>
      <c r="S30" s="55">
        <f t="shared" si="12"/>
        <v>4.6080906431362022E-5</v>
      </c>
      <c r="T30" s="56">
        <f t="shared" si="18"/>
        <v>0.40735926187253096</v>
      </c>
      <c r="U30" s="57">
        <f t="shared" si="19"/>
        <v>6.568807008436587E-4</v>
      </c>
      <c r="V30" s="58">
        <f t="shared" si="20"/>
        <v>5.0333904086962145E-3</v>
      </c>
      <c r="W30" s="59">
        <f t="shared" si="21"/>
        <v>100.88529606557874</v>
      </c>
      <c r="X30" s="59">
        <f t="shared" si="22"/>
        <v>0.50779508159496201</v>
      </c>
      <c r="Y30" s="65">
        <v>100</v>
      </c>
      <c r="Z30" s="65">
        <v>100</v>
      </c>
      <c r="AA30" s="60">
        <v>86</v>
      </c>
      <c r="AB30" s="50">
        <v>186375</v>
      </c>
      <c r="AC30" s="60">
        <v>77857</v>
      </c>
      <c r="AD30" s="60">
        <v>0</v>
      </c>
      <c r="AE30" s="50">
        <v>264232</v>
      </c>
      <c r="AF30" s="5"/>
    </row>
    <row r="31" spans="1:241" ht="18" customHeight="1" x14ac:dyDescent="0.25">
      <c r="A31" s="47">
        <v>26</v>
      </c>
      <c r="B31" s="43" t="s">
        <v>70</v>
      </c>
      <c r="C31" s="43" t="s">
        <v>69</v>
      </c>
      <c r="D31" s="50"/>
      <c r="E31" s="50"/>
      <c r="F31" s="50">
        <v>2128823300.6300001</v>
      </c>
      <c r="G31" s="50"/>
      <c r="H31" s="50"/>
      <c r="I31" s="50"/>
      <c r="J31" s="50">
        <v>2128823300.6300001</v>
      </c>
      <c r="K31" s="50">
        <v>49399925.030000001</v>
      </c>
      <c r="L31" s="50">
        <v>6212531.46</v>
      </c>
      <c r="M31" s="52">
        <v>43187393.57</v>
      </c>
      <c r="N31" s="65">
        <v>4628949718.8299999</v>
      </c>
      <c r="O31" s="65">
        <v>23697425.52</v>
      </c>
      <c r="P31" s="69">
        <v>4571885368.1099997</v>
      </c>
      <c r="Q31" s="55">
        <f t="shared" si="11"/>
        <v>6.960064862318616E-3</v>
      </c>
      <c r="R31" s="69">
        <v>4605252293.3100004</v>
      </c>
      <c r="S31" s="55">
        <f t="shared" si="12"/>
        <v>7.9608814365431969E-3</v>
      </c>
      <c r="T31" s="56">
        <f t="shared" si="18"/>
        <v>7.2982856116085267E-3</v>
      </c>
      <c r="U31" s="57">
        <f t="shared" si="19"/>
        <v>1.3490100138541545E-3</v>
      </c>
      <c r="V31" s="58">
        <f t="shared" si="20"/>
        <v>9.3778561562713626E-3</v>
      </c>
      <c r="W31" s="59">
        <f t="shared" si="21"/>
        <v>1.0079979183685868</v>
      </c>
      <c r="X31" s="59">
        <f t="shared" si="22"/>
        <v>9.4528594842815707E-3</v>
      </c>
      <c r="Y31" s="65">
        <v>1</v>
      </c>
      <c r="Z31" s="65">
        <v>1</v>
      </c>
      <c r="AA31" s="60">
        <v>1716</v>
      </c>
      <c r="AB31" s="60">
        <v>4476230256.6999998</v>
      </c>
      <c r="AC31" s="60">
        <v>5023199496.7799997</v>
      </c>
      <c r="AD31" s="60">
        <v>4930717646.6499996</v>
      </c>
      <c r="AE31" s="50">
        <v>4568712106.8299999</v>
      </c>
      <c r="AF31" s="5"/>
    </row>
    <row r="32" spans="1:241" ht="16.5" customHeight="1" x14ac:dyDescent="0.25">
      <c r="A32" s="47">
        <v>27</v>
      </c>
      <c r="B32" s="43" t="s">
        <v>162</v>
      </c>
      <c r="C32" s="43" t="s">
        <v>67</v>
      </c>
      <c r="D32" s="50"/>
      <c r="E32" s="50"/>
      <c r="F32" s="50">
        <v>4665633581.9700003</v>
      </c>
      <c r="G32" s="50"/>
      <c r="H32" s="50"/>
      <c r="I32" s="50"/>
      <c r="J32" s="50">
        <v>10780113159.879999</v>
      </c>
      <c r="K32" s="50">
        <v>106037880.63</v>
      </c>
      <c r="L32" s="50">
        <v>17214509.489999998</v>
      </c>
      <c r="M32" s="52">
        <v>88823371.150000006</v>
      </c>
      <c r="N32" s="65">
        <v>10780113159.879999</v>
      </c>
      <c r="O32" s="65">
        <v>172930397.96000001</v>
      </c>
      <c r="P32" s="69">
        <v>11001091118.139999</v>
      </c>
      <c r="Q32" s="55">
        <f t="shared" si="11"/>
        <v>1.6747643821652659E-2</v>
      </c>
      <c r="R32" s="69">
        <v>10607182761.92</v>
      </c>
      <c r="S32" s="55">
        <f t="shared" si="12"/>
        <v>1.8336134258281279E-2</v>
      </c>
      <c r="T32" s="56">
        <f t="shared" si="18"/>
        <v>-3.5806298847072822E-2</v>
      </c>
      <c r="U32" s="57">
        <f t="shared" si="19"/>
        <v>1.6229106140982538E-3</v>
      </c>
      <c r="V32" s="58">
        <f t="shared" si="20"/>
        <v>8.3738890093303289E-3</v>
      </c>
      <c r="W32" s="59">
        <f t="shared" si="21"/>
        <v>99.999999640997984</v>
      </c>
      <c r="X32" s="59">
        <f t="shared" si="22"/>
        <v>0.83738889792678983</v>
      </c>
      <c r="Y32" s="65">
        <v>100</v>
      </c>
      <c r="Z32" s="65">
        <v>100</v>
      </c>
      <c r="AA32" s="60">
        <v>2305</v>
      </c>
      <c r="AB32" s="60">
        <v>110010911</v>
      </c>
      <c r="AC32" s="60">
        <v>18948336</v>
      </c>
      <c r="AD32" s="60">
        <v>22887420</v>
      </c>
      <c r="AE32" s="50">
        <v>106071828</v>
      </c>
      <c r="AF32" s="5"/>
    </row>
    <row r="33" spans="1:241" ht="16.5" customHeight="1" x14ac:dyDescent="0.25">
      <c r="A33" s="47">
        <v>28</v>
      </c>
      <c r="B33" s="43" t="s">
        <v>68</v>
      </c>
      <c r="C33" s="43" t="s">
        <v>67</v>
      </c>
      <c r="D33" s="50"/>
      <c r="E33" s="50"/>
      <c r="F33" s="50">
        <v>197214346.25999999</v>
      </c>
      <c r="G33" s="50"/>
      <c r="H33" s="50"/>
      <c r="I33" s="50"/>
      <c r="J33" s="50">
        <v>396787347.88</v>
      </c>
      <c r="K33" s="50">
        <v>3849764.86</v>
      </c>
      <c r="L33" s="50">
        <v>366416.21</v>
      </c>
      <c r="M33" s="52">
        <v>3483348.65</v>
      </c>
      <c r="N33" s="65">
        <v>396787347.88</v>
      </c>
      <c r="O33" s="65">
        <v>3588181.87</v>
      </c>
      <c r="P33" s="69">
        <v>394201196.93000001</v>
      </c>
      <c r="Q33" s="55">
        <f t="shared" si="11"/>
        <v>6.0011694925121348E-4</v>
      </c>
      <c r="R33" s="69">
        <v>393199166.01999998</v>
      </c>
      <c r="S33" s="55">
        <f t="shared" si="12"/>
        <v>6.7970476800589385E-4</v>
      </c>
      <c r="T33" s="56">
        <f t="shared" si="18"/>
        <v>-2.5419276192049744E-3</v>
      </c>
      <c r="U33" s="57">
        <f t="shared" si="19"/>
        <v>9.3188450450925513E-4</v>
      </c>
      <c r="V33" s="58">
        <f t="shared" si="20"/>
        <v>8.8589929761519904E-3</v>
      </c>
      <c r="W33" s="59">
        <f t="shared" si="21"/>
        <v>1000506.7837659032</v>
      </c>
      <c r="X33" s="59">
        <f t="shared" si="22"/>
        <v>8863.4825699745543</v>
      </c>
      <c r="Y33" s="65">
        <v>1000000</v>
      </c>
      <c r="Z33" s="65">
        <v>1000000</v>
      </c>
      <c r="AA33" s="60">
        <v>15</v>
      </c>
      <c r="AB33" s="60">
        <v>394</v>
      </c>
      <c r="AC33" s="60">
        <v>1</v>
      </c>
      <c r="AD33" s="60">
        <v>2</v>
      </c>
      <c r="AE33" s="50">
        <v>393</v>
      </c>
      <c r="AF33" s="5"/>
    </row>
    <row r="34" spans="1:241" ht="16.5" customHeight="1" x14ac:dyDescent="0.25">
      <c r="A34" s="47">
        <v>29</v>
      </c>
      <c r="B34" s="44" t="s">
        <v>155</v>
      </c>
      <c r="C34" s="44" t="s">
        <v>154</v>
      </c>
      <c r="D34" s="50"/>
      <c r="E34" s="50"/>
      <c r="F34" s="50">
        <v>524247206.76999998</v>
      </c>
      <c r="G34" s="50"/>
      <c r="H34" s="50"/>
      <c r="I34" s="50">
        <v>1335085.54</v>
      </c>
      <c r="J34" s="50">
        <v>525582292.31</v>
      </c>
      <c r="K34" s="50">
        <v>10403060.82</v>
      </c>
      <c r="L34" s="50">
        <v>1941361.85</v>
      </c>
      <c r="M34" s="52">
        <v>8461698.9700000007</v>
      </c>
      <c r="N34" s="65">
        <v>1072873719.45</v>
      </c>
      <c r="O34" s="65">
        <v>1031962251.64</v>
      </c>
      <c r="P34" s="69">
        <v>1053030857.73</v>
      </c>
      <c r="Q34" s="55">
        <f t="shared" si="11"/>
        <v>1.6030942339338781E-3</v>
      </c>
      <c r="R34" s="69">
        <v>1031589239.77</v>
      </c>
      <c r="S34" s="55">
        <f t="shared" si="12"/>
        <v>1.7832594407374176E-3</v>
      </c>
      <c r="T34" s="56">
        <f t="shared" si="18"/>
        <v>-2.0361813523889844E-2</v>
      </c>
      <c r="U34" s="57">
        <f t="shared" si="19"/>
        <v>1.8819136291425842E-3</v>
      </c>
      <c r="V34" s="58">
        <f t="shared" si="20"/>
        <v>8.2025855289907783E-3</v>
      </c>
      <c r="W34" s="59">
        <f t="shared" si="21"/>
        <v>0.99970291594351801</v>
      </c>
      <c r="X34" s="59">
        <f t="shared" si="22"/>
        <v>8.2001486716081866E-3</v>
      </c>
      <c r="Y34" s="65">
        <v>1</v>
      </c>
      <c r="Z34" s="65">
        <v>1</v>
      </c>
      <c r="AA34" s="60">
        <v>297</v>
      </c>
      <c r="AB34" s="60">
        <v>1019887011.38</v>
      </c>
      <c r="AC34" s="60">
        <v>25475630</v>
      </c>
      <c r="AD34" s="60">
        <v>13466841.82</v>
      </c>
      <c r="AE34" s="50">
        <v>1031895799.5599999</v>
      </c>
      <c r="AF34" s="5"/>
    </row>
    <row r="35" spans="1:241" ht="16.5" customHeight="1" x14ac:dyDescent="0.25">
      <c r="A35" s="47">
        <v>30</v>
      </c>
      <c r="B35" s="43" t="s">
        <v>80</v>
      </c>
      <c r="C35" s="43" t="s">
        <v>166</v>
      </c>
      <c r="D35" s="50"/>
      <c r="E35" s="50"/>
      <c r="F35" s="50">
        <v>208190797.81</v>
      </c>
      <c r="G35" s="50"/>
      <c r="H35" s="50"/>
      <c r="I35" s="50"/>
      <c r="J35" s="50">
        <v>208190797.81</v>
      </c>
      <c r="K35" s="50">
        <v>2057441.63</v>
      </c>
      <c r="L35" s="50">
        <v>694570.14</v>
      </c>
      <c r="M35" s="52">
        <v>1362871.49</v>
      </c>
      <c r="N35" s="65">
        <v>289242841.99000001</v>
      </c>
      <c r="O35" s="65">
        <v>1546686.11</v>
      </c>
      <c r="P35" s="69">
        <v>284758159.61000001</v>
      </c>
      <c r="Q35" s="55">
        <f t="shared" si="11"/>
        <v>4.3350502066052493E-4</v>
      </c>
      <c r="R35" s="69">
        <v>287696155.88</v>
      </c>
      <c r="S35" s="55">
        <f t="shared" si="12"/>
        <v>4.9732671324805488E-4</v>
      </c>
      <c r="T35" s="56">
        <f t="shared" si="18"/>
        <v>1.0317513900299859E-2</v>
      </c>
      <c r="U35" s="57">
        <f t="shared" si="19"/>
        <v>2.4142489421711631E-3</v>
      </c>
      <c r="V35" s="58">
        <f t="shared" si="20"/>
        <v>4.7371904773328387E-3</v>
      </c>
      <c r="W35" s="59">
        <f t="shared" si="21"/>
        <v>1.0338662559732312</v>
      </c>
      <c r="X35" s="59">
        <f t="shared" si="22"/>
        <v>4.8976213826321469E-3</v>
      </c>
      <c r="Y35" s="65">
        <v>1</v>
      </c>
      <c r="Z35" s="65">
        <v>1</v>
      </c>
      <c r="AA35" s="60">
        <v>266</v>
      </c>
      <c r="AB35" s="60">
        <v>282119615</v>
      </c>
      <c r="AC35" s="60">
        <v>4312472</v>
      </c>
      <c r="AD35" s="50">
        <v>8159966</v>
      </c>
      <c r="AE35" s="50">
        <v>278272121</v>
      </c>
      <c r="AF35" s="5"/>
    </row>
    <row r="36" spans="1:241" s="22" customFormat="1" ht="16.5" customHeight="1" x14ac:dyDescent="0.3">
      <c r="A36" s="47">
        <v>31</v>
      </c>
      <c r="B36" s="43" t="s">
        <v>54</v>
      </c>
      <c r="C36" s="43" t="s">
        <v>53</v>
      </c>
      <c r="D36" s="50"/>
      <c r="E36" s="50"/>
      <c r="F36" s="50">
        <v>148248506331.98999</v>
      </c>
      <c r="G36" s="50"/>
      <c r="H36" s="50"/>
      <c r="I36" s="50"/>
      <c r="J36" s="50">
        <v>150366111213.95001</v>
      </c>
      <c r="K36" s="63">
        <v>1461874136.2</v>
      </c>
      <c r="L36" s="63">
        <v>214650272.75999999</v>
      </c>
      <c r="M36" s="52">
        <v>1247223863.4300001</v>
      </c>
      <c r="N36" s="63">
        <v>151730950378.92999</v>
      </c>
      <c r="O36" s="63">
        <v>1364839164.97</v>
      </c>
      <c r="P36" s="69">
        <v>226212543238.01001</v>
      </c>
      <c r="Q36" s="55">
        <f t="shared" si="11"/>
        <v>0.34437739506523923</v>
      </c>
      <c r="R36" s="69">
        <v>150366111213.95001</v>
      </c>
      <c r="S36" s="55">
        <f t="shared" si="12"/>
        <v>0.25993077191172809</v>
      </c>
      <c r="T36" s="56">
        <f t="shared" si="18"/>
        <v>-0.33528835730500589</v>
      </c>
      <c r="U36" s="57">
        <f t="shared" si="19"/>
        <v>1.4275176170153298E-3</v>
      </c>
      <c r="V36" s="58">
        <f t="shared" si="20"/>
        <v>8.2945808291562083E-3</v>
      </c>
      <c r="W36" s="59">
        <f t="shared" si="21"/>
        <v>100.03218331241865</v>
      </c>
      <c r="X36" s="59">
        <f t="shared" si="22"/>
        <v>0.82972503000182729</v>
      </c>
      <c r="Y36" s="65">
        <v>152.25</v>
      </c>
      <c r="Z36" s="65">
        <v>152.25</v>
      </c>
      <c r="AA36" s="60">
        <v>23580</v>
      </c>
      <c r="AB36" s="63">
        <v>1485494476</v>
      </c>
      <c r="AC36" s="63">
        <v>133970370</v>
      </c>
      <c r="AD36" s="63">
        <v>116287506</v>
      </c>
      <c r="AE36" s="50">
        <v>1503177339.8800001</v>
      </c>
      <c r="AF36" s="20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</row>
    <row r="37" spans="1:241" ht="16.5" customHeight="1" x14ac:dyDescent="0.25">
      <c r="A37" s="47">
        <v>32</v>
      </c>
      <c r="B37" s="43" t="s">
        <v>76</v>
      </c>
      <c r="C37" s="43" t="s">
        <v>75</v>
      </c>
      <c r="D37" s="50"/>
      <c r="E37" s="50"/>
      <c r="F37" s="50">
        <v>202435961.09999999</v>
      </c>
      <c r="G37" s="50"/>
      <c r="H37" s="50"/>
      <c r="I37" s="50">
        <v>15153911.779999999</v>
      </c>
      <c r="J37" s="50">
        <v>579224944.73000002</v>
      </c>
      <c r="K37" s="50">
        <v>4196424.88</v>
      </c>
      <c r="L37" s="50"/>
      <c r="M37" s="52">
        <v>2858417.04</v>
      </c>
      <c r="N37" s="65">
        <v>584865261.74000001</v>
      </c>
      <c r="O37" s="65">
        <v>7375806.3600000003</v>
      </c>
      <c r="P37" s="69">
        <v>596846855.67999995</v>
      </c>
      <c r="Q37" s="55">
        <f t="shared" si="11"/>
        <v>9.086170133178566E-4</v>
      </c>
      <c r="R37" s="69">
        <v>577489455.38</v>
      </c>
      <c r="S37" s="55">
        <f t="shared" si="12"/>
        <v>9.9827865930658482E-4</v>
      </c>
      <c r="T37" s="56">
        <f t="shared" si="18"/>
        <v>-3.2432775871702742E-2</v>
      </c>
      <c r="U37" s="57">
        <f t="shared" si="19"/>
        <v>0</v>
      </c>
      <c r="V37" s="58">
        <f t="shared" si="20"/>
        <v>4.9497302736360828E-3</v>
      </c>
      <c r="W37" s="59">
        <f t="shared" si="21"/>
        <v>9.9327996489693113</v>
      </c>
      <c r="X37" s="59">
        <f t="shared" si="22"/>
        <v>4.916467912446526E-2</v>
      </c>
      <c r="Y37" s="65">
        <v>10</v>
      </c>
      <c r="Z37" s="65">
        <v>10</v>
      </c>
      <c r="AA37" s="60">
        <v>227</v>
      </c>
      <c r="AB37" s="60">
        <v>59855617</v>
      </c>
      <c r="AC37" s="60">
        <v>2054086</v>
      </c>
      <c r="AD37" s="60">
        <v>3770057</v>
      </c>
      <c r="AE37" s="50">
        <f>(AB37+AC37)-AD37</f>
        <v>58139646</v>
      </c>
      <c r="AF37" s="5"/>
    </row>
    <row r="38" spans="1:241" ht="16.5" customHeight="1" x14ac:dyDescent="0.25">
      <c r="A38" s="47">
        <v>33</v>
      </c>
      <c r="B38" s="43" t="s">
        <v>62</v>
      </c>
      <c r="C38" s="43" t="s">
        <v>61</v>
      </c>
      <c r="D38" s="50"/>
      <c r="E38" s="50"/>
      <c r="F38" s="50">
        <v>632919364.38</v>
      </c>
      <c r="G38" s="50"/>
      <c r="H38" s="50"/>
      <c r="I38" s="50"/>
      <c r="J38" s="50">
        <v>632919364.38</v>
      </c>
      <c r="K38" s="89">
        <v>20389675.379999999</v>
      </c>
      <c r="L38" s="50">
        <v>4031821.59</v>
      </c>
      <c r="M38" s="52">
        <v>16357853.789999999</v>
      </c>
      <c r="N38" s="65">
        <v>2065498245.4300001</v>
      </c>
      <c r="O38" s="65">
        <v>36685560.32</v>
      </c>
      <c r="P38" s="69">
        <v>2165730212.48</v>
      </c>
      <c r="Q38" s="55">
        <f t="shared" si="11"/>
        <v>3.2970255243681356E-3</v>
      </c>
      <c r="R38" s="69">
        <v>2065362415.8900001</v>
      </c>
      <c r="S38" s="55">
        <f t="shared" si="12"/>
        <v>3.5702941487653081E-3</v>
      </c>
      <c r="T38" s="56">
        <f t="shared" si="18"/>
        <v>-4.6343628588469341E-2</v>
      </c>
      <c r="U38" s="57">
        <f t="shared" si="19"/>
        <v>1.9521133719587992E-3</v>
      </c>
      <c r="V38" s="58">
        <f t="shared" si="20"/>
        <v>7.9200888251620086E-3</v>
      </c>
      <c r="W38" s="59">
        <f t="shared" si="21"/>
        <v>100.00000076935652</v>
      </c>
      <c r="X38" s="59">
        <f t="shared" si="22"/>
        <v>0.79200888860957275</v>
      </c>
      <c r="Y38" s="65">
        <v>100</v>
      </c>
      <c r="Z38" s="65">
        <v>100</v>
      </c>
      <c r="AA38" s="90">
        <v>539</v>
      </c>
      <c r="AB38" s="90">
        <v>21657302</v>
      </c>
      <c r="AC38" s="90">
        <v>650356</v>
      </c>
      <c r="AD38" s="90">
        <v>1654034</v>
      </c>
      <c r="AE38" s="50">
        <v>20653624</v>
      </c>
      <c r="AF38" s="5"/>
    </row>
    <row r="39" spans="1:241" ht="16.5" customHeight="1" x14ac:dyDescent="0.25">
      <c r="A39" s="47">
        <v>34</v>
      </c>
      <c r="B39" s="43" t="s">
        <v>74</v>
      </c>
      <c r="C39" s="43" t="s">
        <v>25</v>
      </c>
      <c r="D39" s="50"/>
      <c r="E39" s="50"/>
      <c r="F39" s="50">
        <v>3370097864.0300002</v>
      </c>
      <c r="G39" s="50"/>
      <c r="H39" s="50"/>
      <c r="I39" s="50">
        <v>-27858958</v>
      </c>
      <c r="J39" s="50">
        <v>3380231163.9000001</v>
      </c>
      <c r="K39" s="50">
        <v>35883417.009999998</v>
      </c>
      <c r="L39" s="50">
        <v>4166702.9</v>
      </c>
      <c r="M39" s="52">
        <v>31716714.109999999</v>
      </c>
      <c r="N39" s="65">
        <v>3380231163.9000001</v>
      </c>
      <c r="O39" s="65">
        <v>22249973.940000001</v>
      </c>
      <c r="P39" s="69">
        <v>3547762754.4099998</v>
      </c>
      <c r="Q39" s="55">
        <f t="shared" si="11"/>
        <v>5.4009794425400482E-3</v>
      </c>
      <c r="R39" s="69">
        <v>3357981189.96</v>
      </c>
      <c r="S39" s="55">
        <f t="shared" si="12"/>
        <v>5.8047829775249868E-3</v>
      </c>
      <c r="T39" s="56">
        <f t="shared" si="18"/>
        <v>-5.3493307638481272E-2</v>
      </c>
      <c r="U39" s="57">
        <f t="shared" si="19"/>
        <v>1.2408356879597749E-3</v>
      </c>
      <c r="V39" s="58">
        <f t="shared" si="20"/>
        <v>9.4451732501746998E-3</v>
      </c>
      <c r="W39" s="59">
        <f t="shared" si="21"/>
        <v>0.98542605826404706</v>
      </c>
      <c r="X39" s="59">
        <f t="shared" si="22"/>
        <v>9.3075198455406724E-3</v>
      </c>
      <c r="Y39" s="65">
        <v>0.99</v>
      </c>
      <c r="Z39" s="65">
        <v>0.99</v>
      </c>
      <c r="AA39" s="60">
        <v>791</v>
      </c>
      <c r="AB39" s="60">
        <v>3597092812</v>
      </c>
      <c r="AC39" s="60">
        <v>160728463</v>
      </c>
      <c r="AD39" s="60">
        <v>350177280</v>
      </c>
      <c r="AE39" s="50">
        <v>3407643995</v>
      </c>
      <c r="AF39" s="5"/>
    </row>
    <row r="40" spans="1:241" ht="16.5" customHeight="1" x14ac:dyDescent="0.25">
      <c r="A40" s="47">
        <v>35</v>
      </c>
      <c r="B40" s="43" t="s">
        <v>59</v>
      </c>
      <c r="C40" s="43" t="s">
        <v>39</v>
      </c>
      <c r="D40" s="50"/>
      <c r="E40" s="50"/>
      <c r="F40" s="91">
        <v>1611713008.3699999</v>
      </c>
      <c r="G40" s="50"/>
      <c r="H40" s="50"/>
      <c r="I40" s="50"/>
      <c r="J40" s="50">
        <v>1961128748.0899999</v>
      </c>
      <c r="K40" s="50">
        <v>18550322.82</v>
      </c>
      <c r="L40" s="50">
        <v>3045543.48</v>
      </c>
      <c r="M40" s="52">
        <v>15504779.34</v>
      </c>
      <c r="N40" s="65">
        <v>1991509397.3099999</v>
      </c>
      <c r="O40" s="65">
        <v>11511128.710000001</v>
      </c>
      <c r="P40" s="69">
        <v>1979998268.5999999</v>
      </c>
      <c r="Q40" s="55">
        <f t="shared" si="11"/>
        <v>3.014274258243604E-3</v>
      </c>
      <c r="R40" s="69">
        <v>1979998268.5999999</v>
      </c>
      <c r="S40" s="55">
        <f t="shared" si="12"/>
        <v>3.4227291920104937E-3</v>
      </c>
      <c r="T40" s="56">
        <f t="shared" si="18"/>
        <v>0</v>
      </c>
      <c r="U40" s="57">
        <f t="shared" si="19"/>
        <v>1.538154617758033E-3</v>
      </c>
      <c r="V40" s="58">
        <f t="shared" si="20"/>
        <v>7.8307034838787943E-3</v>
      </c>
      <c r="W40" s="59">
        <f t="shared" si="21"/>
        <v>10.080451093608074</v>
      </c>
      <c r="X40" s="59">
        <f t="shared" si="22"/>
        <v>7.8937023497786543E-2</v>
      </c>
      <c r="Y40" s="65">
        <v>10</v>
      </c>
      <c r="Z40" s="65">
        <v>10</v>
      </c>
      <c r="AA40" s="60">
        <v>1538</v>
      </c>
      <c r="AB40" s="60">
        <v>192405796.41</v>
      </c>
      <c r="AC40" s="60">
        <v>27186125.440000001</v>
      </c>
      <c r="AD40" s="60">
        <v>-23172312.23</v>
      </c>
      <c r="AE40" s="50">
        <v>196419609.62</v>
      </c>
      <c r="AF40" s="5"/>
    </row>
    <row r="41" spans="1:241" ht="16.5" customHeight="1" x14ac:dyDescent="0.25">
      <c r="A41" s="47">
        <v>36</v>
      </c>
      <c r="B41" s="43" t="s">
        <v>163</v>
      </c>
      <c r="C41" s="43" t="s">
        <v>148</v>
      </c>
      <c r="D41" s="50"/>
      <c r="E41" s="50"/>
      <c r="F41" s="50">
        <v>1372454354.22</v>
      </c>
      <c r="G41" s="50"/>
      <c r="H41" s="50"/>
      <c r="I41" s="50"/>
      <c r="J41" s="50">
        <v>1372454354.22</v>
      </c>
      <c r="K41" s="50">
        <v>23509396.350000001</v>
      </c>
      <c r="L41" s="50">
        <v>3180902.3</v>
      </c>
      <c r="M41" s="52">
        <v>20328494.050000001</v>
      </c>
      <c r="N41" s="65">
        <v>2317991724.3200002</v>
      </c>
      <c r="O41" s="65">
        <v>37365178.799999997</v>
      </c>
      <c r="P41" s="69">
        <v>2120911704.5699999</v>
      </c>
      <c r="Q41" s="55">
        <f t="shared" si="11"/>
        <v>3.2287955279946927E-3</v>
      </c>
      <c r="R41" s="69">
        <v>2280626545.52</v>
      </c>
      <c r="S41" s="55">
        <f t="shared" si="12"/>
        <v>3.9424110501595179E-3</v>
      </c>
      <c r="T41" s="56">
        <f t="shared" si="18"/>
        <v>7.5304804347044285E-2</v>
      </c>
      <c r="U41" s="57">
        <f t="shared" si="19"/>
        <v>1.3947493096791654E-3</v>
      </c>
      <c r="V41" s="58">
        <f t="shared" si="20"/>
        <v>8.9135567109541614E-3</v>
      </c>
      <c r="W41" s="59">
        <f t="shared" si="21"/>
        <v>99.67426594424424</v>
      </c>
      <c r="X41" s="59">
        <f t="shared" si="22"/>
        <v>0.88845222211674801</v>
      </c>
      <c r="Y41" s="65">
        <v>100</v>
      </c>
      <c r="Z41" s="65">
        <v>100</v>
      </c>
      <c r="AA41" s="60">
        <v>965</v>
      </c>
      <c r="AB41" s="60">
        <v>21229117</v>
      </c>
      <c r="AC41" s="60">
        <v>1377076</v>
      </c>
      <c r="AD41" s="60">
        <v>3028755</v>
      </c>
      <c r="AE41" s="50">
        <v>22880796</v>
      </c>
      <c r="AF41" s="5"/>
    </row>
    <row r="42" spans="1:241" ht="16.5" customHeight="1" x14ac:dyDescent="0.25">
      <c r="A42" s="47">
        <v>37</v>
      </c>
      <c r="B42" s="43" t="s">
        <v>87</v>
      </c>
      <c r="C42" s="44" t="s">
        <v>86</v>
      </c>
      <c r="D42" s="50"/>
      <c r="E42" s="50"/>
      <c r="F42" s="50">
        <v>78307751.459999993</v>
      </c>
      <c r="G42" s="50"/>
      <c r="H42" s="50"/>
      <c r="I42" s="50">
        <v>7211412.6299999999</v>
      </c>
      <c r="J42" s="50">
        <f>78307751.46+7211412.63</f>
        <v>85519164.089999989</v>
      </c>
      <c r="K42" s="50">
        <v>696486.73</v>
      </c>
      <c r="L42" s="50">
        <v>57262.15</v>
      </c>
      <c r="M42" s="52">
        <v>639224.57999999996</v>
      </c>
      <c r="N42" s="65">
        <v>151274378.97999999</v>
      </c>
      <c r="O42" s="65">
        <v>4361190.53</v>
      </c>
      <c r="P42" s="69">
        <v>146362610.63999999</v>
      </c>
      <c r="Q42" s="55">
        <f t="shared" si="11"/>
        <v>2.2281688656901051E-4</v>
      </c>
      <c r="R42" s="69">
        <v>143762084.81999999</v>
      </c>
      <c r="S42" s="55">
        <f t="shared" si="12"/>
        <v>2.4851470439195039E-4</v>
      </c>
      <c r="T42" s="56">
        <f t="shared" si="18"/>
        <v>-1.776769223115569E-2</v>
      </c>
      <c r="U42" s="57">
        <f t="shared" si="19"/>
        <v>3.983119058943542E-4</v>
      </c>
      <c r="V42" s="58">
        <f t="shared" si="20"/>
        <v>4.4464058851146531E-3</v>
      </c>
      <c r="W42" s="59">
        <f t="shared" si="21"/>
        <v>1.0015742435681207</v>
      </c>
      <c r="X42" s="59">
        <f t="shared" si="22"/>
        <v>4.4534056109805497E-3</v>
      </c>
      <c r="Y42" s="65">
        <v>1</v>
      </c>
      <c r="Z42" s="65">
        <v>1</v>
      </c>
      <c r="AA42" s="60">
        <v>40</v>
      </c>
      <c r="AB42" s="60">
        <v>143565316</v>
      </c>
      <c r="AC42" s="60">
        <v>588580</v>
      </c>
      <c r="AD42" s="60">
        <v>853300</v>
      </c>
      <c r="AE42" s="50">
        <v>143536124</v>
      </c>
      <c r="AF42" s="5"/>
    </row>
    <row r="43" spans="1:241" ht="16.5" customHeight="1" x14ac:dyDescent="0.25">
      <c r="A43" s="47">
        <v>38</v>
      </c>
      <c r="B43" s="44" t="s">
        <v>65</v>
      </c>
      <c r="C43" s="44" t="s">
        <v>46</v>
      </c>
      <c r="D43" s="50"/>
      <c r="E43" s="50"/>
      <c r="F43" s="50">
        <v>690288980.62</v>
      </c>
      <c r="G43" s="50"/>
      <c r="H43" s="50"/>
      <c r="I43" s="50"/>
      <c r="J43" s="50">
        <v>690288980.62</v>
      </c>
      <c r="K43" s="50">
        <v>5264447.83</v>
      </c>
      <c r="L43" s="50">
        <v>1275579.01</v>
      </c>
      <c r="M43" s="52">
        <v>3988868.82</v>
      </c>
      <c r="N43" s="65">
        <v>708040885.05999994</v>
      </c>
      <c r="O43" s="65">
        <v>744193.17</v>
      </c>
      <c r="P43" s="69">
        <v>794649563.09000003</v>
      </c>
      <c r="Q43" s="55">
        <f t="shared" si="11"/>
        <v>1.2097443519687298E-3</v>
      </c>
      <c r="R43" s="69">
        <v>700674945</v>
      </c>
      <c r="S43" s="55">
        <f t="shared" si="12"/>
        <v>1.2112235785223995E-3</v>
      </c>
      <c r="T43" s="56">
        <f t="shared" si="18"/>
        <v>-0.11825919556864678</v>
      </c>
      <c r="U43" s="57">
        <f t="shared" si="19"/>
        <v>1.8205003890926913E-3</v>
      </c>
      <c r="V43" s="58">
        <f t="shared" si="20"/>
        <v>5.6928948986466185E-3</v>
      </c>
      <c r="W43" s="59" t="e">
        <f t="shared" si="21"/>
        <v>#DIV/0!</v>
      </c>
      <c r="X43" s="59" t="e">
        <f t="shared" si="22"/>
        <v>#DIV/0!</v>
      </c>
      <c r="Y43" s="65">
        <v>10</v>
      </c>
      <c r="Z43" s="65">
        <v>10</v>
      </c>
      <c r="AA43" s="60">
        <v>521</v>
      </c>
      <c r="AB43" s="60">
        <v>78996535</v>
      </c>
      <c r="AC43" s="60">
        <v>14270264</v>
      </c>
      <c r="AD43" s="60">
        <v>3405910</v>
      </c>
      <c r="AE43" s="50"/>
      <c r="AF43" s="5"/>
    </row>
    <row r="44" spans="1:241" ht="16.5" customHeight="1" x14ac:dyDescent="0.25">
      <c r="A44" s="47">
        <v>39</v>
      </c>
      <c r="B44" s="43" t="s">
        <v>52</v>
      </c>
      <c r="C44" s="43" t="s">
        <v>23</v>
      </c>
      <c r="D44" s="50"/>
      <c r="E44" s="50"/>
      <c r="F44" s="50">
        <v>218628133059.95001</v>
      </c>
      <c r="G44" s="50">
        <v>9403450558.6000004</v>
      </c>
      <c r="H44" s="50"/>
      <c r="I44" s="50"/>
      <c r="J44" s="50">
        <v>228610119234.98999</v>
      </c>
      <c r="K44" s="50">
        <v>2397715517.8200002</v>
      </c>
      <c r="L44" s="50">
        <v>387653697.93000001</v>
      </c>
      <c r="M44" s="52">
        <v>2010061819.8900001</v>
      </c>
      <c r="N44" s="65">
        <v>229147703001.66</v>
      </c>
      <c r="O44" s="65">
        <v>685161686.42999995</v>
      </c>
      <c r="P44" s="69">
        <v>233352675842.16</v>
      </c>
      <c r="Q44" s="55">
        <f t="shared" si="11"/>
        <v>0.35524726210020036</v>
      </c>
      <c r="R44" s="69">
        <v>228462541315.23001</v>
      </c>
      <c r="S44" s="55">
        <f t="shared" si="12"/>
        <v>0.39493237031638745</v>
      </c>
      <c r="T44" s="56">
        <f t="shared" si="18"/>
        <v>-2.0955982224252209E-2</v>
      </c>
      <c r="U44" s="57">
        <f t="shared" si="19"/>
        <v>1.6967932497744557E-3</v>
      </c>
      <c r="V44" s="58">
        <f t="shared" si="20"/>
        <v>8.7982117695020283E-3</v>
      </c>
      <c r="W44" s="59">
        <f t="shared" si="21"/>
        <v>1</v>
      </c>
      <c r="X44" s="59">
        <f t="shared" si="22"/>
        <v>8.7982117695020283E-3</v>
      </c>
      <c r="Y44" s="65">
        <v>100</v>
      </c>
      <c r="Z44" s="65">
        <v>100</v>
      </c>
      <c r="AA44" s="60">
        <v>113843</v>
      </c>
      <c r="AB44" s="60">
        <v>233352675842.16</v>
      </c>
      <c r="AC44" s="60">
        <v>22877350452.299999</v>
      </c>
      <c r="AD44" s="60">
        <v>27767484979.23</v>
      </c>
      <c r="AE44" s="60">
        <v>228462541315.23001</v>
      </c>
      <c r="AF44" s="5"/>
    </row>
    <row r="45" spans="1:241" ht="16.5" customHeight="1" x14ac:dyDescent="0.25">
      <c r="A45" s="47">
        <v>40</v>
      </c>
      <c r="B45" s="43" t="s">
        <v>83</v>
      </c>
      <c r="C45" s="43" t="s">
        <v>82</v>
      </c>
      <c r="D45" s="84"/>
      <c r="E45" s="84"/>
      <c r="F45" s="84">
        <v>450241488.61000001</v>
      </c>
      <c r="G45" s="84"/>
      <c r="H45" s="84"/>
      <c r="I45" s="84"/>
      <c r="J45" s="84">
        <v>450241488.61000001</v>
      </c>
      <c r="K45" s="84">
        <v>4049466.18</v>
      </c>
      <c r="L45" s="84">
        <v>530302.02</v>
      </c>
      <c r="M45" s="92">
        <v>3519164.15</v>
      </c>
      <c r="N45" s="66">
        <v>473073670.29000002</v>
      </c>
      <c r="O45" s="66">
        <v>4503551.3</v>
      </c>
      <c r="P45" s="69">
        <v>341102433.36000001</v>
      </c>
      <c r="Q45" s="55">
        <f t="shared" si="11"/>
        <v>5.1928140575006486E-4</v>
      </c>
      <c r="R45" s="69">
        <v>468570118.99000001</v>
      </c>
      <c r="S45" s="55">
        <f t="shared" si="12"/>
        <v>8.0999496323039537E-4</v>
      </c>
      <c r="T45" s="56">
        <f t="shared" si="18"/>
        <v>0.37369327557822024</v>
      </c>
      <c r="U45" s="57">
        <f t="shared" si="19"/>
        <v>1.1317452788988395E-3</v>
      </c>
      <c r="V45" s="58">
        <f t="shared" si="20"/>
        <v>7.5104322861763708E-3</v>
      </c>
      <c r="W45" s="59">
        <f t="shared" si="21"/>
        <v>0.99966526081661999</v>
      </c>
      <c r="X45" s="59">
        <f t="shared" si="22"/>
        <v>7.5079182502060656E-3</v>
      </c>
      <c r="Y45" s="65">
        <v>1</v>
      </c>
      <c r="Z45" s="65">
        <v>1</v>
      </c>
      <c r="AA45" s="60">
        <v>94</v>
      </c>
      <c r="AB45" s="60">
        <v>340964181.29000002</v>
      </c>
      <c r="AC45" s="60">
        <v>135624530</v>
      </c>
      <c r="AD45" s="60">
        <v>7861691</v>
      </c>
      <c r="AE45" s="60">
        <v>468727020.29000002</v>
      </c>
      <c r="AF45" s="5"/>
    </row>
    <row r="46" spans="1:241" ht="16.5" customHeight="1" x14ac:dyDescent="0.25">
      <c r="A46" s="47">
        <v>41</v>
      </c>
      <c r="B46" s="43" t="s">
        <v>55</v>
      </c>
      <c r="C46" s="43" t="s">
        <v>33</v>
      </c>
      <c r="D46" s="50"/>
      <c r="E46" s="50"/>
      <c r="F46" s="50">
        <v>9994884463</v>
      </c>
      <c r="G46" s="50"/>
      <c r="H46" s="50"/>
      <c r="I46" s="50"/>
      <c r="J46" s="50">
        <v>9994884463</v>
      </c>
      <c r="K46" s="50">
        <v>255278342</v>
      </c>
      <c r="L46" s="50">
        <v>30080438</v>
      </c>
      <c r="M46" s="52">
        <v>225197904</v>
      </c>
      <c r="N46" s="65">
        <v>24952688314.060001</v>
      </c>
      <c r="O46" s="65">
        <v>377752564.06999999</v>
      </c>
      <c r="P46" s="69">
        <v>23690790552</v>
      </c>
      <c r="Q46" s="55">
        <f t="shared" si="11"/>
        <v>3.6065960890373269E-2</v>
      </c>
      <c r="R46" s="69">
        <v>24574935750</v>
      </c>
      <c r="S46" s="55">
        <f t="shared" si="12"/>
        <v>4.2481527038294546E-2</v>
      </c>
      <c r="T46" s="56">
        <f t="shared" si="18"/>
        <v>3.7320206603462608E-2</v>
      </c>
      <c r="U46" s="57">
        <f t="shared" si="19"/>
        <v>1.2240291615004527E-3</v>
      </c>
      <c r="V46" s="58">
        <f t="shared" si="20"/>
        <v>9.1637230017986918E-3</v>
      </c>
      <c r="W46" s="59">
        <f t="shared" si="21"/>
        <v>1.0204020790964419</v>
      </c>
      <c r="X46" s="59">
        <f t="shared" si="22"/>
        <v>9.3506820032992731E-3</v>
      </c>
      <c r="Y46" s="65">
        <v>1</v>
      </c>
      <c r="Z46" s="65">
        <v>1</v>
      </c>
      <c r="AA46" s="60">
        <v>3938</v>
      </c>
      <c r="AB46" s="60">
        <v>23015492738</v>
      </c>
      <c r="AC46" s="50">
        <v>2804447626</v>
      </c>
      <c r="AD46" s="60">
        <v>1736359731</v>
      </c>
      <c r="AE46" s="50">
        <v>24083580633</v>
      </c>
      <c r="AF46" s="5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</row>
    <row r="47" spans="1:241" ht="16.5" customHeight="1" x14ac:dyDescent="0.25">
      <c r="A47" s="47">
        <v>42</v>
      </c>
      <c r="B47" s="93" t="s">
        <v>85</v>
      </c>
      <c r="C47" s="43" t="s">
        <v>84</v>
      </c>
      <c r="D47" s="50"/>
      <c r="E47" s="50"/>
      <c r="F47" s="50">
        <v>748316604.98000002</v>
      </c>
      <c r="G47" s="50"/>
      <c r="H47" s="50"/>
      <c r="I47" s="50">
        <v>59346159.950000003</v>
      </c>
      <c r="J47" s="50">
        <v>807662764.91999996</v>
      </c>
      <c r="K47" s="50">
        <v>13371485.029999999</v>
      </c>
      <c r="L47" s="50">
        <v>1926335.38</v>
      </c>
      <c r="M47" s="52">
        <v>11445149.65</v>
      </c>
      <c r="N47" s="65">
        <v>1641907046.22</v>
      </c>
      <c r="O47" s="65">
        <v>8651780.8399999999</v>
      </c>
      <c r="P47" s="69">
        <v>1652905207.9300001</v>
      </c>
      <c r="Q47" s="55">
        <f t="shared" si="11"/>
        <v>2.516320190069176E-3</v>
      </c>
      <c r="R47" s="69">
        <v>1633255265.3900001</v>
      </c>
      <c r="S47" s="55">
        <f t="shared" si="12"/>
        <v>2.8233309915002415E-3</v>
      </c>
      <c r="T47" s="56">
        <f t="shared" si="18"/>
        <v>-1.1888124283066648E-2</v>
      </c>
      <c r="U47" s="57">
        <f t="shared" si="19"/>
        <v>1.1794453817603435E-3</v>
      </c>
      <c r="V47" s="58">
        <f t="shared" si="20"/>
        <v>7.0075694182850515E-3</v>
      </c>
      <c r="W47" s="59">
        <f t="shared" si="21"/>
        <v>1.0070570255539966</v>
      </c>
      <c r="X47" s="59">
        <f t="shared" si="22"/>
        <v>7.0570220147412946E-3</v>
      </c>
      <c r="Y47" s="65">
        <v>1</v>
      </c>
      <c r="Z47" s="65">
        <v>1.01</v>
      </c>
      <c r="AA47" s="60">
        <v>49</v>
      </c>
      <c r="AB47" s="60">
        <v>1628227251</v>
      </c>
      <c r="AC47" s="60">
        <v>62997385</v>
      </c>
      <c r="AD47" s="60">
        <v>69414526</v>
      </c>
      <c r="AE47" s="50">
        <v>1621810110</v>
      </c>
      <c r="AF47" s="5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</row>
    <row r="48" spans="1:241" ht="16.5" customHeight="1" x14ac:dyDescent="0.25">
      <c r="A48" s="47">
        <v>43</v>
      </c>
      <c r="B48" s="43" t="s">
        <v>78</v>
      </c>
      <c r="C48" s="43" t="s">
        <v>77</v>
      </c>
      <c r="D48" s="50"/>
      <c r="E48" s="50"/>
      <c r="F48" s="65">
        <v>446948816.00999999</v>
      </c>
      <c r="G48" s="65"/>
      <c r="H48" s="85"/>
      <c r="I48" s="86">
        <v>4242242.3099999996</v>
      </c>
      <c r="J48" s="65">
        <v>451191058.31999999</v>
      </c>
      <c r="K48" s="63">
        <v>6189744.9199999999</v>
      </c>
      <c r="L48" s="63">
        <v>1179930.28</v>
      </c>
      <c r="M48" s="52">
        <v>5009814.6399999997</v>
      </c>
      <c r="N48" s="63">
        <v>595670355.78999996</v>
      </c>
      <c r="O48" s="87">
        <v>2584355.63</v>
      </c>
      <c r="P48" s="69">
        <v>619868752.90999997</v>
      </c>
      <c r="Q48" s="55">
        <f t="shared" si="11"/>
        <v>9.4366467638747412E-4</v>
      </c>
      <c r="R48" s="88">
        <v>592836000.15999997</v>
      </c>
      <c r="S48" s="55">
        <f t="shared" si="12"/>
        <v>1.0248075041283243E-3</v>
      </c>
      <c r="T48" s="56">
        <f t="shared" si="18"/>
        <v>-4.3610445958267137E-2</v>
      </c>
      <c r="U48" s="57">
        <f t="shared" si="19"/>
        <v>1.9903148251481854E-3</v>
      </c>
      <c r="V48" s="58">
        <f t="shared" si="20"/>
        <v>8.4505911224148078E-3</v>
      </c>
      <c r="W48" s="59">
        <f t="shared" si="21"/>
        <v>1.0086120930742346</v>
      </c>
      <c r="X48" s="59">
        <f t="shared" si="22"/>
        <v>8.5233683996933443E-3</v>
      </c>
      <c r="Y48" s="65">
        <v>1</v>
      </c>
      <c r="Z48" s="65">
        <v>1</v>
      </c>
      <c r="AA48" s="60">
        <v>141</v>
      </c>
      <c r="AB48" s="50">
        <v>607535787.75999999</v>
      </c>
      <c r="AC48" s="60">
        <v>5985792.6900000004</v>
      </c>
      <c r="AD48" s="60">
        <v>25747545</v>
      </c>
      <c r="AE48" s="50">
        <v>587774035.46000004</v>
      </c>
      <c r="AF48" s="5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</row>
    <row r="49" spans="1:241" ht="16.5" customHeight="1" x14ac:dyDescent="0.25">
      <c r="A49" s="47">
        <v>44</v>
      </c>
      <c r="B49" s="43" t="s">
        <v>72</v>
      </c>
      <c r="C49" s="43" t="s">
        <v>71</v>
      </c>
      <c r="D49" s="50"/>
      <c r="E49" s="50"/>
      <c r="F49" s="50">
        <v>16309060482.969999</v>
      </c>
      <c r="G49" s="50"/>
      <c r="H49" s="50"/>
      <c r="I49" s="50"/>
      <c r="J49" s="50">
        <v>16309060482.969999</v>
      </c>
      <c r="K49" s="50">
        <v>159037706.56</v>
      </c>
      <c r="L49" s="50">
        <v>19471215.75</v>
      </c>
      <c r="M49" s="52">
        <v>139566490.81</v>
      </c>
      <c r="N49" s="65">
        <v>16499291476.280001</v>
      </c>
      <c r="O49" s="65">
        <v>19471215.75</v>
      </c>
      <c r="P49" s="69">
        <v>16440303069.200001</v>
      </c>
      <c r="Q49" s="55">
        <f t="shared" si="11"/>
        <v>2.5028093774168911E-2</v>
      </c>
      <c r="R49" s="69">
        <v>16479820260.530001</v>
      </c>
      <c r="S49" s="55">
        <f t="shared" si="12"/>
        <v>2.8487884448851083E-2</v>
      </c>
      <c r="T49" s="56">
        <f t="shared" si="18"/>
        <v>2.4036777888865805E-3</v>
      </c>
      <c r="U49" s="57">
        <f t="shared" si="19"/>
        <v>1.18151869633157E-3</v>
      </c>
      <c r="V49" s="58">
        <f t="shared" si="20"/>
        <v>8.4689328283675987E-3</v>
      </c>
      <c r="W49" s="59">
        <f t="shared" si="21"/>
        <v>1.0102374960954372</v>
      </c>
      <c r="X49" s="59">
        <f t="shared" si="22"/>
        <v>8.555633495130532E-3</v>
      </c>
      <c r="Y49" s="65">
        <v>1</v>
      </c>
      <c r="Z49" s="65">
        <v>1</v>
      </c>
      <c r="AA49" s="60">
        <v>2626</v>
      </c>
      <c r="AB49" s="60">
        <v>16131419864.57</v>
      </c>
      <c r="AC49" s="60">
        <v>1669867075.71</v>
      </c>
      <c r="AD49" s="60">
        <v>1488469088.8099999</v>
      </c>
      <c r="AE49" s="50">
        <v>16312817851.469999</v>
      </c>
      <c r="AF49" s="5"/>
    </row>
    <row r="50" spans="1:241" ht="16.5" customHeight="1" x14ac:dyDescent="0.25">
      <c r="A50" s="94" t="s">
        <v>88</v>
      </c>
      <c r="B50" s="23"/>
      <c r="C50" s="73" t="s">
        <v>50</v>
      </c>
      <c r="D50" s="74"/>
      <c r="E50" s="74"/>
      <c r="F50" s="74">
        <f>SUM(F21:F49)</f>
        <v>457516277881.49994</v>
      </c>
      <c r="G50" s="74"/>
      <c r="H50" s="74"/>
      <c r="I50" s="74">
        <f t="shared" ref="I50:O50" si="23">SUM(I21:I49)</f>
        <v>59429854.210000008</v>
      </c>
      <c r="J50" s="74">
        <f t="shared" si="23"/>
        <v>489049759063.93994</v>
      </c>
      <c r="K50" s="74">
        <f t="shared" si="23"/>
        <v>5879163655.3400011</v>
      </c>
      <c r="L50" s="74">
        <f t="shared" si="23"/>
        <v>908345732.91999996</v>
      </c>
      <c r="M50" s="74">
        <f t="shared" si="23"/>
        <v>4970709243.8500013</v>
      </c>
      <c r="N50" s="74">
        <f t="shared" si="23"/>
        <v>583367376305.21997</v>
      </c>
      <c r="O50" s="74">
        <f t="shared" si="23"/>
        <v>5900764302.3899994</v>
      </c>
      <c r="P50" s="96">
        <f>SUM(P21:P49)</f>
        <v>656873960020.39001</v>
      </c>
      <c r="Q50" s="76">
        <f>(P50/$P$153)</f>
        <v>0.44255355059733842</v>
      </c>
      <c r="R50" s="96">
        <f>SUM(R21:R49)</f>
        <v>578485225539.26013</v>
      </c>
      <c r="S50" s="76">
        <f>(R50/$R$153)</f>
        <v>0.42085717654654792</v>
      </c>
      <c r="T50" s="77">
        <f t="shared" si="13"/>
        <v>-0.11933603590968443</v>
      </c>
      <c r="U50" s="78"/>
      <c r="V50" s="79"/>
      <c r="W50" s="80"/>
      <c r="X50" s="80"/>
      <c r="Y50" s="74"/>
      <c r="Z50" s="74"/>
      <c r="AA50" s="81">
        <f>SUM(AA21:AA49)</f>
        <v>219597</v>
      </c>
      <c r="AB50" s="81"/>
      <c r="AC50" s="81"/>
      <c r="AD50" s="81"/>
      <c r="AE50" s="74"/>
      <c r="AF50" s="5"/>
    </row>
    <row r="51" spans="1:241" ht="16.5" customHeight="1" x14ac:dyDescent="0.25">
      <c r="A51" s="152" t="s">
        <v>177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4"/>
      <c r="AF51" s="5"/>
    </row>
    <row r="52" spans="1:241" ht="16.5" customHeight="1" x14ac:dyDescent="0.25">
      <c r="A52" s="47">
        <v>45</v>
      </c>
      <c r="B52" s="43" t="s">
        <v>115</v>
      </c>
      <c r="C52" s="43" t="s">
        <v>48</v>
      </c>
      <c r="D52" s="65"/>
      <c r="E52" s="65"/>
      <c r="F52" s="65">
        <v>73494395.430000007</v>
      </c>
      <c r="G52" s="65">
        <v>329576280.47000003</v>
      </c>
      <c r="H52" s="65"/>
      <c r="I52" s="65"/>
      <c r="J52" s="65">
        <v>403070675.89999998</v>
      </c>
      <c r="K52" s="65">
        <v>4437822.22</v>
      </c>
      <c r="L52" s="65">
        <v>611642.59</v>
      </c>
      <c r="M52" s="52">
        <v>3826179.63</v>
      </c>
      <c r="N52" s="65">
        <v>411220074.25999999</v>
      </c>
      <c r="O52" s="65">
        <v>611642.59</v>
      </c>
      <c r="P52" s="69">
        <v>420640711.49000001</v>
      </c>
      <c r="Q52" s="55">
        <f t="shared" ref="Q52:Q81" si="24">(P52/$P$82)</f>
        <v>1.103466708044366E-3</v>
      </c>
      <c r="R52" s="69">
        <v>410608431.67000002</v>
      </c>
      <c r="S52" s="55">
        <f t="shared" ref="S52:S81" si="25">(R52/$R$82)</f>
        <v>1.1332470265583634E-3</v>
      </c>
      <c r="T52" s="56">
        <f t="shared" ref="T52:T82" si="26">((R52-P52)/P52)</f>
        <v>-2.3849997268365911E-2</v>
      </c>
      <c r="U52" s="57">
        <f>(L52/R52)</f>
        <v>1.4896006580097901E-3</v>
      </c>
      <c r="V52" s="58">
        <f>M52/R52</f>
        <v>9.3183172455529231E-3</v>
      </c>
      <c r="W52" s="59">
        <f>R52/AE52</f>
        <v>1.1549251944642074</v>
      </c>
      <c r="X52" s="59">
        <f>M52/AE52</f>
        <v>1.0761959356899387E-2</v>
      </c>
      <c r="Y52" s="97">
        <v>1.1499999999999999</v>
      </c>
      <c r="Z52" s="97">
        <v>1.1499999999999999</v>
      </c>
      <c r="AA52" s="60">
        <v>338</v>
      </c>
      <c r="AB52" s="60">
        <v>356127241.45000005</v>
      </c>
      <c r="AC52" s="60"/>
      <c r="AD52" s="60">
        <v>599079.42000000004</v>
      </c>
      <c r="AE52" s="50">
        <v>355528162.03000003</v>
      </c>
      <c r="AF52" s="5"/>
    </row>
    <row r="53" spans="1:241" ht="16.5" customHeight="1" x14ac:dyDescent="0.25">
      <c r="A53" s="47">
        <v>46</v>
      </c>
      <c r="B53" s="43" t="s">
        <v>117</v>
      </c>
      <c r="C53" s="44" t="s">
        <v>35</v>
      </c>
      <c r="D53" s="65"/>
      <c r="E53" s="65"/>
      <c r="F53" s="65">
        <v>59850537.259999998</v>
      </c>
      <c r="G53" s="65">
        <v>885543427.85000002</v>
      </c>
      <c r="H53" s="65"/>
      <c r="I53" s="65"/>
      <c r="J53" s="65">
        <v>945393965.11000001</v>
      </c>
      <c r="K53" s="65">
        <v>6727445.2400000002</v>
      </c>
      <c r="L53" s="65">
        <v>2865698.81</v>
      </c>
      <c r="M53" s="52">
        <v>3861746.43</v>
      </c>
      <c r="N53" s="65">
        <v>985951146</v>
      </c>
      <c r="O53" s="65">
        <v>38830285</v>
      </c>
      <c r="P53" s="69">
        <v>961070986</v>
      </c>
      <c r="Q53" s="55">
        <f t="shared" si="24"/>
        <v>2.5211773567085758E-3</v>
      </c>
      <c r="R53" s="69">
        <v>947120860</v>
      </c>
      <c r="S53" s="55">
        <f t="shared" ref="S53:S82" si="27">(R53/$R$82)</f>
        <v>2.6139791967277792E-3</v>
      </c>
      <c r="T53" s="56">
        <f t="shared" ref="T53:T82" si="28">((R53-P53)/P53)</f>
        <v>-1.4515187955117397E-2</v>
      </c>
      <c r="U53" s="57">
        <f t="shared" ref="U53:U82" si="29">(L53/R53)</f>
        <v>3.0256949572412544E-3</v>
      </c>
      <c r="V53" s="58">
        <f t="shared" ref="V53:V82" si="30">M53/R53</f>
        <v>4.0773533696639311E-3</v>
      </c>
      <c r="W53" s="59">
        <f t="shared" ref="W53:W82" si="31">R53/AE53</f>
        <v>1.0648516507573622</v>
      </c>
      <c r="X53" s="59">
        <f t="shared" ref="X53:X82" si="32">M53/AE53</f>
        <v>4.3417764664077296E-3</v>
      </c>
      <c r="Y53" s="97">
        <v>1.0649</v>
      </c>
      <c r="Z53" s="97">
        <v>1.0649</v>
      </c>
      <c r="AA53" s="60">
        <v>249</v>
      </c>
      <c r="AB53" s="50">
        <v>905985672</v>
      </c>
      <c r="AC53" s="50">
        <v>5840521</v>
      </c>
      <c r="AD53" s="60">
        <v>22386937</v>
      </c>
      <c r="AE53" s="50">
        <v>889439256</v>
      </c>
      <c r="AF53" s="5"/>
    </row>
    <row r="54" spans="1:241" ht="16.5" customHeight="1" x14ac:dyDescent="0.25">
      <c r="A54" s="47">
        <v>47</v>
      </c>
      <c r="B54" s="43" t="s">
        <v>201</v>
      </c>
      <c r="C54" s="43" t="s">
        <v>200</v>
      </c>
      <c r="D54" s="65"/>
      <c r="E54" s="65"/>
      <c r="F54" s="65">
        <v>58974183.189999998</v>
      </c>
      <c r="G54" s="65">
        <v>651079414.62</v>
      </c>
      <c r="H54" s="65"/>
      <c r="I54" s="65"/>
      <c r="J54" s="65">
        <v>710053597.80999994</v>
      </c>
      <c r="K54" s="65">
        <v>6954011.9400000004</v>
      </c>
      <c r="L54" s="65">
        <v>1721077.64</v>
      </c>
      <c r="M54" s="52">
        <v>5232934.3</v>
      </c>
      <c r="N54" s="65">
        <v>916780757</v>
      </c>
      <c r="O54" s="65">
        <v>2917869</v>
      </c>
      <c r="P54" s="69">
        <v>932949031</v>
      </c>
      <c r="Q54" s="55">
        <f t="shared" si="24"/>
        <v>2.4474050368641625E-3</v>
      </c>
      <c r="R54" s="69">
        <v>913862887</v>
      </c>
      <c r="S54" s="55">
        <f t="shared" si="27"/>
        <v>2.5221898029778264E-3</v>
      </c>
      <c r="T54" s="56">
        <f t="shared" si="28"/>
        <v>-2.0457863576472272E-2</v>
      </c>
      <c r="U54" s="57">
        <f t="shared" si="29"/>
        <v>1.8832996333289108E-3</v>
      </c>
      <c r="V54" s="58">
        <f t="shared" si="30"/>
        <v>5.7261700572812518E-3</v>
      </c>
      <c r="W54" s="59">
        <f t="shared" si="31"/>
        <v>1.0252443137836413</v>
      </c>
      <c r="X54" s="59">
        <f t="shared" si="32"/>
        <v>5.8707232909857516E-3</v>
      </c>
      <c r="Y54" s="97">
        <v>1.0251999999999999</v>
      </c>
      <c r="Z54" s="97">
        <v>1.0251999999999999</v>
      </c>
      <c r="AA54" s="60">
        <v>34</v>
      </c>
      <c r="AB54" s="60">
        <v>915153295</v>
      </c>
      <c r="AC54" s="60">
        <v>19756</v>
      </c>
      <c r="AD54" s="60">
        <v>23811963</v>
      </c>
      <c r="AE54" s="50">
        <v>891361088</v>
      </c>
      <c r="AF54" s="5"/>
    </row>
    <row r="55" spans="1:241" ht="16.5" customHeight="1" x14ac:dyDescent="0.25">
      <c r="A55" s="47">
        <v>48</v>
      </c>
      <c r="B55" s="43" t="s">
        <v>147</v>
      </c>
      <c r="C55" s="44" t="s">
        <v>118</v>
      </c>
      <c r="D55" s="65"/>
      <c r="E55" s="65"/>
      <c r="F55" s="65">
        <v>0</v>
      </c>
      <c r="G55" s="65">
        <v>228315750.62</v>
      </c>
      <c r="H55" s="98"/>
      <c r="I55" s="99">
        <v>0</v>
      </c>
      <c r="J55" s="65">
        <v>228315750.62</v>
      </c>
      <c r="K55" s="99">
        <v>2777974.62</v>
      </c>
      <c r="L55" s="65">
        <v>392403.08</v>
      </c>
      <c r="M55" s="52">
        <v>2385571.54</v>
      </c>
      <c r="N55" s="65">
        <v>251362659.72</v>
      </c>
      <c r="O55" s="65">
        <v>10245958.310000001</v>
      </c>
      <c r="P55" s="69">
        <v>246078244.86000001</v>
      </c>
      <c r="Q55" s="55">
        <f t="shared" si="24"/>
        <v>6.455370185523637E-4</v>
      </c>
      <c r="R55" s="69">
        <v>241116701.41</v>
      </c>
      <c r="S55" s="55">
        <f t="shared" si="27"/>
        <v>6.6546316113168876E-4</v>
      </c>
      <c r="T55" s="56">
        <f t="shared" si="28"/>
        <v>-2.0162462767981632E-2</v>
      </c>
      <c r="U55" s="57">
        <f t="shared" si="29"/>
        <v>1.6274404788440989E-3</v>
      </c>
      <c r="V55" s="58">
        <f t="shared" si="30"/>
        <v>9.8938461170448872E-3</v>
      </c>
      <c r="W55" s="59">
        <f t="shared" si="31"/>
        <v>1071.7726870693871</v>
      </c>
      <c r="X55" s="59">
        <f t="shared" si="32"/>
        <v>10.603954038316219</v>
      </c>
      <c r="Y55" s="97">
        <v>1071.77</v>
      </c>
      <c r="Z55" s="97">
        <v>1071.77</v>
      </c>
      <c r="AA55" s="60">
        <v>114</v>
      </c>
      <c r="AB55" s="60">
        <v>224910</v>
      </c>
      <c r="AC55" s="60">
        <v>440</v>
      </c>
      <c r="AD55" s="60">
        <v>380</v>
      </c>
      <c r="AE55" s="50">
        <v>224970</v>
      </c>
      <c r="AF55" s="5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</row>
    <row r="56" spans="1:241" ht="16.5" customHeight="1" x14ac:dyDescent="0.25">
      <c r="A56" s="47">
        <v>49</v>
      </c>
      <c r="B56" s="43" t="s">
        <v>145</v>
      </c>
      <c r="C56" s="44" t="s">
        <v>144</v>
      </c>
      <c r="D56" s="65"/>
      <c r="E56" s="65"/>
      <c r="F56" s="65">
        <v>141971410.44999999</v>
      </c>
      <c r="G56" s="65">
        <v>1027514839.7</v>
      </c>
      <c r="H56" s="65"/>
      <c r="I56" s="65"/>
      <c r="J56" s="65">
        <v>1169486250.1400001</v>
      </c>
      <c r="K56" s="65">
        <v>12150439.82</v>
      </c>
      <c r="L56" s="65">
        <v>1982351.2</v>
      </c>
      <c r="M56" s="52">
        <v>10168088.619999999</v>
      </c>
      <c r="N56" s="65">
        <v>1397128789.51</v>
      </c>
      <c r="O56" s="65">
        <v>3749068.51</v>
      </c>
      <c r="P56" s="69">
        <v>1400354010.4000001</v>
      </c>
      <c r="Q56" s="55">
        <f t="shared" si="24"/>
        <v>3.6735484410893721E-3</v>
      </c>
      <c r="R56" s="69">
        <v>1393379721</v>
      </c>
      <c r="S56" s="55">
        <f t="shared" si="27"/>
        <v>3.8456186086286365E-3</v>
      </c>
      <c r="T56" s="56">
        <f t="shared" si="28"/>
        <v>-4.980375925090502E-3</v>
      </c>
      <c r="U56" s="57">
        <f t="shared" si="29"/>
        <v>1.4226927305769222E-3</v>
      </c>
      <c r="V56" s="58">
        <f t="shared" si="30"/>
        <v>7.2974283081302278E-3</v>
      </c>
      <c r="W56" s="59">
        <f t="shared" si="31"/>
        <v>1.0277522487959128</v>
      </c>
      <c r="X56" s="59">
        <f t="shared" si="32"/>
        <v>7.4999483541077945E-3</v>
      </c>
      <c r="Y56" s="97">
        <v>1.0275000000000001</v>
      </c>
      <c r="Z56" s="97">
        <v>1.0275000000000001</v>
      </c>
      <c r="AA56" s="60">
        <v>676</v>
      </c>
      <c r="AB56" s="60">
        <v>1372525279.3699999</v>
      </c>
      <c r="AC56" s="60">
        <v>25169785.949999999</v>
      </c>
      <c r="AD56" s="60">
        <v>41940580.100000001</v>
      </c>
      <c r="AE56" s="50">
        <v>1355754485.22</v>
      </c>
      <c r="AF56" s="5"/>
    </row>
    <row r="57" spans="1:241" ht="16.5" customHeight="1" x14ac:dyDescent="0.25">
      <c r="A57" s="47">
        <v>50</v>
      </c>
      <c r="B57" s="43" t="s">
        <v>99</v>
      </c>
      <c r="C57" s="43" t="s">
        <v>98</v>
      </c>
      <c r="D57" s="65"/>
      <c r="E57" s="65"/>
      <c r="F57" s="65">
        <v>51884922.259999998</v>
      </c>
      <c r="G57" s="65">
        <v>386468214.88</v>
      </c>
      <c r="H57" s="65"/>
      <c r="I57" s="65"/>
      <c r="J57" s="65">
        <v>438353137.13999999</v>
      </c>
      <c r="K57" s="65">
        <v>2964260.87</v>
      </c>
      <c r="L57" s="65">
        <v>826651.09</v>
      </c>
      <c r="M57" s="52">
        <v>2137609.7799999998</v>
      </c>
      <c r="N57" s="65">
        <v>446949727.63999999</v>
      </c>
      <c r="O57" s="65">
        <v>21106878.73</v>
      </c>
      <c r="P57" s="69">
        <v>432055835.97000003</v>
      </c>
      <c r="Q57" s="55">
        <f t="shared" si="24"/>
        <v>1.1334120021820725E-3</v>
      </c>
      <c r="R57" s="69">
        <v>425842848.91000003</v>
      </c>
      <c r="S57" s="55">
        <f t="shared" si="27"/>
        <v>1.1752928217904851E-3</v>
      </c>
      <c r="T57" s="56">
        <f t="shared" si="28"/>
        <v>-1.4380055869518226E-2</v>
      </c>
      <c r="U57" s="57">
        <f t="shared" si="29"/>
        <v>1.941211627988871E-3</v>
      </c>
      <c r="V57" s="58">
        <f t="shared" si="30"/>
        <v>5.0197151025818303E-3</v>
      </c>
      <c r="W57" s="59">
        <f t="shared" si="31"/>
        <v>2.1594717756245894</v>
      </c>
      <c r="X57" s="59">
        <f t="shared" si="32"/>
        <v>1.0839933085701954E-2</v>
      </c>
      <c r="Y57" s="97">
        <v>2.089</v>
      </c>
      <c r="Z57" s="97">
        <v>2.089</v>
      </c>
      <c r="AA57" s="60">
        <v>1407</v>
      </c>
      <c r="AB57" s="60">
        <v>201187231.8725</v>
      </c>
      <c r="AC57" s="60">
        <v>15657.08</v>
      </c>
      <c r="AD57" s="60">
        <v>4005197.5</v>
      </c>
      <c r="AE57" s="50">
        <v>197197691.45249999</v>
      </c>
      <c r="AF57" s="5"/>
    </row>
    <row r="58" spans="1:241" ht="16.5" customHeight="1" x14ac:dyDescent="0.25">
      <c r="A58" s="47">
        <v>51</v>
      </c>
      <c r="B58" s="43" t="s">
        <v>183</v>
      </c>
      <c r="C58" s="43" t="s">
        <v>29</v>
      </c>
      <c r="D58" s="65"/>
      <c r="E58" s="65"/>
      <c r="F58" s="65">
        <v>518039613.31</v>
      </c>
      <c r="G58" s="65">
        <v>2676092297.7199998</v>
      </c>
      <c r="H58" s="65"/>
      <c r="I58" s="100"/>
      <c r="J58" s="65">
        <v>3200389696.8600001</v>
      </c>
      <c r="K58" s="65">
        <v>29885106.16</v>
      </c>
      <c r="L58" s="65">
        <v>5248091.91</v>
      </c>
      <c r="M58" s="52">
        <v>24637014.260000002</v>
      </c>
      <c r="N58" s="65">
        <v>3200389696.8600001</v>
      </c>
      <c r="O58" s="65">
        <v>7318399.2400000002</v>
      </c>
      <c r="P58" s="69">
        <v>2927955274.96</v>
      </c>
      <c r="Q58" s="55">
        <f t="shared" si="24"/>
        <v>7.6809045827178728E-3</v>
      </c>
      <c r="R58" s="69">
        <v>3193071297.6199999</v>
      </c>
      <c r="S58" s="55">
        <f t="shared" si="27"/>
        <v>8.8126260313253543E-3</v>
      </c>
      <c r="T58" s="56">
        <f t="shared" si="28"/>
        <v>9.05464727987082E-2</v>
      </c>
      <c r="U58" s="57">
        <f t="shared" si="29"/>
        <v>1.6435874494602543E-3</v>
      </c>
      <c r="V58" s="58">
        <f t="shared" si="30"/>
        <v>7.7157732990063652E-3</v>
      </c>
      <c r="W58" s="59">
        <f t="shared" si="31"/>
        <v>108.08882033893026</v>
      </c>
      <c r="X58" s="59">
        <f t="shared" si="32"/>
        <v>0.83398883389221423</v>
      </c>
      <c r="Y58" s="97">
        <v>108.08</v>
      </c>
      <c r="Z58" s="97">
        <v>108.08</v>
      </c>
      <c r="AA58" s="60">
        <v>108</v>
      </c>
      <c r="AB58" s="60">
        <v>27309587</v>
      </c>
      <c r="AC58" s="60">
        <v>2433116</v>
      </c>
      <c r="AD58" s="60">
        <v>201523</v>
      </c>
      <c r="AE58" s="50">
        <v>29541180</v>
      </c>
      <c r="AF58" s="5"/>
    </row>
    <row r="59" spans="1:241" ht="16.5" customHeight="1" x14ac:dyDescent="0.25">
      <c r="A59" s="47">
        <v>52</v>
      </c>
      <c r="B59" s="44" t="s">
        <v>95</v>
      </c>
      <c r="C59" s="43" t="s">
        <v>79</v>
      </c>
      <c r="D59" s="65"/>
      <c r="E59" s="65"/>
      <c r="F59" s="65">
        <v>576738726.64999998</v>
      </c>
      <c r="G59" s="65">
        <v>2086896178.4300001</v>
      </c>
      <c r="H59" s="65"/>
      <c r="I59" s="65"/>
      <c r="J59" s="65">
        <v>2663634905.0900002</v>
      </c>
      <c r="K59" s="65">
        <v>24603646</v>
      </c>
      <c r="L59" s="65">
        <v>5039277.49</v>
      </c>
      <c r="M59" s="52">
        <v>19564368.510000002</v>
      </c>
      <c r="N59" s="65">
        <v>2850389784.3200002</v>
      </c>
      <c r="O59" s="65">
        <v>42151675.229999997</v>
      </c>
      <c r="P59" s="69">
        <v>2805337042.1999998</v>
      </c>
      <c r="Q59" s="55">
        <f t="shared" si="24"/>
        <v>7.3592401932425517E-3</v>
      </c>
      <c r="R59" s="69">
        <v>2808238109.0999999</v>
      </c>
      <c r="S59" s="55">
        <f t="shared" si="27"/>
        <v>7.7505166517455393E-3</v>
      </c>
      <c r="T59" s="56">
        <f t="shared" si="28"/>
        <v>1.0341241912683056E-3</v>
      </c>
      <c r="U59" s="57">
        <f t="shared" si="29"/>
        <v>1.7944623262786702E-3</v>
      </c>
      <c r="V59" s="58">
        <f t="shared" si="30"/>
        <v>6.9667769433803825E-3</v>
      </c>
      <c r="W59" s="59">
        <f t="shared" si="31"/>
        <v>3657.7856342151722</v>
      </c>
      <c r="X59" s="59">
        <f t="shared" si="32"/>
        <v>25.482976620278251</v>
      </c>
      <c r="Y59" s="97">
        <v>3657.79</v>
      </c>
      <c r="Z59" s="97">
        <v>3657.79</v>
      </c>
      <c r="AA59" s="60">
        <v>1069</v>
      </c>
      <c r="AB59" s="60">
        <v>772249.74</v>
      </c>
      <c r="AC59" s="60">
        <v>3775.17</v>
      </c>
      <c r="AD59" s="60">
        <v>8282.24</v>
      </c>
      <c r="AE59" s="50">
        <v>767742.67</v>
      </c>
      <c r="AF59" s="5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</row>
    <row r="60" spans="1:241" ht="16.5" customHeight="1" x14ac:dyDescent="0.25">
      <c r="A60" s="47">
        <v>53</v>
      </c>
      <c r="B60" s="43" t="s">
        <v>197</v>
      </c>
      <c r="C60" s="43" t="s">
        <v>63</v>
      </c>
      <c r="D60" s="65"/>
      <c r="E60" s="65"/>
      <c r="F60" s="65">
        <v>47485433.450000003</v>
      </c>
      <c r="G60" s="65">
        <v>275159900.99000001</v>
      </c>
      <c r="H60" s="65"/>
      <c r="I60" s="100"/>
      <c r="J60" s="65">
        <v>322645334.44</v>
      </c>
      <c r="K60" s="65">
        <v>3731766.61</v>
      </c>
      <c r="L60" s="65">
        <v>749103.06</v>
      </c>
      <c r="M60" s="101">
        <v>2982663.55</v>
      </c>
      <c r="N60" s="65">
        <v>376326047.29000002</v>
      </c>
      <c r="O60" s="65">
        <v>6324313.5999999996</v>
      </c>
      <c r="P60" s="69">
        <v>371406668.11000001</v>
      </c>
      <c r="Q60" s="55">
        <f t="shared" si="24"/>
        <v>9.743110502864657E-4</v>
      </c>
      <c r="R60" s="69">
        <v>370001733.69</v>
      </c>
      <c r="S60" s="55">
        <f t="shared" si="27"/>
        <v>1.0211757289548791E-3</v>
      </c>
      <c r="T60" s="56">
        <f t="shared" si="28"/>
        <v>-3.7827388160514E-3</v>
      </c>
      <c r="U60" s="57">
        <f t="shared" si="29"/>
        <v>2.0245933783316376E-3</v>
      </c>
      <c r="V60" s="58">
        <f t="shared" si="30"/>
        <v>8.0612150658163576E-3</v>
      </c>
      <c r="W60" s="59">
        <f t="shared" si="31"/>
        <v>103.07528797986197</v>
      </c>
      <c r="X60" s="59">
        <f t="shared" si="32"/>
        <v>0.83091206437662302</v>
      </c>
      <c r="Y60" s="97">
        <v>103.86</v>
      </c>
      <c r="Z60" s="97">
        <v>103.86</v>
      </c>
      <c r="AA60" s="102">
        <v>126</v>
      </c>
      <c r="AB60" s="60">
        <v>3616265</v>
      </c>
      <c r="AC60" s="60">
        <v>344940</v>
      </c>
      <c r="AD60" s="60">
        <v>371579</v>
      </c>
      <c r="AE60" s="50">
        <v>3589626</v>
      </c>
      <c r="AF60" s="5"/>
    </row>
    <row r="61" spans="1:241" ht="18" customHeight="1" x14ac:dyDescent="0.25">
      <c r="A61" s="47">
        <v>54</v>
      </c>
      <c r="B61" s="44" t="s">
        <v>113</v>
      </c>
      <c r="C61" s="44" t="s">
        <v>69</v>
      </c>
      <c r="D61" s="65"/>
      <c r="E61" s="65"/>
      <c r="F61" s="65">
        <v>46329460.140000001</v>
      </c>
      <c r="G61" s="65">
        <v>237284689.28999999</v>
      </c>
      <c r="H61" s="65"/>
      <c r="I61" s="65"/>
      <c r="J61" s="65">
        <v>283614149.43000001</v>
      </c>
      <c r="K61" s="65">
        <v>2579156.0499999998</v>
      </c>
      <c r="L61" s="65">
        <v>697590.89</v>
      </c>
      <c r="M61" s="52">
        <v>-6986569.4000000004</v>
      </c>
      <c r="N61" s="65">
        <v>328252228.31</v>
      </c>
      <c r="O61" s="65">
        <v>4037240.55</v>
      </c>
      <c r="P61" s="69">
        <v>331544999.63</v>
      </c>
      <c r="Q61" s="55">
        <f t="shared" si="24"/>
        <v>8.697419420349759E-4</v>
      </c>
      <c r="R61" s="69">
        <v>324214987.75999999</v>
      </c>
      <c r="S61" s="55">
        <f t="shared" si="27"/>
        <v>8.9480790579566749E-4</v>
      </c>
      <c r="T61" s="56">
        <f t="shared" si="28"/>
        <v>-2.2108648533925124E-2</v>
      </c>
      <c r="U61" s="57">
        <f t="shared" si="29"/>
        <v>2.1516306041853665E-3</v>
      </c>
      <c r="V61" s="58">
        <f t="shared" si="30"/>
        <v>-2.1549187001718147E-2</v>
      </c>
      <c r="W61" s="59">
        <f t="shared" si="31"/>
        <v>1.337459477236417</v>
      </c>
      <c r="X61" s="59">
        <f t="shared" si="32"/>
        <v>-2.8821164382187743E-2</v>
      </c>
      <c r="Y61" s="97">
        <v>1.3374999999999999</v>
      </c>
      <c r="Z61" s="97">
        <v>1.3374999999999999</v>
      </c>
      <c r="AA61" s="60">
        <v>247</v>
      </c>
      <c r="AB61" s="60">
        <v>242660277.74000001</v>
      </c>
      <c r="AC61" s="60">
        <v>509516.38</v>
      </c>
      <c r="AD61" s="60">
        <v>758720.53</v>
      </c>
      <c r="AE61" s="50">
        <v>242411073.59</v>
      </c>
      <c r="AF61" s="5"/>
    </row>
    <row r="62" spans="1:241" ht="18" customHeight="1" x14ac:dyDescent="0.25">
      <c r="A62" s="47">
        <v>55</v>
      </c>
      <c r="B62" s="43" t="s">
        <v>204</v>
      </c>
      <c r="C62" s="43" t="s">
        <v>205</v>
      </c>
      <c r="D62" s="65"/>
      <c r="E62" s="65"/>
      <c r="F62" s="65">
        <v>250000000</v>
      </c>
      <c r="G62" s="65"/>
      <c r="H62" s="65"/>
      <c r="I62" s="65"/>
      <c r="J62" s="65">
        <v>250000000</v>
      </c>
      <c r="K62" s="65">
        <v>3820609.5</v>
      </c>
      <c r="L62" s="65">
        <v>1761277.14</v>
      </c>
      <c r="M62" s="52">
        <v>2059332.36</v>
      </c>
      <c r="N62" s="65">
        <v>392536609.5</v>
      </c>
      <c r="O62" s="65">
        <v>1761277.14</v>
      </c>
      <c r="P62" s="69">
        <v>0</v>
      </c>
      <c r="Q62" s="55">
        <f t="shared" si="24"/>
        <v>0</v>
      </c>
      <c r="R62" s="69">
        <v>390775332.36000001</v>
      </c>
      <c r="S62" s="55">
        <f t="shared" si="27"/>
        <v>1.0785092299449765E-3</v>
      </c>
      <c r="T62" s="56" t="e">
        <f t="shared" si="28"/>
        <v>#DIV/0!</v>
      </c>
      <c r="U62" s="57">
        <f t="shared" si="29"/>
        <v>4.5071349037390908E-3</v>
      </c>
      <c r="V62" s="58">
        <f t="shared" si="30"/>
        <v>5.2698627304930534E-3</v>
      </c>
      <c r="W62" s="59">
        <f t="shared" si="31"/>
        <v>1078.8039040811011</v>
      </c>
      <c r="X62" s="59">
        <f t="shared" si="32"/>
        <v>5.6851484876273979</v>
      </c>
      <c r="Y62" s="97">
        <v>1000</v>
      </c>
      <c r="Z62" s="97">
        <v>1000</v>
      </c>
      <c r="AA62" s="60">
        <v>111</v>
      </c>
      <c r="AB62" s="60">
        <v>89526.62</v>
      </c>
      <c r="AC62" s="60">
        <v>299189.38</v>
      </c>
      <c r="AD62" s="60">
        <v>26485.82</v>
      </c>
      <c r="AE62" s="50">
        <v>362230.18</v>
      </c>
      <c r="AF62" s="5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</row>
    <row r="63" spans="1:241" ht="16.5" customHeight="1" x14ac:dyDescent="0.25">
      <c r="A63" s="47">
        <v>56</v>
      </c>
      <c r="B63" s="43" t="s">
        <v>186</v>
      </c>
      <c r="C63" s="43" t="s">
        <v>67</v>
      </c>
      <c r="D63" s="65"/>
      <c r="E63" s="65"/>
      <c r="F63" s="65">
        <v>96866584.010000005</v>
      </c>
      <c r="G63" s="65">
        <v>253124206.19999999</v>
      </c>
      <c r="H63" s="65"/>
      <c r="I63" s="65"/>
      <c r="J63" s="65">
        <v>349990790.20999998</v>
      </c>
      <c r="K63" s="65">
        <v>5440057.7400000002</v>
      </c>
      <c r="L63" s="65">
        <v>803498.4</v>
      </c>
      <c r="M63" s="52">
        <v>4636559.3499999996</v>
      </c>
      <c r="N63" s="65">
        <v>396651504.5</v>
      </c>
      <c r="O63" s="65">
        <v>3205017.22</v>
      </c>
      <c r="P63" s="69">
        <v>398897941.38</v>
      </c>
      <c r="Q63" s="55">
        <f t="shared" si="24"/>
        <v>1.046428902854134E-3</v>
      </c>
      <c r="R63" s="69">
        <v>393446487.29000002</v>
      </c>
      <c r="S63" s="55">
        <f t="shared" si="27"/>
        <v>1.0858814077874715E-3</v>
      </c>
      <c r="T63" s="56">
        <f t="shared" si="28"/>
        <v>-1.3666287850823437E-2</v>
      </c>
      <c r="U63" s="57">
        <f t="shared" si="29"/>
        <v>2.042205041743734E-3</v>
      </c>
      <c r="V63" s="58">
        <f t="shared" si="30"/>
        <v>1.1784472602452039E-2</v>
      </c>
      <c r="W63" s="59">
        <f t="shared" si="31"/>
        <v>1134.2764934701763</v>
      </c>
      <c r="X63" s="59">
        <f t="shared" si="32"/>
        <v>13.366850260904661</v>
      </c>
      <c r="Y63" s="49">
        <v>1134.28</v>
      </c>
      <c r="Z63" s="49">
        <v>1134.53</v>
      </c>
      <c r="AA63" s="60">
        <v>103</v>
      </c>
      <c r="AB63" s="60">
        <v>347151</v>
      </c>
      <c r="AC63" s="60">
        <v>5958</v>
      </c>
      <c r="AD63" s="60">
        <v>6239</v>
      </c>
      <c r="AE63" s="60">
        <v>346870</v>
      </c>
      <c r="AF63" s="5"/>
      <c r="AG63" s="36"/>
    </row>
    <row r="64" spans="1:241" ht="15.75" customHeight="1" x14ac:dyDescent="0.25">
      <c r="A64" s="47">
        <v>57</v>
      </c>
      <c r="B64" s="43" t="s">
        <v>156</v>
      </c>
      <c r="C64" s="44" t="s">
        <v>154</v>
      </c>
      <c r="D64" s="65"/>
      <c r="E64" s="65"/>
      <c r="F64" s="65">
        <v>17906940.219999999</v>
      </c>
      <c r="G64" s="65">
        <v>517422033.26999998</v>
      </c>
      <c r="H64" s="65"/>
      <c r="I64" s="65">
        <v>935297.51</v>
      </c>
      <c r="J64" s="65">
        <v>536264271</v>
      </c>
      <c r="K64" s="89">
        <v>6314025.6100000003</v>
      </c>
      <c r="L64" s="89">
        <v>1294474.26</v>
      </c>
      <c r="M64" s="52">
        <v>5019551.3499999996</v>
      </c>
      <c r="N64" s="65">
        <v>671771237.74000001</v>
      </c>
      <c r="O64" s="65">
        <v>634236436.33000004</v>
      </c>
      <c r="P64" s="69">
        <v>659895778.25</v>
      </c>
      <c r="Q64" s="55">
        <f t="shared" si="24"/>
        <v>1.7311044846290715E-3</v>
      </c>
      <c r="R64" s="69">
        <v>665037731.13999999</v>
      </c>
      <c r="S64" s="55">
        <f t="shared" si="27"/>
        <v>1.8354519129047608E-3</v>
      </c>
      <c r="T64" s="56">
        <f t="shared" si="28"/>
        <v>7.7920681711831901E-3</v>
      </c>
      <c r="U64" s="57">
        <f t="shared" si="29"/>
        <v>1.9464673948364211E-3</v>
      </c>
      <c r="V64" s="58">
        <f t="shared" si="30"/>
        <v>7.5477692692646819E-3</v>
      </c>
      <c r="W64" s="59">
        <f t="shared" si="31"/>
        <v>1.0516126415275027</v>
      </c>
      <c r="X64" s="59">
        <f t="shared" si="32"/>
        <v>7.9373295788915405E-3</v>
      </c>
      <c r="Y64" s="103">
        <v>1.05</v>
      </c>
      <c r="Z64" s="103">
        <v>1.05</v>
      </c>
      <c r="AA64" s="89">
        <v>36</v>
      </c>
      <c r="AB64" s="89">
        <v>632284325.10000002</v>
      </c>
      <c r="AC64" s="89">
        <v>834406.36</v>
      </c>
      <c r="AD64" s="89">
        <v>720731.6</v>
      </c>
      <c r="AE64" s="50">
        <v>632397999.87</v>
      </c>
      <c r="AF64" s="5"/>
    </row>
    <row r="65" spans="1:241" ht="16.5" customHeight="1" x14ac:dyDescent="0.25">
      <c r="A65" s="47">
        <v>58</v>
      </c>
      <c r="B65" s="43" t="s">
        <v>222</v>
      </c>
      <c r="C65" s="43" t="s">
        <v>37</v>
      </c>
      <c r="D65" s="65"/>
      <c r="E65" s="65"/>
      <c r="F65" s="65">
        <v>11821861007.299999</v>
      </c>
      <c r="G65" s="65">
        <v>45957734181.739998</v>
      </c>
      <c r="H65" s="65"/>
      <c r="I65" s="65"/>
      <c r="J65" s="65">
        <v>58446263647.5</v>
      </c>
      <c r="K65" s="65">
        <v>541765833.19000006</v>
      </c>
      <c r="L65" s="65">
        <v>73268110.719999999</v>
      </c>
      <c r="M65" s="52">
        <v>468497722.47000003</v>
      </c>
      <c r="N65" s="65">
        <v>60473877430.629997</v>
      </c>
      <c r="O65" s="65">
        <v>2027613783.0799999</v>
      </c>
      <c r="P65" s="69">
        <v>66578507244.970001</v>
      </c>
      <c r="Q65" s="55">
        <f t="shared" si="24"/>
        <v>0.17465538691173874</v>
      </c>
      <c r="R65" s="69">
        <v>58446263647.540001</v>
      </c>
      <c r="S65" s="55">
        <f t="shared" si="27"/>
        <v>0.16130709791476522</v>
      </c>
      <c r="T65" s="56">
        <f t="shared" si="28"/>
        <v>-0.12214517768486602</v>
      </c>
      <c r="U65" s="57">
        <f t="shared" si="29"/>
        <v>1.2535978546352098E-3</v>
      </c>
      <c r="V65" s="58">
        <f t="shared" si="30"/>
        <v>8.0158712162555681E-3</v>
      </c>
      <c r="W65" s="59">
        <f t="shared" si="31"/>
        <v>1442.4705749285254</v>
      </c>
      <c r="X65" s="59">
        <f t="shared" si="32"/>
        <v>11.562658361865186</v>
      </c>
      <c r="Y65" s="49">
        <v>1442.47</v>
      </c>
      <c r="Z65" s="49">
        <v>1442.47</v>
      </c>
      <c r="AA65" s="60">
        <v>2555</v>
      </c>
      <c r="AB65" s="60">
        <v>44090466</v>
      </c>
      <c r="AC65" s="60">
        <v>4147374</v>
      </c>
      <c r="AD65" s="60">
        <v>7719673</v>
      </c>
      <c r="AE65" s="50">
        <v>40518167</v>
      </c>
      <c r="AF65" s="5"/>
    </row>
    <row r="66" spans="1:241" ht="16.5" customHeight="1" x14ac:dyDescent="0.25">
      <c r="A66" s="47">
        <v>59</v>
      </c>
      <c r="B66" s="43" t="s">
        <v>146</v>
      </c>
      <c r="C66" s="43" t="s">
        <v>75</v>
      </c>
      <c r="D66" s="50"/>
      <c r="E66" s="65"/>
      <c r="F66" s="65"/>
      <c r="G66" s="65">
        <v>18281609.149999999</v>
      </c>
      <c r="H66" s="65"/>
      <c r="I66" s="65"/>
      <c r="J66" s="65">
        <v>25572384.510000002</v>
      </c>
      <c r="K66" s="65">
        <v>174234.13</v>
      </c>
      <c r="L66" s="65">
        <v>246893.76</v>
      </c>
      <c r="M66" s="52">
        <v>-72659.63</v>
      </c>
      <c r="N66" s="65">
        <v>25572384.510000002</v>
      </c>
      <c r="O66" s="65">
        <v>2604902.67</v>
      </c>
      <c r="P66" s="69">
        <v>22873367.559999999</v>
      </c>
      <c r="Q66" s="55">
        <f t="shared" si="24"/>
        <v>6.0003701291576068E-5</v>
      </c>
      <c r="R66" s="69">
        <v>22967481.84</v>
      </c>
      <c r="S66" s="55">
        <f t="shared" si="27"/>
        <v>6.3388446254877191E-5</v>
      </c>
      <c r="T66" s="56">
        <f t="shared" si="28"/>
        <v>4.1145790952349477E-3</v>
      </c>
      <c r="U66" s="57">
        <f t="shared" si="29"/>
        <v>1.0749709598986669E-2</v>
      </c>
      <c r="V66" s="58">
        <f t="shared" si="30"/>
        <v>-3.1635871318490181E-3</v>
      </c>
      <c r="W66" s="59">
        <f t="shared" si="31"/>
        <v>0.67967770888927082</v>
      </c>
      <c r="X66" s="59">
        <f t="shared" si="32"/>
        <v>-2.1502196536467202E-3</v>
      </c>
      <c r="Y66" s="49">
        <v>0.67969999999999997</v>
      </c>
      <c r="Z66" s="49">
        <v>0.67969999999999997</v>
      </c>
      <c r="AA66" s="60">
        <v>752</v>
      </c>
      <c r="AB66" s="60">
        <v>33791724.43</v>
      </c>
      <c r="AC66" s="60"/>
      <c r="AD66" s="60"/>
      <c r="AE66" s="60">
        <v>33791724.43</v>
      </c>
      <c r="AF66" s="5"/>
    </row>
    <row r="67" spans="1:241" ht="16.5" customHeight="1" x14ac:dyDescent="0.25">
      <c r="A67" s="47">
        <v>60</v>
      </c>
      <c r="B67" s="82" t="s">
        <v>108</v>
      </c>
      <c r="C67" s="43" t="s">
        <v>44</v>
      </c>
      <c r="D67" s="65"/>
      <c r="E67" s="65"/>
      <c r="F67" s="65">
        <v>8319539.3600000003</v>
      </c>
      <c r="G67" s="65">
        <v>159683243.74000001</v>
      </c>
      <c r="H67" s="65"/>
      <c r="I67" s="65"/>
      <c r="J67" s="65">
        <v>168002783.09</v>
      </c>
      <c r="K67" s="65">
        <v>1337330.56</v>
      </c>
      <c r="L67" s="65">
        <v>576380.63</v>
      </c>
      <c r="M67" s="52">
        <v>760949.93</v>
      </c>
      <c r="N67" s="65">
        <v>178562941.99000001</v>
      </c>
      <c r="O67" s="65">
        <v>7385436.9500000002</v>
      </c>
      <c r="P67" s="69">
        <v>170263945.25999999</v>
      </c>
      <c r="Q67" s="55">
        <f t="shared" si="24"/>
        <v>4.4665337910157287E-4</v>
      </c>
      <c r="R67" s="69">
        <v>171177505.03999999</v>
      </c>
      <c r="S67" s="55">
        <f t="shared" si="27"/>
        <v>4.7243647143652248E-4</v>
      </c>
      <c r="T67" s="56">
        <f t="shared" si="28"/>
        <v>5.3655504023764873E-3</v>
      </c>
      <c r="U67" s="57">
        <f t="shared" si="29"/>
        <v>3.3671517169578677E-3</v>
      </c>
      <c r="V67" s="58">
        <f t="shared" si="30"/>
        <v>4.445385097896974E-3</v>
      </c>
      <c r="W67" s="59">
        <f t="shared" si="31"/>
        <v>148.4019247727559</v>
      </c>
      <c r="X67" s="59">
        <f t="shared" si="32"/>
        <v>0.65970370488403685</v>
      </c>
      <c r="Y67" s="49">
        <v>143.88</v>
      </c>
      <c r="Z67" s="49">
        <v>143.88</v>
      </c>
      <c r="AA67" s="60">
        <v>15</v>
      </c>
      <c r="AB67" s="60">
        <v>1153472.27</v>
      </c>
      <c r="AC67" s="60"/>
      <c r="AD67" s="60"/>
      <c r="AE67" s="50">
        <v>1153472.27</v>
      </c>
      <c r="AF67" s="5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</row>
    <row r="68" spans="1:241" ht="16.5" customHeight="1" x14ac:dyDescent="0.25">
      <c r="A68" s="47">
        <v>61</v>
      </c>
      <c r="B68" s="44" t="s">
        <v>112</v>
      </c>
      <c r="C68" s="44" t="s">
        <v>111</v>
      </c>
      <c r="D68" s="65"/>
      <c r="E68" s="65"/>
      <c r="F68" s="65">
        <v>391821841.14999998</v>
      </c>
      <c r="G68" s="65">
        <v>295086997.19999999</v>
      </c>
      <c r="H68" s="65"/>
      <c r="I68" s="65"/>
      <c r="J68" s="65">
        <v>773818023.90999997</v>
      </c>
      <c r="K68" s="65">
        <v>20474389.23</v>
      </c>
      <c r="L68" s="65">
        <v>14325207.91</v>
      </c>
      <c r="M68" s="52">
        <v>6149181.3200000003</v>
      </c>
      <c r="N68" s="65">
        <v>773818023.90999997</v>
      </c>
      <c r="O68" s="65">
        <v>5567324.3899999997</v>
      </c>
      <c r="P68" s="69">
        <v>905985558.60000002</v>
      </c>
      <c r="Q68" s="55">
        <f t="shared" si="24"/>
        <v>2.3766717642304215E-3</v>
      </c>
      <c r="R68" s="69">
        <v>768250699.51999998</v>
      </c>
      <c r="S68" s="55">
        <f t="shared" si="27"/>
        <v>2.1203116003767927E-3</v>
      </c>
      <c r="T68" s="56">
        <f t="shared" si="28"/>
        <v>-0.15202765405316035</v>
      </c>
      <c r="U68" s="57">
        <f t="shared" si="29"/>
        <v>1.8646527649047808E-2</v>
      </c>
      <c r="V68" s="58">
        <f t="shared" si="30"/>
        <v>8.004133707710236E-3</v>
      </c>
      <c r="W68" s="59">
        <f t="shared" si="31"/>
        <v>194.36388595232921</v>
      </c>
      <c r="X68" s="59">
        <f t="shared" si="32"/>
        <v>1.5557145311125864</v>
      </c>
      <c r="Y68" s="49">
        <v>194.3639</v>
      </c>
      <c r="Z68" s="49">
        <v>195.7724</v>
      </c>
      <c r="AA68" s="60">
        <v>459</v>
      </c>
      <c r="AB68" s="60">
        <v>4698441.21</v>
      </c>
      <c r="AC68" s="60">
        <v>27645.67</v>
      </c>
      <c r="AD68" s="60">
        <v>773445.7</v>
      </c>
      <c r="AE68" s="50">
        <v>3952641.18</v>
      </c>
      <c r="AF68" s="5"/>
    </row>
    <row r="69" spans="1:241" ht="18.75" customHeight="1" x14ac:dyDescent="0.25">
      <c r="A69" s="47">
        <v>62</v>
      </c>
      <c r="B69" s="43" t="s">
        <v>178</v>
      </c>
      <c r="C69" s="44" t="s">
        <v>25</v>
      </c>
      <c r="D69" s="65"/>
      <c r="E69" s="65"/>
      <c r="F69" s="65">
        <v>111089040.53</v>
      </c>
      <c r="G69" s="65">
        <v>1704326868.4000001</v>
      </c>
      <c r="H69" s="65"/>
      <c r="I69" s="65"/>
      <c r="J69" s="65">
        <v>1824697437.73</v>
      </c>
      <c r="K69" s="65">
        <v>15308317.74</v>
      </c>
      <c r="L69" s="65">
        <v>2305370.66</v>
      </c>
      <c r="M69" s="52">
        <v>13002947.08</v>
      </c>
      <c r="N69" s="65">
        <v>1824697437.73</v>
      </c>
      <c r="O69" s="65">
        <v>18455208.27</v>
      </c>
      <c r="P69" s="69">
        <v>1823349979.3800001</v>
      </c>
      <c r="Q69" s="55">
        <f t="shared" si="24"/>
        <v>4.7831936957130295E-3</v>
      </c>
      <c r="R69" s="69">
        <v>1806242229.46</v>
      </c>
      <c r="S69" s="55">
        <f t="shared" si="27"/>
        <v>4.9850867101160082E-3</v>
      </c>
      <c r="T69" s="56">
        <f t="shared" si="28"/>
        <v>-9.3825925431042494E-3</v>
      </c>
      <c r="U69" s="57">
        <f t="shared" si="29"/>
        <v>1.2763352679940503E-3</v>
      </c>
      <c r="V69" s="58">
        <f t="shared" si="30"/>
        <v>7.1988944051470894E-3</v>
      </c>
      <c r="W69" s="59">
        <f t="shared" si="31"/>
        <v>3.5681955871093285</v>
      </c>
      <c r="X69" s="59">
        <f t="shared" si="32"/>
        <v>2.5687063248511881E-2</v>
      </c>
      <c r="Y69" s="49">
        <v>3.59</v>
      </c>
      <c r="Z69" s="49">
        <v>3.59</v>
      </c>
      <c r="AA69" s="60">
        <v>833</v>
      </c>
      <c r="AB69" s="60">
        <v>513171534</v>
      </c>
      <c r="AC69" s="60">
        <v>27967</v>
      </c>
      <c r="AD69" s="60">
        <v>6993441</v>
      </c>
      <c r="AE69" s="50">
        <v>506206060</v>
      </c>
      <c r="AF69" s="5"/>
    </row>
    <row r="70" spans="1:241" ht="16.5" customHeight="1" x14ac:dyDescent="0.25">
      <c r="A70" s="47">
        <v>63</v>
      </c>
      <c r="B70" s="71" t="s">
        <v>202</v>
      </c>
      <c r="C70" s="43" t="s">
        <v>105</v>
      </c>
      <c r="D70" s="65"/>
      <c r="E70" s="65"/>
      <c r="F70" s="65"/>
      <c r="G70" s="65">
        <v>5331710405.6300001</v>
      </c>
      <c r="H70" s="65"/>
      <c r="I70" s="65">
        <f>6324845044.36+15997138.58</f>
        <v>6340842182.9399996</v>
      </c>
      <c r="J70" s="65">
        <v>11672552588.57</v>
      </c>
      <c r="K70" s="65">
        <v>130966144.73</v>
      </c>
      <c r="L70" s="65">
        <v>10525769.16</v>
      </c>
      <c r="M70" s="52">
        <v>120440375.56999999</v>
      </c>
      <c r="N70" s="65">
        <v>15820271653.690001</v>
      </c>
      <c r="O70" s="65">
        <v>236154620.83000001</v>
      </c>
      <c r="P70" s="69">
        <v>15762203686.290001</v>
      </c>
      <c r="Q70" s="55">
        <f t="shared" si="24"/>
        <v>4.1348986291947838E-2</v>
      </c>
      <c r="R70" s="69">
        <v>15584117032.860001</v>
      </c>
      <c r="S70" s="55">
        <f t="shared" si="27"/>
        <v>4.3010939198685892E-2</v>
      </c>
      <c r="T70" s="56">
        <f t="shared" si="28"/>
        <v>-1.1298334736335153E-2</v>
      </c>
      <c r="U70" s="57">
        <f t="shared" si="29"/>
        <v>6.7541646009240143E-4</v>
      </c>
      <c r="V70" s="58">
        <f t="shared" si="30"/>
        <v>7.7284054859216335E-3</v>
      </c>
      <c r="W70" s="59">
        <f t="shared" si="31"/>
        <v>1164.1766831731547</v>
      </c>
      <c r="X70" s="59">
        <f t="shared" si="32"/>
        <v>8.99722946481746</v>
      </c>
      <c r="Y70" s="49">
        <v>1164.18</v>
      </c>
      <c r="Z70" s="49">
        <v>1164.18</v>
      </c>
      <c r="AA70" s="60">
        <v>6827</v>
      </c>
      <c r="AB70" s="60">
        <v>13411134.51</v>
      </c>
      <c r="AC70" s="60">
        <v>670372</v>
      </c>
      <c r="AD70" s="60">
        <v>695122</v>
      </c>
      <c r="AE70" s="60">
        <v>13386384.779999999</v>
      </c>
      <c r="AF70" s="5"/>
    </row>
    <row r="71" spans="1:241" ht="16.5" customHeight="1" x14ac:dyDescent="0.25">
      <c r="A71" s="47">
        <v>64</v>
      </c>
      <c r="B71" s="43" t="s">
        <v>90</v>
      </c>
      <c r="C71" s="43" t="s">
        <v>31</v>
      </c>
      <c r="D71" s="65"/>
      <c r="E71" s="65"/>
      <c r="F71" s="65">
        <v>240159043.93000001</v>
      </c>
      <c r="G71" s="65">
        <v>1174326319.6600001</v>
      </c>
      <c r="H71" s="65"/>
      <c r="I71" s="65"/>
      <c r="J71" s="65">
        <v>1414485363.5899999</v>
      </c>
      <c r="K71" s="65">
        <v>14372868.960000001</v>
      </c>
      <c r="L71" s="65">
        <v>1916321.3</v>
      </c>
      <c r="M71" s="52">
        <v>12456547.66</v>
      </c>
      <c r="N71" s="65">
        <v>1439785713.1800001</v>
      </c>
      <c r="O71" s="65">
        <v>33251993.710000001</v>
      </c>
      <c r="P71" s="69">
        <v>1393888131.6099999</v>
      </c>
      <c r="Q71" s="55">
        <f t="shared" si="24"/>
        <v>3.6565865023418312E-3</v>
      </c>
      <c r="R71" s="69">
        <v>1406533719.47</v>
      </c>
      <c r="S71" s="55">
        <f t="shared" si="27"/>
        <v>3.8819226114296824E-3</v>
      </c>
      <c r="T71" s="56">
        <f t="shared" si="28"/>
        <v>9.0721683994783309E-3</v>
      </c>
      <c r="U71" s="57">
        <f t="shared" si="29"/>
        <v>1.3624424878502697E-3</v>
      </c>
      <c r="V71" s="58">
        <f t="shared" si="30"/>
        <v>8.8562026544900668E-3</v>
      </c>
      <c r="W71" s="59">
        <f t="shared" si="31"/>
        <v>317.43452229830211</v>
      </c>
      <c r="X71" s="59">
        <f t="shared" si="32"/>
        <v>2.8112644590050091</v>
      </c>
      <c r="Y71" s="97">
        <v>317.43450000000001</v>
      </c>
      <c r="Z71" s="97">
        <v>317.43450000000001</v>
      </c>
      <c r="AA71" s="60">
        <v>97</v>
      </c>
      <c r="AB71" s="60">
        <v>4430623.6673999997</v>
      </c>
      <c r="AC71" s="60">
        <v>317.584</v>
      </c>
      <c r="AD71" s="60"/>
      <c r="AE71" s="50">
        <v>4430941.2514000004</v>
      </c>
      <c r="AF71" s="5"/>
    </row>
    <row r="72" spans="1:241" ht="16.5" customHeight="1" x14ac:dyDescent="0.25">
      <c r="A72" s="47">
        <v>65</v>
      </c>
      <c r="B72" s="44" t="s">
        <v>106</v>
      </c>
      <c r="C72" s="44" t="s">
        <v>46</v>
      </c>
      <c r="D72" s="65"/>
      <c r="E72" s="65"/>
      <c r="F72" s="65">
        <v>9403287.6699999999</v>
      </c>
      <c r="G72" s="65">
        <v>43962549.789999999</v>
      </c>
      <c r="H72" s="65"/>
      <c r="I72" s="65"/>
      <c r="J72" s="65">
        <v>53365837.460000001</v>
      </c>
      <c r="K72" s="65">
        <v>837224.66</v>
      </c>
      <c r="L72" s="65">
        <v>91736.53</v>
      </c>
      <c r="M72" s="52">
        <v>745488.13</v>
      </c>
      <c r="N72" s="65">
        <v>55376531.68</v>
      </c>
      <c r="O72" s="65">
        <v>315970.94</v>
      </c>
      <c r="P72" s="69">
        <v>56414784.789999999</v>
      </c>
      <c r="Q72" s="55">
        <f t="shared" si="24"/>
        <v>1.4799289549683207E-4</v>
      </c>
      <c r="R72" s="69">
        <v>56414784.789999999</v>
      </c>
      <c r="S72" s="55">
        <f t="shared" si="27"/>
        <v>1.5570037579885502E-4</v>
      </c>
      <c r="T72" s="56">
        <f t="shared" si="28"/>
        <v>0</v>
      </c>
      <c r="U72" s="57">
        <f t="shared" si="29"/>
        <v>1.6261079492101702E-3</v>
      </c>
      <c r="V72" s="58">
        <f t="shared" si="30"/>
        <v>1.3214410597771953E-2</v>
      </c>
      <c r="W72" s="59">
        <f t="shared" si="31"/>
        <v>11.823132223004636</v>
      </c>
      <c r="X72" s="59">
        <f t="shared" si="32"/>
        <v>0.15623572374653152</v>
      </c>
      <c r="Y72" s="97">
        <v>11.8231</v>
      </c>
      <c r="Z72" s="97">
        <v>11.875</v>
      </c>
      <c r="AA72" s="60">
        <v>54</v>
      </c>
      <c r="AB72" s="60">
        <v>4775363</v>
      </c>
      <c r="AC72" s="60">
        <v>2504</v>
      </c>
      <c r="AD72" s="60">
        <v>6307</v>
      </c>
      <c r="AE72" s="50">
        <v>4771560</v>
      </c>
      <c r="AF72" s="5"/>
    </row>
    <row r="73" spans="1:241" ht="16.5" customHeight="1" x14ac:dyDescent="0.25">
      <c r="A73" s="47">
        <v>66</v>
      </c>
      <c r="B73" s="43" t="s">
        <v>102</v>
      </c>
      <c r="C73" s="43" t="s">
        <v>101</v>
      </c>
      <c r="D73" s="65"/>
      <c r="E73" s="65"/>
      <c r="F73" s="65">
        <v>1068144569.83</v>
      </c>
      <c r="G73" s="65">
        <v>4975384601.1300001</v>
      </c>
      <c r="H73" s="65"/>
      <c r="I73" s="65">
        <v>1693491.82</v>
      </c>
      <c r="J73" s="65">
        <v>6045222662.7799997</v>
      </c>
      <c r="K73" s="65">
        <v>67542214.430000007</v>
      </c>
      <c r="L73" s="65">
        <v>9324876.6600000001</v>
      </c>
      <c r="M73" s="52">
        <v>58217337.770000003</v>
      </c>
      <c r="N73" s="65">
        <v>6870009481</v>
      </c>
      <c r="O73" s="65">
        <v>96804778</v>
      </c>
      <c r="P73" s="69">
        <v>6891886347</v>
      </c>
      <c r="Q73" s="55">
        <f t="shared" si="24"/>
        <v>1.8079484300512826E-2</v>
      </c>
      <c r="R73" s="69">
        <v>6773204704</v>
      </c>
      <c r="S73" s="55">
        <f t="shared" si="27"/>
        <v>1.8693513087057058E-2</v>
      </c>
      <c r="T73" s="56">
        <f t="shared" si="28"/>
        <v>-1.722048754498998E-2</v>
      </c>
      <c r="U73" s="57">
        <f t="shared" si="29"/>
        <v>1.3767303761678838E-3</v>
      </c>
      <c r="V73" s="58">
        <f t="shared" si="30"/>
        <v>8.5952426235721222E-3</v>
      </c>
      <c r="W73" s="59">
        <f t="shared" si="31"/>
        <v>1.0800000000063781</v>
      </c>
      <c r="X73" s="59">
        <f t="shared" si="32"/>
        <v>9.2828620335127145E-3</v>
      </c>
      <c r="Y73" s="97">
        <v>1.08</v>
      </c>
      <c r="Z73" s="97">
        <v>1.08</v>
      </c>
      <c r="AA73" s="60">
        <v>2495</v>
      </c>
      <c r="AB73" s="60">
        <v>6441015278</v>
      </c>
      <c r="AC73" s="60">
        <v>0</v>
      </c>
      <c r="AD73" s="60">
        <v>0</v>
      </c>
      <c r="AE73" s="50">
        <v>6271485837</v>
      </c>
      <c r="AF73" s="5"/>
    </row>
    <row r="74" spans="1:241" ht="16.5" customHeight="1" x14ac:dyDescent="0.25">
      <c r="A74" s="47">
        <v>67</v>
      </c>
      <c r="B74" s="44" t="s">
        <v>103</v>
      </c>
      <c r="C74" s="43" t="s">
        <v>23</v>
      </c>
      <c r="D74" s="65"/>
      <c r="E74" s="65"/>
      <c r="F74" s="65">
        <v>9394435157.4300003</v>
      </c>
      <c r="G74" s="65">
        <v>41554742540.129997</v>
      </c>
      <c r="H74" s="65"/>
      <c r="I74" s="65">
        <v>273972.59999999998</v>
      </c>
      <c r="J74" s="65">
        <v>51244871466.360001</v>
      </c>
      <c r="K74" s="65">
        <v>499676266.36000001</v>
      </c>
      <c r="L74" s="65">
        <v>59246192.619999997</v>
      </c>
      <c r="M74" s="52">
        <v>440430073.74000001</v>
      </c>
      <c r="N74" s="65">
        <v>53052943816.470001</v>
      </c>
      <c r="O74" s="65">
        <v>235115717.74000001</v>
      </c>
      <c r="P74" s="69">
        <v>56106215203.160004</v>
      </c>
      <c r="Q74" s="55">
        <f t="shared" si="24"/>
        <v>0.14718342495132347</v>
      </c>
      <c r="R74" s="69">
        <v>52817828098.730003</v>
      </c>
      <c r="S74" s="55">
        <f t="shared" si="27"/>
        <v>0.14577305779795008</v>
      </c>
      <c r="T74" s="56">
        <f t="shared" si="28"/>
        <v>-5.8610032641175064E-2</v>
      </c>
      <c r="U74" s="57">
        <f t="shared" si="29"/>
        <v>1.1217082328575446E-3</v>
      </c>
      <c r="V74" s="58">
        <f t="shared" si="30"/>
        <v>8.3386630914986468E-3</v>
      </c>
      <c r="W74" s="59">
        <f t="shared" si="31"/>
        <v>4541.6087939186082</v>
      </c>
      <c r="X74" s="59">
        <f t="shared" si="32"/>
        <v>37.870945625874782</v>
      </c>
      <c r="Y74" s="50">
        <v>4541.6099999999997</v>
      </c>
      <c r="Z74" s="50">
        <v>4541.6099999999997</v>
      </c>
      <c r="AA74" s="60">
        <v>450</v>
      </c>
      <c r="AB74" s="60">
        <v>12445194.93</v>
      </c>
      <c r="AC74" s="104">
        <v>338192.51</v>
      </c>
      <c r="AD74" s="60">
        <v>1153625.72</v>
      </c>
      <c r="AE74" s="50">
        <v>11629761.720000001</v>
      </c>
      <c r="AF74" s="5"/>
    </row>
    <row r="75" spans="1:241" ht="16.5" customHeight="1" x14ac:dyDescent="0.25">
      <c r="A75" s="47">
        <v>68</v>
      </c>
      <c r="B75" s="43" t="s">
        <v>89</v>
      </c>
      <c r="C75" s="43" t="s">
        <v>23</v>
      </c>
      <c r="D75" s="65"/>
      <c r="E75" s="65"/>
      <c r="F75" s="65">
        <v>7329177416.6400003</v>
      </c>
      <c r="G75" s="65">
        <v>44590804301.480003</v>
      </c>
      <c r="H75" s="65"/>
      <c r="I75" s="65"/>
      <c r="J75" s="65">
        <v>51919981718.120003</v>
      </c>
      <c r="K75" s="65">
        <v>385084455.08999997</v>
      </c>
      <c r="L75" s="65">
        <v>89231727.390000001</v>
      </c>
      <c r="M75" s="52">
        <v>295852727.69999999</v>
      </c>
      <c r="N75" s="65">
        <v>52179723137.739998</v>
      </c>
      <c r="O75" s="65">
        <v>358933758.13999999</v>
      </c>
      <c r="P75" s="69">
        <v>53311776411.900002</v>
      </c>
      <c r="Q75" s="55">
        <f t="shared" si="24"/>
        <v>0.13985277413794764</v>
      </c>
      <c r="R75" s="69">
        <v>51820789379.599998</v>
      </c>
      <c r="S75" s="55">
        <f t="shared" si="27"/>
        <v>0.14302130923004511</v>
      </c>
      <c r="T75" s="56">
        <f t="shared" si="28"/>
        <v>-2.796731102674703E-2</v>
      </c>
      <c r="U75" s="57">
        <f t="shared" si="29"/>
        <v>1.7219291419193889E-3</v>
      </c>
      <c r="V75" s="58">
        <f t="shared" si="30"/>
        <v>5.7091513124743459E-3</v>
      </c>
      <c r="W75" s="59">
        <f t="shared" si="31"/>
        <v>243.47266125663975</v>
      </c>
      <c r="X75" s="59">
        <f t="shared" si="32"/>
        <v>1.3900222635649668</v>
      </c>
      <c r="Y75" s="97">
        <v>243.47</v>
      </c>
      <c r="Z75" s="97">
        <v>243.47</v>
      </c>
      <c r="AA75" s="60">
        <v>6732</v>
      </c>
      <c r="AB75" s="60">
        <v>220052233.78</v>
      </c>
      <c r="AC75" s="60">
        <v>1649256.05</v>
      </c>
      <c r="AD75" s="60">
        <v>8861209.9000000004</v>
      </c>
      <c r="AE75" s="50">
        <v>212840279.94</v>
      </c>
      <c r="AF75" s="5"/>
    </row>
    <row r="76" spans="1:241" ht="16.5" customHeight="1" x14ac:dyDescent="0.25">
      <c r="A76" s="47">
        <v>69</v>
      </c>
      <c r="B76" s="44" t="s">
        <v>104</v>
      </c>
      <c r="C76" s="43" t="s">
        <v>23</v>
      </c>
      <c r="D76" s="65">
        <v>45660918.770000003</v>
      </c>
      <c r="E76" s="65"/>
      <c r="F76" s="65">
        <v>153911884.72999999</v>
      </c>
      <c r="G76" s="65">
        <v>29858808.57</v>
      </c>
      <c r="H76" s="65"/>
      <c r="I76" s="65"/>
      <c r="J76" s="65">
        <v>229431612.06999999</v>
      </c>
      <c r="K76" s="65">
        <v>2167678.66</v>
      </c>
      <c r="L76" s="65">
        <v>345278.31</v>
      </c>
      <c r="M76" s="52">
        <v>1133084.78</v>
      </c>
      <c r="N76" s="65">
        <v>233424972.93000001</v>
      </c>
      <c r="O76" s="65">
        <v>1134182.77</v>
      </c>
      <c r="P76" s="69">
        <v>231012905.72</v>
      </c>
      <c r="Q76" s="55">
        <f t="shared" si="24"/>
        <v>6.0601611690805639E-4</v>
      </c>
      <c r="R76" s="69">
        <v>232290790.16</v>
      </c>
      <c r="S76" s="55">
        <f t="shared" si="27"/>
        <v>6.4110433917557042E-4</v>
      </c>
      <c r="T76" s="56">
        <f t="shared" si="28"/>
        <v>5.5316582249688769E-3</v>
      </c>
      <c r="U76" s="57">
        <f t="shared" si="29"/>
        <v>1.4864055082088063E-3</v>
      </c>
      <c r="V76" s="58">
        <f t="shared" si="30"/>
        <v>4.877872167120963E-3</v>
      </c>
      <c r="W76" s="59">
        <f t="shared" si="31"/>
        <v>4123.5939666392815</v>
      </c>
      <c r="X76" s="59">
        <f t="shared" si="32"/>
        <v>20.114364238377679</v>
      </c>
      <c r="Y76" s="97">
        <v>4113.37</v>
      </c>
      <c r="Z76" s="97">
        <v>4129.26</v>
      </c>
      <c r="AA76" s="105">
        <v>15</v>
      </c>
      <c r="AB76" s="60">
        <v>56332.12</v>
      </c>
      <c r="AC76" s="60"/>
      <c r="AD76" s="60"/>
      <c r="AE76" s="50">
        <v>56332.12</v>
      </c>
      <c r="AF76" s="5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</row>
    <row r="77" spans="1:241" ht="16.5" customHeight="1" x14ac:dyDescent="0.25">
      <c r="A77" s="47">
        <v>70</v>
      </c>
      <c r="B77" s="43" t="s">
        <v>158</v>
      </c>
      <c r="C77" s="43" t="s">
        <v>23</v>
      </c>
      <c r="D77" s="65"/>
      <c r="E77" s="65"/>
      <c r="F77" s="65">
        <v>6990485893.5200005</v>
      </c>
      <c r="G77" s="65">
        <v>21835009678.849998</v>
      </c>
      <c r="H77" s="65"/>
      <c r="I77" s="65"/>
      <c r="J77" s="65">
        <v>28860773654.57</v>
      </c>
      <c r="K77" s="65">
        <v>299078693.64999998</v>
      </c>
      <c r="L77" s="65">
        <v>44810087.560000002</v>
      </c>
      <c r="M77" s="52">
        <v>254268606.09</v>
      </c>
      <c r="N77" s="65">
        <v>29155067411.150002</v>
      </c>
      <c r="O77" s="50">
        <v>64411105.960000001</v>
      </c>
      <c r="P77" s="69">
        <v>31894836142.73</v>
      </c>
      <c r="Q77" s="55">
        <f t="shared" si="24"/>
        <v>8.3669718314627356E-2</v>
      </c>
      <c r="R77" s="69">
        <v>29090656305.189999</v>
      </c>
      <c r="S77" s="55">
        <f t="shared" si="27"/>
        <v>8.0287926929330289E-2</v>
      </c>
      <c r="T77" s="56">
        <f t="shared" si="28"/>
        <v>-8.7919556162359414E-2</v>
      </c>
      <c r="U77" s="57">
        <f t="shared" si="29"/>
        <v>1.5403601448484865E-3</v>
      </c>
      <c r="V77" s="58">
        <f t="shared" si="30"/>
        <v>8.7405592855131463E-3</v>
      </c>
      <c r="W77" s="59">
        <f t="shared" si="31"/>
        <v>113.61342335824669</v>
      </c>
      <c r="X77" s="59">
        <f t="shared" si="32"/>
        <v>0.99304486249285928</v>
      </c>
      <c r="Y77" s="49">
        <v>113.61</v>
      </c>
      <c r="Z77" s="49">
        <v>113.61</v>
      </c>
      <c r="AA77" s="60">
        <v>3889</v>
      </c>
      <c r="AB77" s="60">
        <v>282995143.66000003</v>
      </c>
      <c r="AC77" s="60">
        <v>14750040.689999999</v>
      </c>
      <c r="AD77" s="60">
        <v>41695719.030000001</v>
      </c>
      <c r="AE77" s="50">
        <v>256049465.33000001</v>
      </c>
      <c r="AF77" s="5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</row>
    <row r="78" spans="1:241" ht="16.5" customHeight="1" x14ac:dyDescent="0.25">
      <c r="A78" s="47">
        <v>71</v>
      </c>
      <c r="B78" s="43" t="s">
        <v>100</v>
      </c>
      <c r="C78" s="43" t="s">
        <v>23</v>
      </c>
      <c r="D78" s="65">
        <v>11572414.4</v>
      </c>
      <c r="E78" s="65"/>
      <c r="F78" s="65">
        <v>2551716409.3099999</v>
      </c>
      <c r="G78" s="65">
        <v>14176181867.190001</v>
      </c>
      <c r="H78" s="65"/>
      <c r="I78" s="65"/>
      <c r="J78" s="65">
        <v>16769409550.709999</v>
      </c>
      <c r="K78" s="65">
        <v>126707040.42</v>
      </c>
      <c r="L78" s="65">
        <v>29808032.390000001</v>
      </c>
      <c r="M78" s="52">
        <v>99989757.680000007</v>
      </c>
      <c r="N78" s="65">
        <v>16782626098.65</v>
      </c>
      <c r="O78" s="65">
        <v>130777145.72</v>
      </c>
      <c r="P78" s="69">
        <v>17837758672.759998</v>
      </c>
      <c r="Q78" s="55">
        <f t="shared" si="24"/>
        <v>4.6793789340545677E-2</v>
      </c>
      <c r="R78" s="69">
        <v>16651848952.93</v>
      </c>
      <c r="S78" s="55">
        <f t="shared" si="27"/>
        <v>4.5957795449687672E-2</v>
      </c>
      <c r="T78" s="56">
        <f t="shared" si="28"/>
        <v>-6.6483112681695711E-2</v>
      </c>
      <c r="U78" s="57">
        <f t="shared" si="29"/>
        <v>1.790073431140215E-3</v>
      </c>
      <c r="V78" s="58">
        <f t="shared" si="30"/>
        <v>6.0047240377115096E-3</v>
      </c>
      <c r="W78" s="59">
        <f t="shared" si="31"/>
        <v>328.46672277135116</v>
      </c>
      <c r="X78" s="59">
        <f t="shared" si="32"/>
        <v>1.972352025813455</v>
      </c>
      <c r="Y78" s="97">
        <v>328.46</v>
      </c>
      <c r="Z78" s="97">
        <v>328.47</v>
      </c>
      <c r="AA78" s="60">
        <v>9930</v>
      </c>
      <c r="AB78" s="60">
        <v>54557378.719999999</v>
      </c>
      <c r="AC78" s="60">
        <v>1789502.42</v>
      </c>
      <c r="AD78" s="60">
        <v>5651185.6600000001</v>
      </c>
      <c r="AE78" s="50">
        <v>50695695.479999997</v>
      </c>
      <c r="AF78" s="5"/>
    </row>
    <row r="79" spans="1:241" ht="16.5" customHeight="1" x14ac:dyDescent="0.25">
      <c r="A79" s="47">
        <v>72</v>
      </c>
      <c r="B79" s="43" t="s">
        <v>96</v>
      </c>
      <c r="C79" s="43" t="s">
        <v>33</v>
      </c>
      <c r="D79" s="65"/>
      <c r="E79" s="65"/>
      <c r="F79" s="65">
        <v>3366632477</v>
      </c>
      <c r="G79" s="65">
        <v>89648529205</v>
      </c>
      <c r="H79" s="65"/>
      <c r="I79" s="100"/>
      <c r="J79" s="65">
        <v>93015161681</v>
      </c>
      <c r="K79" s="65">
        <v>762603634</v>
      </c>
      <c r="L79" s="65">
        <v>166577263</v>
      </c>
      <c r="M79" s="52">
        <v>596026372</v>
      </c>
      <c r="N79" s="65">
        <v>101780721277.32001</v>
      </c>
      <c r="O79" s="65">
        <v>782873280.99000001</v>
      </c>
      <c r="P79" s="69">
        <v>102897686081</v>
      </c>
      <c r="Q79" s="55">
        <f t="shared" si="24"/>
        <v>0.26993148267314815</v>
      </c>
      <c r="R79" s="69">
        <v>100997847996</v>
      </c>
      <c r="S79" s="55">
        <f t="shared" si="27"/>
        <v>0.27874612916435865</v>
      </c>
      <c r="T79" s="56">
        <f t="shared" si="28"/>
        <v>-1.8463370337642646E-2</v>
      </c>
      <c r="U79" s="57">
        <f t="shared" si="29"/>
        <v>1.6493149735883211E-3</v>
      </c>
      <c r="V79" s="58">
        <f t="shared" si="30"/>
        <v>5.9013769483841428E-3</v>
      </c>
      <c r="W79" s="59">
        <f t="shared" si="31"/>
        <v>1.9366144599839861</v>
      </c>
      <c r="X79" s="59">
        <f t="shared" si="32"/>
        <v>1.1428691932056902E-2</v>
      </c>
      <c r="Y79" s="97">
        <v>1.94</v>
      </c>
      <c r="Z79" s="97">
        <v>1.94</v>
      </c>
      <c r="AA79" s="60">
        <v>2726</v>
      </c>
      <c r="AB79" s="60">
        <v>53185554757</v>
      </c>
      <c r="AC79" s="60">
        <v>154422723</v>
      </c>
      <c r="AD79" s="60">
        <v>1188219822</v>
      </c>
      <c r="AE79" s="50">
        <v>52151757659</v>
      </c>
      <c r="AF79" s="5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</row>
    <row r="80" spans="1:241" ht="16.5" customHeight="1" x14ac:dyDescent="0.25">
      <c r="A80" s="47">
        <v>73</v>
      </c>
      <c r="B80" s="82" t="s">
        <v>97</v>
      </c>
      <c r="C80" s="43" t="s">
        <v>44</v>
      </c>
      <c r="D80" s="65">
        <v>32411830</v>
      </c>
      <c r="E80" s="65"/>
      <c r="F80" s="65">
        <v>514363886.68000001</v>
      </c>
      <c r="G80" s="65">
        <v>9672134393.7099991</v>
      </c>
      <c r="H80" s="65"/>
      <c r="I80" s="100"/>
      <c r="J80" s="65">
        <v>10218910110.389999</v>
      </c>
      <c r="K80" s="65">
        <v>64349937.359999999</v>
      </c>
      <c r="L80" s="65">
        <v>4962136.7</v>
      </c>
      <c r="M80" s="101">
        <v>59412149.399999999</v>
      </c>
      <c r="N80" s="65">
        <v>10252424933.74</v>
      </c>
      <c r="O80" s="65">
        <v>677494815.25</v>
      </c>
      <c r="P80" s="69">
        <v>9724583060.2999992</v>
      </c>
      <c r="Q80" s="55">
        <f t="shared" si="24"/>
        <v>2.5510497114372511E-2</v>
      </c>
      <c r="R80" s="69">
        <v>9574930118.4899998</v>
      </c>
      <c r="S80" s="55">
        <f t="shared" si="27"/>
        <v>2.6426055213117271E-2</v>
      </c>
      <c r="T80" s="56">
        <f t="shared" si="28"/>
        <v>-1.5389137085059021E-2</v>
      </c>
      <c r="U80" s="57">
        <f t="shared" si="29"/>
        <v>5.1824260214888612E-4</v>
      </c>
      <c r="V80" s="58">
        <f t="shared" si="30"/>
        <v>6.2049695052363999E-3</v>
      </c>
      <c r="W80" s="59">
        <f t="shared" si="31"/>
        <v>1</v>
      </c>
      <c r="X80" s="59">
        <f t="shared" si="32"/>
        <v>6.2049695052363999E-3</v>
      </c>
      <c r="Y80" s="97">
        <v>1</v>
      </c>
      <c r="Z80" s="97">
        <v>1</v>
      </c>
      <c r="AA80" s="49">
        <v>4444</v>
      </c>
      <c r="AB80" s="60">
        <v>9584533005.5</v>
      </c>
      <c r="AC80" s="60">
        <v>8232112.5099999998</v>
      </c>
      <c r="AD80" s="60">
        <v>17834999.52</v>
      </c>
      <c r="AE80" s="50">
        <v>9574930118.4899998</v>
      </c>
      <c r="AF80" s="5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</row>
    <row r="81" spans="1:241" ht="16.5" customHeight="1" x14ac:dyDescent="0.25">
      <c r="A81" s="47">
        <v>74</v>
      </c>
      <c r="B81" s="44" t="s">
        <v>109</v>
      </c>
      <c r="C81" s="44" t="s">
        <v>71</v>
      </c>
      <c r="D81" s="65"/>
      <c r="E81" s="65"/>
      <c r="F81" s="65">
        <v>765603168.58000004</v>
      </c>
      <c r="G81" s="65">
        <v>2739698925.1799998</v>
      </c>
      <c r="H81" s="65"/>
      <c r="I81" s="100"/>
      <c r="J81" s="65">
        <v>3505302093.7600002</v>
      </c>
      <c r="K81" s="65">
        <v>30196715.359999999</v>
      </c>
      <c r="L81" s="65">
        <v>6350405</v>
      </c>
      <c r="M81" s="101">
        <v>23846310.359999999</v>
      </c>
      <c r="N81" s="65">
        <v>3635713159.6300001</v>
      </c>
      <c r="O81" s="65">
        <v>4643913.26</v>
      </c>
      <c r="P81" s="69">
        <v>3701849124.8299999</v>
      </c>
      <c r="Q81" s="55">
        <f t="shared" si="24"/>
        <v>9.7110601895465543E-3</v>
      </c>
      <c r="R81" s="69">
        <v>3631069246.3699999</v>
      </c>
      <c r="S81" s="55">
        <f t="shared" si="27"/>
        <v>1.0021465974141035E-2</v>
      </c>
      <c r="T81" s="56">
        <f t="shared" si="28"/>
        <v>-1.9120141332948155E-2</v>
      </c>
      <c r="U81" s="57">
        <f t="shared" si="29"/>
        <v>1.7489077098566863E-3</v>
      </c>
      <c r="V81" s="58">
        <f t="shared" si="30"/>
        <v>6.5672970527453555E-3</v>
      </c>
      <c r="W81" s="59">
        <f t="shared" si="31"/>
        <v>23.269065636393847</v>
      </c>
      <c r="X81" s="59">
        <f t="shared" si="32"/>
        <v>0.15281486617402754</v>
      </c>
      <c r="Y81" s="97">
        <v>23.269200000000001</v>
      </c>
      <c r="Z81" s="97">
        <v>23.269200000000001</v>
      </c>
      <c r="AA81" s="102">
        <v>1362</v>
      </c>
      <c r="AB81" s="60">
        <v>158882120.75999999</v>
      </c>
      <c r="AC81" s="60">
        <v>208933.88</v>
      </c>
      <c r="AD81" s="60">
        <v>3043996.15</v>
      </c>
      <c r="AE81" s="50">
        <v>156047058.49000001</v>
      </c>
      <c r="AF81" s="5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</row>
    <row r="82" spans="1:241" ht="16.5" customHeight="1" x14ac:dyDescent="0.25">
      <c r="A82" s="94" t="s">
        <v>88</v>
      </c>
      <c r="B82" s="23"/>
      <c r="C82" s="73" t="s">
        <v>50</v>
      </c>
      <c r="D82" s="74">
        <f>SUM(D52:D81)</f>
        <v>89645163.170000002</v>
      </c>
      <c r="E82" s="74"/>
      <c r="F82" s="74">
        <f>SUM(F52:F81)</f>
        <v>46656666830.029999</v>
      </c>
      <c r="G82" s="74">
        <f>SUM(G52:G81)</f>
        <v>293461933730.59003</v>
      </c>
      <c r="H82" s="74"/>
      <c r="I82" s="74">
        <f>SUM(I52:I79)</f>
        <v>6343744944.8699999</v>
      </c>
      <c r="J82" s="74">
        <f t="shared" ref="J82:P82" si="33">SUM(J52:J81)</f>
        <v>347689035139.87</v>
      </c>
      <c r="K82" s="74">
        <f t="shared" si="33"/>
        <v>3075029300.9100003</v>
      </c>
      <c r="L82" s="74">
        <f t="shared" si="33"/>
        <v>537904927.8599999</v>
      </c>
      <c r="M82" s="74">
        <f t="shared" si="33"/>
        <v>2530682022.3299999</v>
      </c>
      <c r="N82" s="74">
        <f t="shared" si="33"/>
        <v>367160326668.59998</v>
      </c>
      <c r="O82" s="74">
        <f t="shared" si="33"/>
        <v>5460034000.1199999</v>
      </c>
      <c r="P82" s="95">
        <f t="shared" si="33"/>
        <v>381199277172.10999</v>
      </c>
      <c r="Q82" s="76">
        <f>(P82/$P$153)</f>
        <v>0.25682414567388173</v>
      </c>
      <c r="R82" s="95">
        <f>SUM(R52:R81)</f>
        <v>362329149820.94</v>
      </c>
      <c r="S82" s="55">
        <f t="shared" si="27"/>
        <v>1</v>
      </c>
      <c r="T82" s="56">
        <f t="shared" si="28"/>
        <v>-4.9502001921819472E-2</v>
      </c>
      <c r="U82" s="57">
        <f t="shared" si="29"/>
        <v>1.4845753595200055E-3</v>
      </c>
      <c r="V82" s="58">
        <f t="shared" si="30"/>
        <v>6.9844836485848339E-3</v>
      </c>
      <c r="W82" s="59" t="e">
        <f t="shared" si="31"/>
        <v>#DIV/0!</v>
      </c>
      <c r="X82" s="59" t="e">
        <f t="shared" si="32"/>
        <v>#DIV/0!</v>
      </c>
      <c r="Y82" s="74"/>
      <c r="Z82" s="74"/>
      <c r="AA82" s="81">
        <f>SUM(AA52:AA81)</f>
        <v>48253</v>
      </c>
      <c r="AB82" s="81"/>
      <c r="AC82" s="81"/>
      <c r="AD82" s="81"/>
      <c r="AE82" s="65">
        <v>0</v>
      </c>
      <c r="AF82" s="5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</row>
    <row r="83" spans="1:241" ht="16.5" customHeight="1" x14ac:dyDescent="0.25">
      <c r="A83" s="152" t="s">
        <v>218</v>
      </c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4"/>
      <c r="AF83" s="5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</row>
    <row r="84" spans="1:241" ht="16.5" customHeight="1" x14ac:dyDescent="0.25">
      <c r="A84" s="163" t="s">
        <v>216</v>
      </c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5"/>
      <c r="AF84" s="5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</row>
    <row r="85" spans="1:241" ht="16.5" customHeight="1" x14ac:dyDescent="0.25">
      <c r="A85" s="106">
        <v>75</v>
      </c>
      <c r="B85" s="43" t="s">
        <v>93</v>
      </c>
      <c r="C85" s="43" t="s">
        <v>31</v>
      </c>
      <c r="D85" s="98"/>
      <c r="E85" s="98"/>
      <c r="F85" s="98"/>
      <c r="G85" s="53">
        <v>767152935.19000006</v>
      </c>
      <c r="H85" s="98"/>
      <c r="I85" s="98"/>
      <c r="J85" s="53">
        <v>767152935.19000006</v>
      </c>
      <c r="K85" s="53">
        <v>5067370.4800000004</v>
      </c>
      <c r="L85" s="53">
        <v>1537946.65</v>
      </c>
      <c r="M85" s="107">
        <v>3529423.83</v>
      </c>
      <c r="N85" s="65">
        <v>770804210.58000004</v>
      </c>
      <c r="O85" s="99">
        <v>15009245.970000001</v>
      </c>
      <c r="P85" s="54">
        <v>752661062.55999994</v>
      </c>
      <c r="Q85" s="108">
        <f>(P85/$P$103)</f>
        <v>2.2609724626501348E-3</v>
      </c>
      <c r="R85" s="54">
        <v>755794964.61000001</v>
      </c>
      <c r="S85" s="55">
        <f>(R85/$R$103)</f>
        <v>2.3420190447893605E-3</v>
      </c>
      <c r="T85" s="56">
        <f t="shared" ref="T85:T88" si="34">((R85-P85)/P85)</f>
        <v>4.1637626893316886E-3</v>
      </c>
      <c r="U85" s="57">
        <f t="shared" ref="U85" si="35">(L85/R85)</f>
        <v>2.0348728451685312E-3</v>
      </c>
      <c r="V85" s="58">
        <f t="shared" ref="V85" si="36">M85/R85</f>
        <v>4.6698165445190924E-3</v>
      </c>
      <c r="W85" s="59">
        <f t="shared" ref="W85:W88" si="37">R85/AE85</f>
        <v>46649.404540270269</v>
      </c>
      <c r="X85" s="59">
        <f t="shared" ref="X85" si="38">M85/AE85</f>
        <v>217.84416111411818</v>
      </c>
      <c r="Y85" s="109">
        <f>106.3792*439.02</f>
        <v>46702.596383999997</v>
      </c>
      <c r="Z85" s="109">
        <f>106.3792*439.02</f>
        <v>46702.596383999997</v>
      </c>
      <c r="AA85" s="64">
        <v>202</v>
      </c>
      <c r="AB85" s="65">
        <v>16422.196199999998</v>
      </c>
      <c r="AC85" s="65">
        <v>558.89660000000003</v>
      </c>
      <c r="AD85" s="65">
        <v>779.49339999999995</v>
      </c>
      <c r="AE85" s="50">
        <v>16201.599399999999</v>
      </c>
      <c r="AF85" s="5"/>
    </row>
    <row r="86" spans="1:241" ht="16.5" customHeight="1" x14ac:dyDescent="0.25">
      <c r="A86" s="106">
        <v>76</v>
      </c>
      <c r="B86" s="43" t="s">
        <v>94</v>
      </c>
      <c r="C86" s="44" t="s">
        <v>35</v>
      </c>
      <c r="D86" s="98"/>
      <c r="E86" s="65"/>
      <c r="F86" s="83"/>
      <c r="G86" s="65">
        <f>9909925.58*439.02</f>
        <v>4350655528.1315994</v>
      </c>
      <c r="H86" s="65"/>
      <c r="I86" s="99"/>
      <c r="J86" s="65">
        <f>9909925.58*439.02</f>
        <v>4350655528.1315994</v>
      </c>
      <c r="K86" s="99">
        <f>70758.8*439.02</f>
        <v>31064528.375999998</v>
      </c>
      <c r="L86" s="99">
        <f>29108.49*439.02</f>
        <v>12779209.2798</v>
      </c>
      <c r="M86" s="107">
        <f>41650.31*439.02</f>
        <v>18285319.096199997</v>
      </c>
      <c r="N86" s="99">
        <f>11161050.04*439.02</f>
        <v>4899924188.5607996</v>
      </c>
      <c r="O86" s="65">
        <f>338545*439.02</f>
        <v>148628025.90000001</v>
      </c>
      <c r="P86" s="54">
        <f>10605386*432.87</f>
        <v>4590753437.8199997</v>
      </c>
      <c r="Q86" s="108">
        <f>(P86/$P$103)</f>
        <v>1.3790492988203475E-2</v>
      </c>
      <c r="R86" s="54">
        <f>10822505*439.02</f>
        <v>4751296145.0999994</v>
      </c>
      <c r="S86" s="55">
        <f t="shared" ref="S86:S92" si="39">(R86/$R$103)</f>
        <v>1.4723075146445929E-2</v>
      </c>
      <c r="T86" s="56">
        <f t="shared" ref="T86:T92" si="40">((R86-P86)/P86)</f>
        <v>3.4970884290452392E-2</v>
      </c>
      <c r="U86" s="57">
        <f t="shared" ref="U86:U92" si="41">(L86/R86)</f>
        <v>2.6896259230187467E-3</v>
      </c>
      <c r="V86" s="58">
        <f t="shared" ref="V86:V92" si="42">M86/R86</f>
        <v>3.8484907144880043E-3</v>
      </c>
      <c r="W86" s="59">
        <f t="shared" ref="W86:W92" si="43">R86/AE86</f>
        <v>479.25015945598659</v>
      </c>
      <c r="X86" s="59">
        <f t="shared" ref="X86:X92" si="44">M86/AE86</f>
        <v>1.8443897885832596</v>
      </c>
      <c r="Y86" s="65">
        <f>1.0916*439.02</f>
        <v>479.23423199999996</v>
      </c>
      <c r="Z86" s="65">
        <f>1.0916*439.02</f>
        <v>479.23423199999996</v>
      </c>
      <c r="AA86" s="64">
        <v>320</v>
      </c>
      <c r="AB86" s="64">
        <v>9751914</v>
      </c>
      <c r="AC86" s="64">
        <v>428644</v>
      </c>
      <c r="AD86" s="64">
        <v>266538</v>
      </c>
      <c r="AE86" s="50">
        <v>9914021</v>
      </c>
      <c r="AF86" s="5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  <c r="HV86" s="17"/>
      <c r="HW86" s="17"/>
      <c r="HX86" s="17"/>
      <c r="HY86" s="17"/>
      <c r="HZ86" s="17"/>
      <c r="IA86" s="17"/>
      <c r="IB86" s="17"/>
      <c r="IC86" s="17"/>
      <c r="ID86" s="17"/>
      <c r="IE86" s="17"/>
      <c r="IF86" s="17"/>
      <c r="IG86" s="17"/>
    </row>
    <row r="87" spans="1:241" ht="16.5" customHeight="1" x14ac:dyDescent="0.25">
      <c r="A87" s="106">
        <v>77</v>
      </c>
      <c r="B87" s="43" t="s">
        <v>157</v>
      </c>
      <c r="C87" s="44" t="s">
        <v>154</v>
      </c>
      <c r="D87" s="98"/>
      <c r="E87" s="65"/>
      <c r="F87" s="99"/>
      <c r="G87" s="65">
        <v>874519454.72000003</v>
      </c>
      <c r="H87" s="65"/>
      <c r="I87" s="99">
        <v>7203563.0899999999</v>
      </c>
      <c r="J87" s="65">
        <v>881723017.79999995</v>
      </c>
      <c r="K87" s="99">
        <v>5286516.4000000004</v>
      </c>
      <c r="L87" s="99">
        <v>1643111.37</v>
      </c>
      <c r="M87" s="107">
        <v>3643405.03</v>
      </c>
      <c r="N87" s="65">
        <v>918200008.63999999</v>
      </c>
      <c r="O87" s="99" t="s">
        <v>208</v>
      </c>
      <c r="P87" s="54">
        <v>877258527.85000002</v>
      </c>
      <c r="Q87" s="55">
        <f>(P87/$P$103)</f>
        <v>2.6352597108552176E-3</v>
      </c>
      <c r="R87" s="54">
        <v>892299003.84000003</v>
      </c>
      <c r="S87" s="55">
        <f t="shared" si="39"/>
        <v>2.765010827663041E-3</v>
      </c>
      <c r="T87" s="56">
        <f t="shared" si="40"/>
        <v>1.7144861534559786E-2</v>
      </c>
      <c r="U87" s="57">
        <f t="shared" si="41"/>
        <v>1.8414358448556889E-3</v>
      </c>
      <c r="V87" s="58">
        <f t="shared" si="42"/>
        <v>4.0831660848220626E-3</v>
      </c>
      <c r="W87" s="59">
        <f t="shared" si="43"/>
        <v>44759.972502909426</v>
      </c>
      <c r="X87" s="59">
        <f t="shared" si="44"/>
        <v>182.76240168144787</v>
      </c>
      <c r="Y87" s="99">
        <v>103.97</v>
      </c>
      <c r="Z87" s="99">
        <v>103.97</v>
      </c>
      <c r="AA87" s="64">
        <v>37</v>
      </c>
      <c r="AB87" s="64">
        <v>19563.93</v>
      </c>
      <c r="AC87" s="64">
        <v>5820.92</v>
      </c>
      <c r="AD87" s="64">
        <v>5449.64</v>
      </c>
      <c r="AE87" s="50">
        <v>19935.2</v>
      </c>
      <c r="AF87" s="5"/>
    </row>
    <row r="88" spans="1:241" ht="16.5" customHeight="1" x14ac:dyDescent="0.25">
      <c r="A88" s="106">
        <v>78</v>
      </c>
      <c r="B88" s="43" t="s">
        <v>184</v>
      </c>
      <c r="C88" s="43" t="s">
        <v>170</v>
      </c>
      <c r="D88" s="98"/>
      <c r="E88" s="98"/>
      <c r="F88" s="53">
        <v>2881010991.2800002</v>
      </c>
      <c r="G88" s="53">
        <v>9507156503.1700001</v>
      </c>
      <c r="H88" s="98"/>
      <c r="I88" s="98"/>
      <c r="J88" s="53">
        <v>12807995780.08</v>
      </c>
      <c r="K88" s="53">
        <v>62644710.649999999</v>
      </c>
      <c r="L88" s="53">
        <v>20651348.510000002</v>
      </c>
      <c r="M88" s="107">
        <v>41993362.149999999</v>
      </c>
      <c r="N88" s="65">
        <v>12849371498.709999</v>
      </c>
      <c r="O88" s="99">
        <v>41375718.630000003</v>
      </c>
      <c r="P88" s="54">
        <v>12418197705.18</v>
      </c>
      <c r="Q88" s="55">
        <f>(P88/$P$103)</f>
        <v>3.7303913333392141E-2</v>
      </c>
      <c r="R88" s="54">
        <v>12807995780.08</v>
      </c>
      <c r="S88" s="55">
        <f t="shared" si="39"/>
        <v>3.9688766725255627E-2</v>
      </c>
      <c r="T88" s="56">
        <f t="shared" si="40"/>
        <v>3.1389263092292632E-2</v>
      </c>
      <c r="U88" s="57">
        <f t="shared" si="41"/>
        <v>1.6123793967920102E-3</v>
      </c>
      <c r="V88" s="58">
        <f t="shared" si="42"/>
        <v>3.2786833218130325E-3</v>
      </c>
      <c r="W88" s="59">
        <f t="shared" si="43"/>
        <v>55537.809497011913</v>
      </c>
      <c r="X88" s="59">
        <f t="shared" si="44"/>
        <v>182.09088972788243</v>
      </c>
      <c r="Y88" s="109">
        <v>127.08</v>
      </c>
      <c r="Z88" s="109">
        <v>127.08</v>
      </c>
      <c r="AA88" s="64">
        <v>1880</v>
      </c>
      <c r="AB88" s="65">
        <v>224731.28</v>
      </c>
      <c r="AC88" s="65">
        <v>8773.5</v>
      </c>
      <c r="AD88" s="65">
        <v>2887.19</v>
      </c>
      <c r="AE88" s="50">
        <v>230617.59</v>
      </c>
      <c r="AF88" s="5"/>
    </row>
    <row r="89" spans="1:241" ht="16.5" customHeight="1" x14ac:dyDescent="0.25">
      <c r="A89" s="106">
        <v>79</v>
      </c>
      <c r="B89" s="133" t="s">
        <v>213</v>
      </c>
      <c r="C89" s="134" t="s">
        <v>214</v>
      </c>
      <c r="D89" s="98"/>
      <c r="E89" s="98"/>
      <c r="F89" s="53"/>
      <c r="G89" s="53">
        <f>61735.1335616438*439.02</f>
        <v>27102958.33623286</v>
      </c>
      <c r="H89" s="98"/>
      <c r="I89" s="111">
        <f>18025*439.02</f>
        <v>7913335.5</v>
      </c>
      <c r="J89" s="53">
        <f>G89+I89</f>
        <v>35016293.836232856</v>
      </c>
      <c r="K89" s="53">
        <f>415.51*439.02</f>
        <v>182417.20019999999</v>
      </c>
      <c r="L89" s="53">
        <f>85.77*439.02</f>
        <v>37654.7454</v>
      </c>
      <c r="M89" s="107">
        <f>329.73*439.02</f>
        <v>144758.06460000001</v>
      </c>
      <c r="N89" s="65">
        <f>79760.13*439.02</f>
        <v>35016292.272600003</v>
      </c>
      <c r="O89" s="99">
        <f>2541.27*439.02</f>
        <v>1115668.3554</v>
      </c>
      <c r="P89" s="54">
        <f>76974.26*432.87</f>
        <v>33319847.926199999</v>
      </c>
      <c r="Q89" s="55"/>
      <c r="R89" s="54">
        <f>77218.86*439.02</f>
        <v>33900623.917199999</v>
      </c>
      <c r="S89" s="55">
        <f t="shared" si="39"/>
        <v>1.0504953137031471E-4</v>
      </c>
      <c r="T89" s="56">
        <f t="shared" si="40"/>
        <v>1.7430331383455257E-2</v>
      </c>
      <c r="U89" s="57">
        <f t="shared" si="41"/>
        <v>1.1107390085789922E-3</v>
      </c>
      <c r="V89" s="58">
        <f t="shared" si="42"/>
        <v>4.2700708091261644E-3</v>
      </c>
      <c r="W89" s="59">
        <f t="shared" si="43"/>
        <v>42898.606665232517</v>
      </c>
      <c r="X89" s="59">
        <f t="shared" si="44"/>
        <v>183.1800880733945</v>
      </c>
      <c r="Y89" s="109">
        <f>97.71*439.02</f>
        <v>42896.644199999995</v>
      </c>
      <c r="Z89" s="109">
        <f>97.71*439.02</f>
        <v>42896.644199999995</v>
      </c>
      <c r="AA89" s="64">
        <v>2</v>
      </c>
      <c r="AB89" s="65">
        <v>239.75</v>
      </c>
      <c r="AC89" s="65">
        <v>550.5</v>
      </c>
      <c r="AD89" s="65">
        <v>0</v>
      </c>
      <c r="AE89" s="50">
        <v>790.25</v>
      </c>
      <c r="AF89" s="5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  <c r="HV89" s="17"/>
      <c r="HW89" s="17"/>
      <c r="HX89" s="17"/>
      <c r="HY89" s="17"/>
      <c r="HZ89" s="17"/>
      <c r="IA89" s="17"/>
      <c r="IB89" s="17"/>
      <c r="IC89" s="17"/>
      <c r="ID89" s="17"/>
      <c r="IE89" s="17"/>
      <c r="IF89" s="17"/>
      <c r="IG89" s="17"/>
    </row>
    <row r="90" spans="1:241" ht="16.5" customHeight="1" x14ac:dyDescent="0.25">
      <c r="A90" s="106">
        <v>80</v>
      </c>
      <c r="B90" s="43" t="s">
        <v>91</v>
      </c>
      <c r="C90" s="43" t="s">
        <v>171</v>
      </c>
      <c r="D90" s="110"/>
      <c r="E90" s="98"/>
      <c r="F90" s="53">
        <f>1868319.71*439.02</f>
        <v>820229719.08419991</v>
      </c>
      <c r="G90" s="53">
        <f>11508891.75*439.02</f>
        <v>5052633656.085</v>
      </c>
      <c r="H90" s="53"/>
      <c r="I90" s="98"/>
      <c r="J90" s="111">
        <f>13653246.01*439.02</f>
        <v>5994048063.3101997</v>
      </c>
      <c r="K90" s="111">
        <f>76301.14*439.02</f>
        <v>33497726.482799999</v>
      </c>
      <c r="L90" s="111">
        <f>22756.21*439.02</f>
        <v>9990431.314199999</v>
      </c>
      <c r="M90" s="112">
        <f>22756.21*439.02</f>
        <v>9990431.314199999</v>
      </c>
      <c r="N90" s="111">
        <f>13653246.01*439.02</f>
        <v>5994048063.3101997</v>
      </c>
      <c r="O90" s="111">
        <f>104189*439.02</f>
        <v>45741054.780000001</v>
      </c>
      <c r="P90" s="54">
        <f>14090982.25*432.87</f>
        <v>6099563486.5574999</v>
      </c>
      <c r="Q90" s="108">
        <f>(P90/$P$103)</f>
        <v>1.8322915537022852E-2</v>
      </c>
      <c r="R90" s="54">
        <f>13549057.26*439.02</f>
        <v>5948307118.2852001</v>
      </c>
      <c r="S90" s="55">
        <f t="shared" si="39"/>
        <v>1.843231194649287E-2</v>
      </c>
      <c r="T90" s="56">
        <f t="shared" si="40"/>
        <v>-2.4797900473639719E-2</v>
      </c>
      <c r="U90" s="57">
        <f t="shared" si="41"/>
        <v>1.6795419462268917E-3</v>
      </c>
      <c r="V90" s="58">
        <f t="shared" si="42"/>
        <v>1.6795419462268917E-3</v>
      </c>
      <c r="W90" s="59">
        <f t="shared" si="43"/>
        <v>538.4780667322741</v>
      </c>
      <c r="X90" s="59">
        <f t="shared" si="44"/>
        <v>0.90439650020001772</v>
      </c>
      <c r="Y90" s="109">
        <f>1.25*439.02</f>
        <v>548.77499999999998</v>
      </c>
      <c r="Z90" s="109">
        <f>1.25*439.02</f>
        <v>548.77499999999998</v>
      </c>
      <c r="AA90" s="64">
        <v>128</v>
      </c>
      <c r="AB90" s="64">
        <v>11522482</v>
      </c>
      <c r="AC90" s="64">
        <v>107363</v>
      </c>
      <c r="AD90" s="64">
        <v>583328</v>
      </c>
      <c r="AE90" s="50">
        <v>11046517</v>
      </c>
      <c r="AF90" s="5"/>
    </row>
    <row r="91" spans="1:241" ht="16.5" customHeight="1" x14ac:dyDescent="0.25">
      <c r="A91" s="106">
        <v>81</v>
      </c>
      <c r="B91" s="43" t="s">
        <v>182</v>
      </c>
      <c r="C91" s="43" t="s">
        <v>33</v>
      </c>
      <c r="D91" s="98"/>
      <c r="E91" s="65"/>
      <c r="F91" s="99"/>
      <c r="G91" s="65">
        <f>155675414*439.02</f>
        <v>68344620254.279999</v>
      </c>
      <c r="H91" s="65"/>
      <c r="I91" s="99"/>
      <c r="J91" s="65">
        <f>155675414*439.02</f>
        <v>68344620254.279999</v>
      </c>
      <c r="K91" s="99">
        <f>1095910*439.02</f>
        <v>481126408.19999999</v>
      </c>
      <c r="L91" s="99">
        <f>298517*439.02</f>
        <v>131054933.33999999</v>
      </c>
      <c r="M91" s="107">
        <f>797393*439.02</f>
        <v>350071474.86000001</v>
      </c>
      <c r="N91" s="65">
        <f>172906215*439.02</f>
        <v>75909286509.300003</v>
      </c>
      <c r="O91" s="99">
        <f>2361363*439.02</f>
        <v>1036685584.26</v>
      </c>
      <c r="P91" s="54">
        <f>185167473*432.87</f>
        <v>80153444037.509995</v>
      </c>
      <c r="Q91" s="55">
        <f>(P91/$P$103)</f>
        <v>0.24077867020114652</v>
      </c>
      <c r="R91" s="54">
        <f>170544852*439.02</f>
        <v>74872600925.039993</v>
      </c>
      <c r="S91" s="55">
        <f t="shared" si="39"/>
        <v>0.23201141249974006</v>
      </c>
      <c r="T91" s="56">
        <f t="shared" si="40"/>
        <v>-6.5884169743207627E-2</v>
      </c>
      <c r="U91" s="57">
        <f t="shared" si="41"/>
        <v>1.7503723888423206E-3</v>
      </c>
      <c r="V91" s="58">
        <f t="shared" si="42"/>
        <v>4.6755618281576752E-3</v>
      </c>
      <c r="W91" s="59">
        <f t="shared" si="43"/>
        <v>124.3249414805867</v>
      </c>
      <c r="X91" s="59">
        <f t="shared" si="44"/>
        <v>0.58128895067456787</v>
      </c>
      <c r="Y91" s="99">
        <f>124.32*439.02</f>
        <v>54578.966399999998</v>
      </c>
      <c r="Z91" s="99">
        <f>124.32*439.02</f>
        <v>54578.966399999998</v>
      </c>
      <c r="AA91" s="64">
        <v>1256</v>
      </c>
      <c r="AB91" s="65">
        <f>1497841*439.02</f>
        <v>657582155.81999993</v>
      </c>
      <c r="AC91" s="64">
        <f>211768*439.02</f>
        <v>92970387.359999999</v>
      </c>
      <c r="AD91" s="64">
        <f>337842*439.02</f>
        <v>148319394.84</v>
      </c>
      <c r="AE91" s="50">
        <f>1371767*439.02</f>
        <v>602233148.34000003</v>
      </c>
      <c r="AF91" s="5"/>
    </row>
    <row r="92" spans="1:241" ht="16.5" customHeight="1" x14ac:dyDescent="0.25">
      <c r="A92" s="106">
        <v>82</v>
      </c>
      <c r="B92" s="43" t="s">
        <v>92</v>
      </c>
      <c r="C92" s="43" t="s">
        <v>46</v>
      </c>
      <c r="D92" s="98"/>
      <c r="E92" s="65"/>
      <c r="F92" s="65"/>
      <c r="G92" s="65">
        <v>721320149.46000004</v>
      </c>
      <c r="H92" s="65"/>
      <c r="I92" s="65"/>
      <c r="J92" s="65">
        <v>721320149.46000004</v>
      </c>
      <c r="K92" s="65">
        <v>13594285.32</v>
      </c>
      <c r="L92" s="65">
        <v>870070.56</v>
      </c>
      <c r="M92" s="107">
        <v>12724214.76</v>
      </c>
      <c r="N92" s="113">
        <v>729784176.60000002</v>
      </c>
      <c r="O92" s="113">
        <v>18607523.579999998</v>
      </c>
      <c r="P92" s="54">
        <v>680236663.44000006</v>
      </c>
      <c r="Q92" s="55">
        <f>(P92/$P$103)</f>
        <v>2.0434116239409464E-3</v>
      </c>
      <c r="R92" s="54">
        <v>711176653.01999998</v>
      </c>
      <c r="S92" s="55">
        <f t="shared" si="39"/>
        <v>2.2037580872768326E-3</v>
      </c>
      <c r="T92" s="56">
        <f t="shared" si="40"/>
        <v>4.5484154622796175E-2</v>
      </c>
      <c r="U92" s="57">
        <f t="shared" si="41"/>
        <v>1.2234239640815819E-3</v>
      </c>
      <c r="V92" s="58">
        <f t="shared" si="42"/>
        <v>1.7891777951324513E-2</v>
      </c>
      <c r="W92" s="59">
        <f t="shared" si="43"/>
        <v>48199.027652998979</v>
      </c>
      <c r="X92" s="59">
        <f t="shared" si="44"/>
        <v>862.36630023720772</v>
      </c>
      <c r="Y92" s="99">
        <v>117.26909999999999</v>
      </c>
      <c r="Z92" s="99">
        <v>120.3374</v>
      </c>
      <c r="AA92" s="64">
        <v>38</v>
      </c>
      <c r="AB92" s="65">
        <v>13741</v>
      </c>
      <c r="AC92" s="65"/>
      <c r="AD92" s="65"/>
      <c r="AE92" s="50">
        <v>14755</v>
      </c>
      <c r="AF92" s="5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  <c r="HV92" s="17"/>
      <c r="HW92" s="17"/>
      <c r="HX92" s="17"/>
      <c r="HY92" s="17"/>
      <c r="HZ92" s="17"/>
      <c r="IA92" s="17"/>
      <c r="IB92" s="17"/>
      <c r="IC92" s="17"/>
      <c r="ID92" s="17"/>
      <c r="IE92" s="17"/>
      <c r="IF92" s="17"/>
      <c r="IG92" s="17"/>
    </row>
    <row r="93" spans="1:241" ht="6" customHeight="1" x14ac:dyDescent="0.25">
      <c r="A93" s="114"/>
      <c r="B93" s="115"/>
      <c r="C93" s="116"/>
      <c r="D93" s="49"/>
      <c r="E93" s="49"/>
      <c r="F93" s="49"/>
      <c r="G93" s="49"/>
      <c r="H93" s="49"/>
      <c r="I93" s="50"/>
      <c r="J93" s="117"/>
      <c r="K93" s="117"/>
      <c r="L93" s="117"/>
      <c r="M93" s="107"/>
      <c r="N93" s="65"/>
      <c r="O93" s="65"/>
      <c r="P93" s="88"/>
      <c r="Q93" s="55"/>
      <c r="R93" s="69"/>
      <c r="S93" s="55"/>
      <c r="T93" s="56"/>
      <c r="U93" s="57"/>
      <c r="V93" s="58"/>
      <c r="W93" s="59"/>
      <c r="X93" s="59"/>
      <c r="Y93" s="65"/>
      <c r="Z93" s="65"/>
      <c r="AA93" s="64"/>
      <c r="AB93" s="64"/>
      <c r="AC93" s="64"/>
      <c r="AD93" s="64"/>
      <c r="AE93" s="53"/>
      <c r="AF93" s="5"/>
    </row>
    <row r="94" spans="1:241" ht="16.5" customHeight="1" x14ac:dyDescent="0.25">
      <c r="A94" s="166" t="s">
        <v>217</v>
      </c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8"/>
      <c r="AF94" s="5"/>
    </row>
    <row r="95" spans="1:241" ht="16.5" customHeight="1" x14ac:dyDescent="0.25">
      <c r="A95" s="47">
        <v>83</v>
      </c>
      <c r="B95" s="43" t="s">
        <v>119</v>
      </c>
      <c r="C95" s="44" t="s">
        <v>118</v>
      </c>
      <c r="D95" s="50"/>
      <c r="E95" s="50"/>
      <c r="F95" s="50"/>
      <c r="G95" s="50">
        <f>580022.73*439.02</f>
        <v>254641578.92459998</v>
      </c>
      <c r="H95" s="50"/>
      <c r="I95" s="50"/>
      <c r="J95" s="50">
        <f>580022.73*439.02</f>
        <v>254641578.92459998</v>
      </c>
      <c r="K95" s="50">
        <f>5279.42*439.02</f>
        <v>2317770.9684000001</v>
      </c>
      <c r="L95" s="50">
        <f>1190.11*439.02</f>
        <v>522482.09219999996</v>
      </c>
      <c r="M95" s="112">
        <f>4089.31*439.02</f>
        <v>1795288.8761999998</v>
      </c>
      <c r="N95" s="50">
        <f>752592.4*439.02</f>
        <v>330403115.44800001</v>
      </c>
      <c r="O95" s="50">
        <f>15053.75*439.02</f>
        <v>6608897.3250000002</v>
      </c>
      <c r="P95" s="69">
        <f>732311.89*432.87</f>
        <v>316995847.82429999</v>
      </c>
      <c r="Q95" s="55">
        <f>(P95/$P$103)</f>
        <v>9.5224652683297299E-4</v>
      </c>
      <c r="R95" s="69">
        <f>737538.65*439.02</f>
        <v>323794218.12300003</v>
      </c>
      <c r="S95" s="55">
        <f>(R95/$R$103)</f>
        <v>1.0033570755900122E-3</v>
      </c>
      <c r="T95" s="56">
        <f t="shared" ref="T95:T103" si="45">((R95-P95)/P95)</f>
        <v>2.1446243997707313E-2</v>
      </c>
      <c r="U95" s="57">
        <f t="shared" ref="U95:U102" si="46">(L95/R95)</f>
        <v>1.6136239097435771E-3</v>
      </c>
      <c r="V95" s="58">
        <f>M95/R95</f>
        <v>5.5445365473389078E-3</v>
      </c>
      <c r="W95" s="59">
        <f t="shared" ref="W95:W102" si="47">R95/AE95</f>
        <v>38455.370323396681</v>
      </c>
      <c r="X95" s="59">
        <f>M95/AE95</f>
        <v>213.21720619952492</v>
      </c>
      <c r="Y95" s="65">
        <f>87.59*439.02</f>
        <v>38453.7618</v>
      </c>
      <c r="Z95" s="65">
        <f>87.59*439.02</f>
        <v>38453.7618</v>
      </c>
      <c r="AA95" s="118">
        <v>29</v>
      </c>
      <c r="AB95" s="118">
        <v>8420</v>
      </c>
      <c r="AC95" s="118"/>
      <c r="AD95" s="118"/>
      <c r="AE95" s="118">
        <v>8420</v>
      </c>
      <c r="AF95" s="5"/>
    </row>
    <row r="96" spans="1:241" ht="16.5" customHeight="1" x14ac:dyDescent="0.25">
      <c r="A96" s="47">
        <v>84</v>
      </c>
      <c r="B96" s="43" t="s">
        <v>189</v>
      </c>
      <c r="C96" s="44" t="s">
        <v>42</v>
      </c>
      <c r="D96" s="50"/>
      <c r="E96" s="50"/>
      <c r="F96" s="50"/>
      <c r="G96" s="50">
        <f>4666667.64*439.02</f>
        <v>2048760427.3127997</v>
      </c>
      <c r="H96" s="50"/>
      <c r="I96" s="50"/>
      <c r="J96" s="50">
        <f>4666667.64*439.02</f>
        <v>2048760427.3127997</v>
      </c>
      <c r="K96" s="50">
        <f>84165.54*439.02</f>
        <v>36950355.370799996</v>
      </c>
      <c r="L96" s="50">
        <f>6629.9*439.02</f>
        <v>2910658.6979999999</v>
      </c>
      <c r="M96" s="112">
        <f>77535.64*439.02</f>
        <v>34039696.672799997</v>
      </c>
      <c r="N96" s="50">
        <f>6085486.2*439.02</f>
        <v>2671650151.5240002</v>
      </c>
      <c r="O96" s="50">
        <f>59707.5*439.02</f>
        <v>26212786.649999999</v>
      </c>
      <c r="P96" s="54">
        <f>6686532.97*432.87</f>
        <v>2894399526.7238998</v>
      </c>
      <c r="Q96" s="55"/>
      <c r="R96" s="69">
        <f>6025778.7*439.02</f>
        <v>2645437364.8740001</v>
      </c>
      <c r="S96" s="55">
        <f t="shared" ref="S96:S102" si="48">(R96/$R$103)</f>
        <v>8.1975469279943289E-3</v>
      </c>
      <c r="T96" s="56">
        <f t="shared" ref="T96:T102" si="49">((R96-P96)/P96)</f>
        <v>-8.6015133554037698E-2</v>
      </c>
      <c r="U96" s="57">
        <f t="shared" ref="U96:U102" si="50">(L96/R96)</f>
        <v>1.1002561378498682E-3</v>
      </c>
      <c r="V96" s="58">
        <f t="shared" ref="V96:V102" si="51">M96/R96</f>
        <v>1.2867322857376092E-2</v>
      </c>
      <c r="W96" s="59">
        <f t="shared" ref="W96:W102" si="52">R96/AE96</f>
        <v>53815.188811749584</v>
      </c>
      <c r="X96" s="59">
        <f t="shared" ref="X96:X102" si="53">M96/AE96</f>
        <v>692.45740907143556</v>
      </c>
      <c r="Y96" s="65">
        <f xml:space="preserve"> 122.58*439.02</f>
        <v>53815.071599999996</v>
      </c>
      <c r="Z96" s="65">
        <f xml:space="preserve"> 122.58*439.02</f>
        <v>53815.071599999996</v>
      </c>
      <c r="AA96" s="118">
        <v>317</v>
      </c>
      <c r="AB96" s="118">
        <v>54278.21</v>
      </c>
      <c r="AC96" s="118">
        <v>6619.55</v>
      </c>
      <c r="AD96" s="118">
        <v>11739.94</v>
      </c>
      <c r="AE96" s="50">
        <v>49157.82</v>
      </c>
      <c r="AF96" s="5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  <c r="HP96" s="17"/>
      <c r="HQ96" s="17"/>
      <c r="HR96" s="17"/>
      <c r="HS96" s="17"/>
      <c r="HT96" s="17"/>
      <c r="HU96" s="17"/>
      <c r="HV96" s="17"/>
      <c r="HW96" s="17"/>
      <c r="HX96" s="17"/>
      <c r="HY96" s="17"/>
      <c r="HZ96" s="17"/>
      <c r="IA96" s="17"/>
      <c r="IB96" s="17"/>
      <c r="IC96" s="17"/>
      <c r="ID96" s="17"/>
      <c r="IE96" s="17"/>
      <c r="IF96" s="17"/>
      <c r="IG96" s="17"/>
    </row>
    <row r="97" spans="1:241" ht="16.5" customHeight="1" x14ac:dyDescent="0.25">
      <c r="A97" s="47">
        <v>85</v>
      </c>
      <c r="B97" s="43" t="s">
        <v>116</v>
      </c>
      <c r="C97" s="43" t="s">
        <v>63</v>
      </c>
      <c r="D97" s="84"/>
      <c r="E97" s="50"/>
      <c r="F97" s="50"/>
      <c r="G97" s="50">
        <f>49157.82*439.02</f>
        <v>21581266.136399999</v>
      </c>
      <c r="H97" s="50"/>
      <c r="I97" s="50"/>
      <c r="J97" s="50">
        <f>49157.82*439.02</f>
        <v>21581266.136399999</v>
      </c>
      <c r="K97" s="50">
        <f>77488.58*439.02</f>
        <v>34019036.391599998</v>
      </c>
      <c r="L97" s="50">
        <f>26085.28*439.02</f>
        <v>11451959.625599999</v>
      </c>
      <c r="M97" s="112">
        <f>51403.3*439.02</f>
        <v>22567076.765999999</v>
      </c>
      <c r="N97" s="50">
        <f>14639265.41*439.02</f>
        <v>6426930300.2981997</v>
      </c>
      <c r="O97" s="50">
        <f>113632.51*439.02</f>
        <v>49886944.540199995</v>
      </c>
      <c r="P97" s="69">
        <f>14014853.67*432.87</f>
        <v>6066609708.1329002</v>
      </c>
      <c r="Q97" s="55">
        <f t="shared" ref="Q97:Q102" si="54">(P97/$P$103)</f>
        <v>1.822392332224709E-2</v>
      </c>
      <c r="R97" s="69">
        <f>14525632.9*439.02</f>
        <v>6377043355.7580004</v>
      </c>
      <c r="S97" s="55">
        <f t="shared" si="48"/>
        <v>1.9760858020983804E-2</v>
      </c>
      <c r="T97" s="56">
        <f t="shared" si="49"/>
        <v>5.1170861908082302E-2</v>
      </c>
      <c r="U97" s="57">
        <f t="shared" si="50"/>
        <v>1.7958102190507648E-3</v>
      </c>
      <c r="V97" s="58">
        <f t="shared" si="51"/>
        <v>3.538799331766122E-3</v>
      </c>
      <c r="W97" s="59">
        <f t="shared" si="52"/>
        <v>49398.831507192495</v>
      </c>
      <c r="X97" s="59">
        <f t="shared" si="53"/>
        <v>174.81255192768003</v>
      </c>
      <c r="Y97" s="65">
        <f>112.13*439.02</f>
        <v>49227.312599999997</v>
      </c>
      <c r="Z97" s="65">
        <f>112.13*439.02</f>
        <v>49227.312599999997</v>
      </c>
      <c r="AA97" s="118">
        <v>507</v>
      </c>
      <c r="AB97" s="118">
        <v>125076</v>
      </c>
      <c r="AC97" s="118">
        <v>13133</v>
      </c>
      <c r="AD97" s="118">
        <v>17150</v>
      </c>
      <c r="AE97" s="50">
        <v>129093</v>
      </c>
      <c r="AF97" s="5"/>
    </row>
    <row r="98" spans="1:241" ht="16.5" customHeight="1" x14ac:dyDescent="0.25">
      <c r="A98" s="47">
        <v>86</v>
      </c>
      <c r="B98" s="43" t="s">
        <v>120</v>
      </c>
      <c r="C98" s="44" t="s">
        <v>79</v>
      </c>
      <c r="D98" s="50"/>
      <c r="E98" s="50"/>
      <c r="F98" s="50">
        <f>434127.7*439.02</f>
        <v>190590742.854</v>
      </c>
      <c r="G98" s="50">
        <f>3412435.14*439.02</f>
        <v>1498127275.1628001</v>
      </c>
      <c r="H98" s="50"/>
      <c r="I98" s="50"/>
      <c r="J98" s="50">
        <f>3846562.85*439.02</f>
        <v>1688718022.4070001</v>
      </c>
      <c r="K98" s="50">
        <f>20766.14*439.02</f>
        <v>9116750.7828000002</v>
      </c>
      <c r="L98" s="50">
        <f>5846.74*439.02</f>
        <v>2566835.7947999998</v>
      </c>
      <c r="M98" s="112">
        <f>15678.67*439.02</f>
        <v>6883249.7034</v>
      </c>
      <c r="N98" s="50">
        <f>3998306.21*439.02</f>
        <v>1755336392.3141999</v>
      </c>
      <c r="O98" s="50">
        <f>31564.37*439.02</f>
        <v>13857389.717399999</v>
      </c>
      <c r="P98" s="69">
        <f>4504802.02*432.87</f>
        <v>1949993650.3973999</v>
      </c>
      <c r="Q98" s="55">
        <f t="shared" si="54"/>
        <v>5.8577255622807934E-3</v>
      </c>
      <c r="R98" s="69">
        <f>3966741.84*439.02</f>
        <v>1741479002.5967999</v>
      </c>
      <c r="S98" s="55">
        <f t="shared" si="48"/>
        <v>5.3964066726576885E-3</v>
      </c>
      <c r="T98" s="56">
        <f t="shared" si="49"/>
        <v>-0.10693093680489971</v>
      </c>
      <c r="U98" s="57">
        <f t="shared" si="50"/>
        <v>1.4739401342034398E-3</v>
      </c>
      <c r="V98" s="58">
        <f t="shared" si="51"/>
        <v>3.9525309769087476E-3</v>
      </c>
      <c r="W98" s="59">
        <f t="shared" si="52"/>
        <v>492.22078214686826</v>
      </c>
      <c r="X98" s="59">
        <f t="shared" si="53"/>
        <v>1.9455178889137488</v>
      </c>
      <c r="Y98" s="65">
        <f>1.12*439.02</f>
        <v>491.70240000000001</v>
      </c>
      <c r="Z98" s="65">
        <f>1.12*439.02</f>
        <v>491.70240000000001</v>
      </c>
      <c r="AA98" s="118">
        <v>130</v>
      </c>
      <c r="AB98" s="118">
        <v>4031174.17</v>
      </c>
      <c r="AC98" s="118">
        <v>37536.300000000003</v>
      </c>
      <c r="AD98" s="118">
        <v>530706.66</v>
      </c>
      <c r="AE98" s="50">
        <v>3538003.81</v>
      </c>
      <c r="AF98" s="5"/>
    </row>
    <row r="99" spans="1:241" ht="16.5" customHeight="1" x14ac:dyDescent="0.25">
      <c r="A99" s="47">
        <v>87</v>
      </c>
      <c r="B99" s="44" t="s">
        <v>172</v>
      </c>
      <c r="C99" s="44" t="s">
        <v>29</v>
      </c>
      <c r="D99" s="50"/>
      <c r="E99" s="50"/>
      <c r="F99" s="50">
        <f>304199.9*439.02</f>
        <v>133549840.098</v>
      </c>
      <c r="G99" s="50">
        <f>8294703.7*439.02</f>
        <v>3641540818.3740001</v>
      </c>
      <c r="H99" s="50"/>
      <c r="I99" s="50"/>
      <c r="J99" s="50">
        <f>8598903.6*439.02</f>
        <v>3775090658.4719996</v>
      </c>
      <c r="K99" s="50">
        <f>72197.3*439.02</f>
        <v>31696058.646000002</v>
      </c>
      <c r="L99" s="50">
        <f>15321.4*439.02</f>
        <v>6726401.0279999999</v>
      </c>
      <c r="M99" s="112">
        <f>56875.9*439.02</f>
        <v>24969657.618000001</v>
      </c>
      <c r="N99" s="50">
        <f>8709994.1*439.02</f>
        <v>3823861609.7819996</v>
      </c>
      <c r="O99" s="50">
        <f>28283.9*439.02</f>
        <v>12417197.778000001</v>
      </c>
      <c r="P99" s="69">
        <f>8555072.2*432.87</f>
        <v>3703234103.2139997</v>
      </c>
      <c r="Q99" s="55">
        <f t="shared" si="54"/>
        <v>1.1124410105174341E-2</v>
      </c>
      <c r="R99" s="69">
        <f>8681710.2*439.02</f>
        <v>3811444412.0039997</v>
      </c>
      <c r="S99" s="55">
        <f t="shared" si="48"/>
        <v>1.1810710336864351E-2</v>
      </c>
      <c r="T99" s="56">
        <f t="shared" si="49"/>
        <v>2.9220488301316225E-2</v>
      </c>
      <c r="U99" s="57">
        <f t="shared" si="50"/>
        <v>1.7647905363162204E-3</v>
      </c>
      <c r="V99" s="58">
        <f t="shared" si="51"/>
        <v>6.5512322675778797E-3</v>
      </c>
      <c r="W99" s="59">
        <f t="shared" si="52"/>
        <v>456.00137088393984</v>
      </c>
      <c r="X99" s="59">
        <f t="shared" si="53"/>
        <v>2.9873708949946152</v>
      </c>
      <c r="Y99" s="65">
        <f>1.0387*439.02</f>
        <v>456.01007399999997</v>
      </c>
      <c r="Z99" s="65">
        <f>1.0387*439.02</f>
        <v>456.01007399999997</v>
      </c>
      <c r="AA99" s="118">
        <v>279</v>
      </c>
      <c r="AB99" s="118">
        <v>8291187.5</v>
      </c>
      <c r="AC99" s="118">
        <v>199684.8</v>
      </c>
      <c r="AD99" s="118">
        <v>132466.6</v>
      </c>
      <c r="AE99" s="50">
        <v>8358405.5999999996</v>
      </c>
      <c r="AF99" s="5"/>
    </row>
    <row r="100" spans="1:241" ht="15.75" customHeight="1" x14ac:dyDescent="0.25">
      <c r="A100" s="47">
        <v>88</v>
      </c>
      <c r="B100" s="43" t="s">
        <v>121</v>
      </c>
      <c r="C100" s="44" t="s">
        <v>86</v>
      </c>
      <c r="D100" s="50"/>
      <c r="E100" s="50"/>
      <c r="F100" s="50"/>
      <c r="G100" s="50">
        <f>151768.04*439.02</f>
        <v>66629204.9208</v>
      </c>
      <c r="H100" s="50"/>
      <c r="I100" s="50"/>
      <c r="J100" s="50">
        <f>151768.04*439.02</f>
        <v>66629204.9208</v>
      </c>
      <c r="K100" s="50">
        <f>1287.91*439.02</f>
        <v>565418.24820000003</v>
      </c>
      <c r="L100" s="50">
        <f>86.11*439.02</f>
        <v>37804.012199999997</v>
      </c>
      <c r="M100" s="112">
        <f>1201.8*439.02</f>
        <v>527614.23599999992</v>
      </c>
      <c r="N100" s="50">
        <f>197755.63*439.02</f>
        <v>86818676.682599992</v>
      </c>
      <c r="O100" s="50">
        <f>3162.64*439.02</f>
        <v>1388462.2127999999</v>
      </c>
      <c r="P100" s="69">
        <f>192133.73*432.87</f>
        <v>83168927.7051</v>
      </c>
      <c r="Q100" s="55">
        <f t="shared" si="54"/>
        <v>2.4983709752406748E-4</v>
      </c>
      <c r="R100" s="69">
        <f>195209.85*439.02</f>
        <v>85701028.347000003</v>
      </c>
      <c r="S100" s="55">
        <f t="shared" si="48"/>
        <v>2.6556599335148733E-4</v>
      </c>
      <c r="T100" s="56">
        <f t="shared" si="49"/>
        <v>3.0445272192017599E-2</v>
      </c>
      <c r="U100" s="57">
        <f t="shared" si="50"/>
        <v>4.4111503594721266E-4</v>
      </c>
      <c r="V100" s="58">
        <f t="shared" si="51"/>
        <v>6.1564516339723627E-3</v>
      </c>
      <c r="W100" s="59">
        <f t="shared" si="52"/>
        <v>335.44446189404465</v>
      </c>
      <c r="X100" s="59">
        <f t="shared" si="53"/>
        <v>2.065147605534571</v>
      </c>
      <c r="Y100" s="65">
        <f>0.7641*439.02</f>
        <v>335.45518199999998</v>
      </c>
      <c r="Z100" s="65">
        <f>0.7641*439.02</f>
        <v>335.45518199999998</v>
      </c>
      <c r="AA100" s="118">
        <v>5</v>
      </c>
      <c r="AB100" s="50">
        <v>255485</v>
      </c>
      <c r="AC100" s="53"/>
      <c r="AD100" s="53"/>
      <c r="AE100" s="50">
        <v>255485</v>
      </c>
      <c r="AF100" s="5"/>
    </row>
    <row r="101" spans="1:241" ht="16.5" customHeight="1" x14ac:dyDescent="0.25">
      <c r="A101" s="47">
        <v>89</v>
      </c>
      <c r="B101" s="43" t="s">
        <v>107</v>
      </c>
      <c r="C101" s="43" t="s">
        <v>23</v>
      </c>
      <c r="D101" s="50"/>
      <c r="E101" s="50"/>
      <c r="F101" s="50">
        <f>86424976.53*439.02</f>
        <v>37942293196.2006</v>
      </c>
      <c r="G101" s="50">
        <f>312760263.72*439.02</f>
        <v>137308010978.3544</v>
      </c>
      <c r="H101" s="50"/>
      <c r="I101" s="50"/>
      <c r="J101" s="50">
        <f>400251171.76*439.02</f>
        <v>175718269426.0752</v>
      </c>
      <c r="K101" s="50">
        <f>2861842.93*439.02</f>
        <v>1256406283.1286001</v>
      </c>
      <c r="L101" s="50">
        <f>701823.76*439.02</f>
        <v>308114667.11519998</v>
      </c>
      <c r="M101" s="112">
        <f>2160019.17*439.02</f>
        <v>948291616.01339996</v>
      </c>
      <c r="N101" s="50">
        <f>415187585.58*439.02</f>
        <v>182275653821.33157</v>
      </c>
      <c r="O101" s="50">
        <f>830869.88*439.02</f>
        <v>364768494.71759999</v>
      </c>
      <c r="P101" s="69">
        <f>432901560.27*433.87</f>
        <v>187822999954.34488</v>
      </c>
      <c r="Q101" s="55">
        <f t="shared" si="54"/>
        <v>0.56421495926030907</v>
      </c>
      <c r="R101" s="69">
        <f>414356715.7*439.02</f>
        <v>181910885326.61398</v>
      </c>
      <c r="S101" s="55">
        <f t="shared" si="48"/>
        <v>0.56369621106071388</v>
      </c>
      <c r="T101" s="56">
        <f t="shared" si="49"/>
        <v>-3.1477053551311529E-2</v>
      </c>
      <c r="U101" s="57">
        <f t="shared" si="50"/>
        <v>1.6937670693097447E-3</v>
      </c>
      <c r="V101" s="58">
        <f t="shared" si="51"/>
        <v>5.2129459669814637E-3</v>
      </c>
      <c r="W101" s="59">
        <f t="shared" si="52"/>
        <v>592.61847074901993</v>
      </c>
      <c r="X101" s="59">
        <f t="shared" si="53"/>
        <v>3.0892880670498264</v>
      </c>
      <c r="Y101" s="65">
        <f>1.3499*439.02</f>
        <v>592.63309800000002</v>
      </c>
      <c r="Z101" s="65">
        <f>1.3499*439.02</f>
        <v>592.63309800000002</v>
      </c>
      <c r="AA101" s="118">
        <v>4402</v>
      </c>
      <c r="AB101" s="118">
        <v>322448532.25999999</v>
      </c>
      <c r="AC101" s="118">
        <v>8235601.0300000003</v>
      </c>
      <c r="AD101" s="118">
        <v>23722919.100000001</v>
      </c>
      <c r="AE101" s="118">
        <v>306961214.18000001</v>
      </c>
      <c r="AF101" s="5"/>
    </row>
    <row r="102" spans="1:241" ht="16.5" customHeight="1" x14ac:dyDescent="0.25">
      <c r="A102" s="47">
        <v>90</v>
      </c>
      <c r="B102" s="44" t="s">
        <v>110</v>
      </c>
      <c r="C102" s="44" t="s">
        <v>44</v>
      </c>
      <c r="D102" s="50"/>
      <c r="E102" s="50"/>
      <c r="F102" s="119">
        <f>1738128.31*439.02</f>
        <v>763073090.65620005</v>
      </c>
      <c r="G102" s="50">
        <f>55517517.88*439.02</f>
        <v>24373300699.677601</v>
      </c>
      <c r="H102" s="50"/>
      <c r="I102" s="50"/>
      <c r="J102" s="50">
        <f>57255646.19*439.02</f>
        <v>25136373790.333797</v>
      </c>
      <c r="K102" s="50">
        <f>655924.45*439.02</f>
        <v>287963952.03899997</v>
      </c>
      <c r="L102" s="50">
        <f>63295.88*439.02</f>
        <v>27788157.237599999</v>
      </c>
      <c r="M102" s="112">
        <f>719220.33*439.02</f>
        <v>315752109.27659994</v>
      </c>
      <c r="N102" s="50">
        <f>57326380.36*439.02</f>
        <v>25167427505.647198</v>
      </c>
      <c r="O102" s="50">
        <f>286387.94*439.02</f>
        <v>125730033.4188</v>
      </c>
      <c r="P102" s="69">
        <f>56482986.73*432.87</f>
        <v>24449790465.815098</v>
      </c>
      <c r="Q102" s="108">
        <f t="shared" si="54"/>
        <v>7.3446476389718865E-2</v>
      </c>
      <c r="R102" s="69">
        <f>57039992.42*439.02</f>
        <v>25041697472.228401</v>
      </c>
      <c r="S102" s="55">
        <f t="shared" si="48"/>
        <v>7.7597940102810417E-2</v>
      </c>
      <c r="T102" s="56">
        <f t="shared" si="49"/>
        <v>2.4209082987475435E-2</v>
      </c>
      <c r="U102" s="57">
        <f t="shared" si="50"/>
        <v>1.1096754630319076E-3</v>
      </c>
      <c r="V102" s="58">
        <f t="shared" si="51"/>
        <v>1.2609053744330771E-2</v>
      </c>
      <c r="W102" s="59">
        <f t="shared" si="52"/>
        <v>441.3342101293303</v>
      </c>
      <c r="X102" s="59">
        <f t="shared" si="53"/>
        <v>5.5648067747324959</v>
      </c>
      <c r="Y102" s="65">
        <f>1.07*439.02</f>
        <v>469.75139999999999</v>
      </c>
      <c r="Z102" s="65">
        <f>1.07*439.02</f>
        <v>469.75139999999999</v>
      </c>
      <c r="AA102" s="118">
        <v>343</v>
      </c>
      <c r="AB102" s="53">
        <v>56213195.729999997</v>
      </c>
      <c r="AC102" s="118">
        <v>554908</v>
      </c>
      <c r="AD102" s="120">
        <v>27210.1</v>
      </c>
      <c r="AE102" s="50">
        <v>56740893.630000003</v>
      </c>
      <c r="AF102" s="5"/>
    </row>
    <row r="103" spans="1:241" ht="16.5" customHeight="1" x14ac:dyDescent="0.25">
      <c r="A103" s="121"/>
      <c r="B103" s="23"/>
      <c r="C103" s="122" t="s">
        <v>50</v>
      </c>
      <c r="D103" s="123">
        <f>SUM(D84:D102)</f>
        <v>0</v>
      </c>
      <c r="E103" s="123"/>
      <c r="F103" s="123">
        <f>SUM(F84:F102)</f>
        <v>42730747580.172997</v>
      </c>
      <c r="G103" s="123">
        <f>SUM(G84:G102)</f>
        <v>258857753688.23627</v>
      </c>
      <c r="H103" s="123"/>
      <c r="I103" s="123"/>
      <c r="J103" s="123">
        <f t="shared" ref="J103:O103" si="55">SUM(J84:J102)</f>
        <v>302612596396.67065</v>
      </c>
      <c r="K103" s="123">
        <f t="shared" si="55"/>
        <v>2291499588.6844001</v>
      </c>
      <c r="L103" s="123">
        <f t="shared" si="55"/>
        <v>538683671.37300003</v>
      </c>
      <c r="M103" s="123">
        <f t="shared" si="55"/>
        <v>1795208698.2673998</v>
      </c>
      <c r="N103" s="123">
        <f t="shared" si="55"/>
        <v>324644516521.0014</v>
      </c>
      <c r="O103" s="123">
        <f t="shared" si="55"/>
        <v>1908033027.8352003</v>
      </c>
      <c r="P103" s="96">
        <f>SUM(P85:P102)</f>
        <v>332892626953.00128</v>
      </c>
      <c r="Q103" s="76">
        <f>(P103/$P$153)</f>
        <v>0.22427866378072425</v>
      </c>
      <c r="R103" s="96">
        <f>SUM(R85:R102)</f>
        <v>322710853394.43756</v>
      </c>
      <c r="S103" s="76">
        <f>(R103/$R$153)</f>
        <v>0.23477726414517144</v>
      </c>
      <c r="T103" s="77">
        <f t="shared" si="45"/>
        <v>-3.0585758692700672E-2</v>
      </c>
      <c r="U103" s="78"/>
      <c r="V103" s="79"/>
      <c r="W103" s="80"/>
      <c r="X103" s="80"/>
      <c r="Y103" s="74"/>
      <c r="Z103" s="74"/>
      <c r="AA103" s="124">
        <f>SUM(AA85:AA102)</f>
        <v>9875</v>
      </c>
      <c r="AB103" s="124"/>
      <c r="AC103" s="124"/>
      <c r="AD103" s="124"/>
      <c r="AE103" s="74"/>
      <c r="AF103" s="5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  <c r="HV103" s="17"/>
      <c r="HW103" s="17"/>
      <c r="HX103" s="17"/>
      <c r="HY103" s="17"/>
      <c r="HZ103" s="17"/>
      <c r="IA103" s="17"/>
      <c r="IB103" s="17"/>
      <c r="IC103" s="17"/>
      <c r="ID103" s="17"/>
      <c r="IE103" s="17"/>
      <c r="IF103" s="17"/>
      <c r="IG103" s="17"/>
    </row>
    <row r="104" spans="1:241" s="22" customFormat="1" ht="16.5" customHeight="1" x14ac:dyDescent="0.3">
      <c r="A104" s="152" t="s">
        <v>122</v>
      </c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4"/>
      <c r="AF104" s="20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</row>
    <row r="105" spans="1:241" ht="16.5" customHeight="1" x14ac:dyDescent="0.25">
      <c r="A105" s="47">
        <v>90</v>
      </c>
      <c r="B105" s="43" t="s">
        <v>126</v>
      </c>
      <c r="C105" s="43" t="s">
        <v>29</v>
      </c>
      <c r="D105" s="65"/>
      <c r="E105" s="125"/>
      <c r="F105" s="125" t="s">
        <v>209</v>
      </c>
      <c r="G105" s="65"/>
      <c r="H105" s="65">
        <v>784411468</v>
      </c>
      <c r="I105" s="126"/>
      <c r="J105" s="65">
        <v>7709195010</v>
      </c>
      <c r="K105" s="65">
        <v>49715314</v>
      </c>
      <c r="L105" s="53">
        <v>13108513</v>
      </c>
      <c r="M105" s="127">
        <v>36606801</v>
      </c>
      <c r="N105" s="65">
        <v>7973461526</v>
      </c>
      <c r="O105" s="65">
        <v>419806212</v>
      </c>
      <c r="P105" s="69">
        <v>7517048512</v>
      </c>
      <c r="Q105" s="55">
        <f>(P105/$P$109)</f>
        <v>0.16409603864936548</v>
      </c>
      <c r="R105" s="69">
        <v>7553655314</v>
      </c>
      <c r="S105" s="55">
        <f>(R105/$R$109)</f>
        <v>0.16603413993656224</v>
      </c>
      <c r="T105" s="56">
        <f>((R105-P105)/P105)</f>
        <v>4.8698371364188954E-3</v>
      </c>
      <c r="U105" s="57">
        <f>(L105/R105)</f>
        <v>1.7353867041966537E-3</v>
      </c>
      <c r="V105" s="58">
        <f>M105/R105</f>
        <v>4.8462366203224404E-3</v>
      </c>
      <c r="W105" s="59">
        <f>R105/AE105</f>
        <v>101.86993006068779</v>
      </c>
      <c r="X105" s="59">
        <f>M105/AE105</f>
        <v>0.49368578556979098</v>
      </c>
      <c r="Y105" s="65">
        <v>101.87</v>
      </c>
      <c r="Z105" s="65">
        <v>101.87</v>
      </c>
      <c r="AA105" s="65">
        <v>55</v>
      </c>
      <c r="AB105" s="65">
        <v>74150000</v>
      </c>
      <c r="AC105" s="65"/>
      <c r="AD105" s="65"/>
      <c r="AE105" s="65">
        <v>74150000</v>
      </c>
      <c r="AF105" s="5"/>
    </row>
    <row r="106" spans="1:241" ht="16.5" customHeight="1" x14ac:dyDescent="0.25">
      <c r="A106" s="47">
        <v>91</v>
      </c>
      <c r="B106" s="43" t="s">
        <v>123</v>
      </c>
      <c r="C106" s="43" t="s">
        <v>101</v>
      </c>
      <c r="D106" s="65"/>
      <c r="E106" s="125"/>
      <c r="F106" s="125"/>
      <c r="G106" s="65">
        <v>316113762.82999998</v>
      </c>
      <c r="H106" s="65">
        <v>1820390000</v>
      </c>
      <c r="I106" s="126">
        <v>1017080.74</v>
      </c>
      <c r="J106" s="65">
        <v>2137520843.5699999</v>
      </c>
      <c r="K106" s="65">
        <v>21112781.539999999</v>
      </c>
      <c r="L106" s="53">
        <v>5708941.3600000003</v>
      </c>
      <c r="M106" s="127">
        <v>15403840.18</v>
      </c>
      <c r="N106" s="65">
        <v>2527501079.1599998</v>
      </c>
      <c r="O106" s="65">
        <v>116827867.01000001</v>
      </c>
      <c r="P106" s="69">
        <v>2395269371.9699998</v>
      </c>
      <c r="Q106" s="55">
        <f>(P106/$P$109)</f>
        <v>5.228837020420582E-2</v>
      </c>
      <c r="R106" s="69">
        <v>2410673212.1500001</v>
      </c>
      <c r="S106" s="55">
        <f>(R106/$R$109)</f>
        <v>5.2988127841311655E-2</v>
      </c>
      <c r="T106" s="56">
        <f>((R106-P106)/P106)</f>
        <v>6.430942740828915E-3</v>
      </c>
      <c r="U106" s="57">
        <f>(L106/R106)</f>
        <v>2.3681938021405994E-3</v>
      </c>
      <c r="V106" s="58">
        <f>M106/R106</f>
        <v>6.3898499814754326E-3</v>
      </c>
      <c r="W106" s="59">
        <f>R106/AE106</f>
        <v>120.53366060750001</v>
      </c>
      <c r="X106" s="59">
        <f>M106/AE106</f>
        <v>0.77019200899999996</v>
      </c>
      <c r="Y106" s="65">
        <v>69.3</v>
      </c>
      <c r="Z106" s="65">
        <v>69.3</v>
      </c>
      <c r="AA106" s="128">
        <v>2698</v>
      </c>
      <c r="AB106" s="65">
        <v>20000000</v>
      </c>
      <c r="AC106" s="64">
        <v>0</v>
      </c>
      <c r="AD106" s="64">
        <v>0</v>
      </c>
      <c r="AE106" s="65">
        <v>20000000</v>
      </c>
      <c r="AF106" s="5"/>
    </row>
    <row r="107" spans="1:241" ht="16.5" customHeight="1" x14ac:dyDescent="0.25">
      <c r="A107" s="47">
        <v>92</v>
      </c>
      <c r="B107" s="43" t="s">
        <v>124</v>
      </c>
      <c r="C107" s="43" t="s">
        <v>101</v>
      </c>
      <c r="D107" s="65"/>
      <c r="E107" s="125"/>
      <c r="F107" s="65">
        <v>83270544.730000004</v>
      </c>
      <c r="G107" s="65">
        <v>390627507.20999998</v>
      </c>
      <c r="H107" s="65">
        <v>9820058627.3999996</v>
      </c>
      <c r="I107" s="126">
        <f>34525276.58+140469334.94</f>
        <v>174994611.51999998</v>
      </c>
      <c r="J107" s="65">
        <v>10468951290.91</v>
      </c>
      <c r="K107" s="65">
        <v>70180753.450000003</v>
      </c>
      <c r="L107" s="125" t="s">
        <v>210</v>
      </c>
      <c r="M107" s="127">
        <v>48375831.399999999</v>
      </c>
      <c r="N107" s="65">
        <v>11060922409.33</v>
      </c>
      <c r="O107" s="65">
        <v>1178152964.5</v>
      </c>
      <c r="P107" s="69">
        <v>9834393613.4300003</v>
      </c>
      <c r="Q107" s="55">
        <f>(P107/$P$109)</f>
        <v>0.2146833337454564</v>
      </c>
      <c r="R107" s="69">
        <v>9882769444.8299999</v>
      </c>
      <c r="S107" s="55">
        <f>(R107/$R$109)</f>
        <v>0.21722954738515435</v>
      </c>
      <c r="T107" s="56">
        <f>((R107-P107)/P107)</f>
        <v>4.9190456780107755E-3</v>
      </c>
      <c r="U107" s="57">
        <f>(L107/R107)</f>
        <v>2.2063574559464069E-3</v>
      </c>
      <c r="V107" s="58">
        <f>M107/R107</f>
        <v>4.8949671111984689E-3</v>
      </c>
      <c r="W107" s="59">
        <f>R107/AE107</f>
        <v>52.53241681252819</v>
      </c>
      <c r="X107" s="59">
        <f>M107/AE107</f>
        <v>0.25714445256909496</v>
      </c>
      <c r="Y107" s="128">
        <v>36.6</v>
      </c>
      <c r="Z107" s="128">
        <v>36.6</v>
      </c>
      <c r="AA107" s="64">
        <v>5256</v>
      </c>
      <c r="AB107" s="64">
        <v>188127066</v>
      </c>
      <c r="AC107" s="64"/>
      <c r="AD107" s="64"/>
      <c r="AE107" s="64">
        <v>188127066</v>
      </c>
      <c r="AF107" s="5"/>
    </row>
    <row r="108" spans="1:241" ht="16.5" customHeight="1" x14ac:dyDescent="0.25">
      <c r="A108" s="47">
        <v>93</v>
      </c>
      <c r="B108" s="43" t="s">
        <v>125</v>
      </c>
      <c r="C108" s="44" t="s">
        <v>181</v>
      </c>
      <c r="D108" s="65"/>
      <c r="E108" s="125" t="s">
        <v>211</v>
      </c>
      <c r="F108" s="65">
        <v>1660977364.05</v>
      </c>
      <c r="G108" s="129">
        <v>1561543597.21</v>
      </c>
      <c r="H108" s="65">
        <v>21480000000</v>
      </c>
      <c r="I108" s="126"/>
      <c r="J108" s="65">
        <v>25619801438.82</v>
      </c>
      <c r="K108" s="65">
        <v>139950351.46000001</v>
      </c>
      <c r="L108" s="126">
        <v>56900618.329999998</v>
      </c>
      <c r="M108" s="127">
        <v>83049733.129999995</v>
      </c>
      <c r="N108" s="65">
        <v>25745192117.040001</v>
      </c>
      <c r="O108" s="65">
        <v>97698934.140000001</v>
      </c>
      <c r="P108" s="69">
        <v>26062124437.16</v>
      </c>
      <c r="Q108" s="55">
        <f>(P108/$P$109)</f>
        <v>0.56893225740097231</v>
      </c>
      <c r="R108" s="69">
        <v>25647493182.900002</v>
      </c>
      <c r="S108" s="55">
        <f>(R108/$R$109)</f>
        <v>0.56374818483697164</v>
      </c>
      <c r="T108" s="56">
        <f>((R108-P108)/P108)</f>
        <v>-1.5909342128257477E-2</v>
      </c>
      <c r="U108" s="57">
        <f>(L108/R108)</f>
        <v>2.2185645171722843E-3</v>
      </c>
      <c r="V108" s="58">
        <f>M108/R108</f>
        <v>3.2381228269658686E-3</v>
      </c>
      <c r="W108" s="59">
        <f>R108/AE108</f>
        <v>9.6120325112961797</v>
      </c>
      <c r="X108" s="59">
        <f>M108/AE108</f>
        <v>3.1124941888366221E-2</v>
      </c>
      <c r="Y108" s="128">
        <v>9.59</v>
      </c>
      <c r="Z108" s="128">
        <v>9.59</v>
      </c>
      <c r="AA108" s="64">
        <v>28836</v>
      </c>
      <c r="AB108" s="64">
        <v>2668269500</v>
      </c>
      <c r="AC108" s="64"/>
      <c r="AD108" s="64"/>
      <c r="AE108" s="64">
        <v>2668269500</v>
      </c>
      <c r="AF108" s="5"/>
    </row>
    <row r="109" spans="1:241" ht="16.5" customHeight="1" x14ac:dyDescent="0.25">
      <c r="A109" s="130"/>
      <c r="B109" s="23"/>
      <c r="C109" s="73" t="s">
        <v>50</v>
      </c>
      <c r="D109" s="74"/>
      <c r="E109" s="74"/>
      <c r="F109" s="74">
        <f t="shared" ref="F109:O109" si="56">SUM(F105:F108)</f>
        <v>1744247908.78</v>
      </c>
      <c r="G109" s="74">
        <f t="shared" si="56"/>
        <v>2268284867.25</v>
      </c>
      <c r="H109" s="74">
        <f t="shared" si="56"/>
        <v>33904860095.400002</v>
      </c>
      <c r="I109" s="74">
        <f t="shared" si="56"/>
        <v>176011692.25999999</v>
      </c>
      <c r="J109" s="74">
        <f t="shared" si="56"/>
        <v>45935468583.300003</v>
      </c>
      <c r="K109" s="74">
        <f t="shared" si="56"/>
        <v>280959200.45000005</v>
      </c>
      <c r="L109" s="74">
        <f t="shared" si="56"/>
        <v>75718072.689999998</v>
      </c>
      <c r="M109" s="74">
        <f t="shared" si="56"/>
        <v>183436205.70999998</v>
      </c>
      <c r="N109" s="74">
        <f t="shared" si="56"/>
        <v>47307077131.529999</v>
      </c>
      <c r="O109" s="74">
        <f t="shared" si="56"/>
        <v>1812485977.6500001</v>
      </c>
      <c r="P109" s="96">
        <f>SUM(P105:P108)</f>
        <v>45808835934.559998</v>
      </c>
      <c r="Q109" s="76">
        <f>(P109/$P$153)</f>
        <v>3.0862637622202562E-2</v>
      </c>
      <c r="R109" s="96">
        <f>SUM(R105:R108)</f>
        <v>45494591153.880005</v>
      </c>
      <c r="S109" s="76">
        <f>(R109/$R$153)</f>
        <v>3.3098036623689125E-2</v>
      </c>
      <c r="T109" s="77">
        <f>((R109-P109)/P109)</f>
        <v>-6.8599163080438367E-3</v>
      </c>
      <c r="U109" s="78"/>
      <c r="V109" s="79"/>
      <c r="W109" s="80"/>
      <c r="X109" s="80"/>
      <c r="Y109" s="74"/>
      <c r="Z109" s="74"/>
      <c r="AA109" s="81">
        <f>SUM(AA105:AA108)</f>
        <v>36845</v>
      </c>
      <c r="AB109" s="81"/>
      <c r="AC109" s="81"/>
      <c r="AD109" s="81"/>
      <c r="AE109" s="74"/>
      <c r="AF109" s="5"/>
    </row>
    <row r="110" spans="1:241" ht="16.5" customHeight="1" x14ac:dyDescent="0.25">
      <c r="A110" s="152" t="s">
        <v>173</v>
      </c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4"/>
      <c r="AF110" s="5"/>
    </row>
    <row r="111" spans="1:241" s="33" customFormat="1" ht="16.5" customHeight="1" x14ac:dyDescent="0.25">
      <c r="A111" s="47">
        <v>94</v>
      </c>
      <c r="B111" s="43" t="s">
        <v>130</v>
      </c>
      <c r="C111" s="43" t="s">
        <v>56</v>
      </c>
      <c r="D111" s="65">
        <v>52672974.93</v>
      </c>
      <c r="E111" s="65"/>
      <c r="F111" s="65">
        <v>59556586.899999999</v>
      </c>
      <c r="G111" s="65">
        <v>33466206.280000001</v>
      </c>
      <c r="H111" s="98"/>
      <c r="I111" s="99"/>
      <c r="J111" s="99">
        <v>166015617.71000001</v>
      </c>
      <c r="K111" s="99">
        <v>1366405.14</v>
      </c>
      <c r="L111" s="65">
        <v>413547.96</v>
      </c>
      <c r="M111" s="52">
        <v>952857.18</v>
      </c>
      <c r="N111" s="65">
        <v>166015617.71000001</v>
      </c>
      <c r="O111" s="65">
        <v>11028029.1</v>
      </c>
      <c r="P111" s="151">
        <v>162719265.52000001</v>
      </c>
      <c r="Q111" s="55">
        <f t="shared" ref="Q111:Q134" si="57">(P111/$P$153)</f>
        <v>1.0962832002692228E-4</v>
      </c>
      <c r="R111" s="88">
        <v>154987588.61000001</v>
      </c>
      <c r="S111" s="55">
        <f>(R111/$R$134)</f>
        <v>5.5108293469171175E-3</v>
      </c>
      <c r="T111" s="56">
        <f>((R111-P111)/P111)</f>
        <v>-4.751543638850611E-2</v>
      </c>
      <c r="U111" s="57">
        <f>(L111/R111)</f>
        <v>2.6682650121141204E-3</v>
      </c>
      <c r="V111" s="58">
        <f t="shared" ref="V111:V121" si="58">M111/R111</f>
        <v>6.1479579658323714E-3</v>
      </c>
      <c r="W111" s="59">
        <f>R111/AE111</f>
        <v>3.5290558760847386</v>
      </c>
      <c r="X111" s="59">
        <f>M111/AE111</f>
        <v>2.1696487185242707E-2</v>
      </c>
      <c r="Y111" s="65">
        <v>3.5038999999999998</v>
      </c>
      <c r="Z111" s="65">
        <v>3.5453000000000001</v>
      </c>
      <c r="AA111" s="64">
        <v>11818</v>
      </c>
      <c r="AB111" s="64">
        <v>43917578.539999999</v>
      </c>
      <c r="AC111" s="64"/>
      <c r="AD111" s="64"/>
      <c r="AE111" s="65">
        <v>43917578.539999999</v>
      </c>
      <c r="AF111" s="32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  <c r="HO111" s="23"/>
      <c r="HP111" s="23"/>
      <c r="HQ111" s="23"/>
      <c r="HR111" s="23"/>
      <c r="HS111" s="23"/>
      <c r="HT111" s="23"/>
      <c r="HU111" s="23"/>
      <c r="HV111" s="23"/>
      <c r="HW111" s="23"/>
      <c r="HX111" s="23"/>
      <c r="HY111" s="23"/>
      <c r="HZ111" s="23"/>
      <c r="IA111" s="23"/>
      <c r="IB111" s="23"/>
      <c r="IC111" s="23"/>
      <c r="ID111" s="23"/>
      <c r="IE111" s="23"/>
      <c r="IF111" s="23"/>
      <c r="IG111" s="23"/>
    </row>
    <row r="112" spans="1:241" ht="16.5" customHeight="1" x14ac:dyDescent="0.25">
      <c r="A112" s="47">
        <v>95</v>
      </c>
      <c r="B112" s="43" t="s">
        <v>161</v>
      </c>
      <c r="C112" s="44" t="s">
        <v>35</v>
      </c>
      <c r="D112" s="65">
        <v>2484598289.25</v>
      </c>
      <c r="E112" s="74"/>
      <c r="F112" s="65">
        <v>504344183.50999999</v>
      </c>
      <c r="G112" s="65">
        <v>458354755.67000002</v>
      </c>
      <c r="H112" s="131">
        <v>3551352.9</v>
      </c>
      <c r="I112" s="99"/>
      <c r="J112" s="99">
        <v>3450848581.3299999</v>
      </c>
      <c r="K112" s="99">
        <v>23854635.66</v>
      </c>
      <c r="L112" s="65">
        <v>10948297.390000001</v>
      </c>
      <c r="M112" s="52">
        <v>-260619451.78</v>
      </c>
      <c r="N112" s="65">
        <v>4511133917</v>
      </c>
      <c r="O112" s="65">
        <v>128952375</v>
      </c>
      <c r="P112" s="88">
        <v>4647907350</v>
      </c>
      <c r="Q112" s="55">
        <f t="shared" si="57"/>
        <v>3.1314194591091971E-3</v>
      </c>
      <c r="R112" s="88">
        <v>4382181541</v>
      </c>
      <c r="S112" s="55">
        <f t="shared" ref="S112:S133" si="59">(R112/$R$134)</f>
        <v>0.15581540984181183</v>
      </c>
      <c r="T112" s="56">
        <f t="shared" ref="T112:T133" si="60">((R112-P112)/P112)</f>
        <v>-5.717106409188643E-2</v>
      </c>
      <c r="U112" s="57">
        <f t="shared" ref="U112:U133" si="61">(L112/R112)</f>
        <v>2.4983669178391989E-3</v>
      </c>
      <c r="V112" s="58">
        <f t="shared" ref="V112:V133" si="62">M112/R112</f>
        <v>-5.9472536530407516E-2</v>
      </c>
      <c r="W112" s="59">
        <f t="shared" ref="W112:W133" si="63">R112/AE112</f>
        <v>479.74492257235534</v>
      </c>
      <c r="X112" s="59">
        <f t="shared" ref="X112:X133" si="64">M112/AE112</f>
        <v>-28.531647432961929</v>
      </c>
      <c r="Y112" s="65">
        <v>477.34620000000001</v>
      </c>
      <c r="Z112" s="65">
        <v>491.73849999999999</v>
      </c>
      <c r="AA112" s="64">
        <v>1877</v>
      </c>
      <c r="AB112" s="64">
        <v>9152053</v>
      </c>
      <c r="AC112" s="64">
        <v>40235</v>
      </c>
      <c r="AD112" s="64">
        <v>57889</v>
      </c>
      <c r="AE112" s="65">
        <v>9134399</v>
      </c>
      <c r="AF112" s="5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7"/>
      <c r="HS112" s="17"/>
      <c r="HT112" s="17"/>
      <c r="HU112" s="17"/>
      <c r="HV112" s="17"/>
      <c r="HW112" s="17"/>
      <c r="HX112" s="17"/>
      <c r="HY112" s="17"/>
      <c r="HZ112" s="17"/>
      <c r="IA112" s="17"/>
      <c r="IB112" s="17"/>
      <c r="IC112" s="17"/>
      <c r="ID112" s="17"/>
      <c r="IE112" s="17"/>
      <c r="IF112" s="17"/>
      <c r="IG112" s="17"/>
    </row>
    <row r="113" spans="1:241" s="33" customFormat="1" ht="16.5" customHeight="1" x14ac:dyDescent="0.25">
      <c r="A113" s="47">
        <v>96</v>
      </c>
      <c r="B113" s="43" t="s">
        <v>129</v>
      </c>
      <c r="C113" s="43" t="s">
        <v>98</v>
      </c>
      <c r="D113" s="65">
        <v>418444379.70999998</v>
      </c>
      <c r="E113" s="38"/>
      <c r="F113" s="39">
        <v>220476547.72999999</v>
      </c>
      <c r="G113" s="65">
        <v>362920453.25999999</v>
      </c>
      <c r="H113" s="40">
        <v>21989626.609999999</v>
      </c>
      <c r="I113" s="38"/>
      <c r="J113" s="39">
        <v>1023831007.3099999</v>
      </c>
      <c r="K113" s="39">
        <v>4870590.3</v>
      </c>
      <c r="L113" s="39">
        <v>1523478.48</v>
      </c>
      <c r="M113" s="52">
        <v>-20225116.23</v>
      </c>
      <c r="N113" s="39">
        <v>1026259169.51</v>
      </c>
      <c r="O113" s="39">
        <v>61582665.090000004</v>
      </c>
      <c r="P113" s="88">
        <v>984901620.64999998</v>
      </c>
      <c r="Q113" s="55">
        <f t="shared" si="57"/>
        <v>6.6355455648477906E-4</v>
      </c>
      <c r="R113" s="88">
        <v>964676504.42999995</v>
      </c>
      <c r="S113" s="55">
        <f t="shared" si="59"/>
        <v>3.43006019938248E-2</v>
      </c>
      <c r="T113" s="56">
        <f t="shared" si="60"/>
        <v>-2.0535163914800113E-2</v>
      </c>
      <c r="U113" s="57">
        <f t="shared" si="61"/>
        <v>1.5792635904407978E-3</v>
      </c>
      <c r="V113" s="58">
        <f t="shared" si="62"/>
        <v>-2.0965697969342011E-2</v>
      </c>
      <c r="W113" s="59">
        <f t="shared" si="63"/>
        <v>2.2113501500048596</v>
      </c>
      <c r="X113" s="59">
        <f t="shared" si="64"/>
        <v>-4.6362499349461038E-2</v>
      </c>
      <c r="Y113" s="38">
        <v>2.2084999999999999</v>
      </c>
      <c r="Z113" s="38">
        <v>2.2513000000000001</v>
      </c>
      <c r="AA113" s="64">
        <v>2771</v>
      </c>
      <c r="AB113" s="64">
        <v>436238695.3635</v>
      </c>
      <c r="AC113" s="39"/>
      <c r="AD113" s="39"/>
      <c r="AE113" s="39">
        <v>436238695.3635</v>
      </c>
      <c r="AF113" s="32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  <c r="HQ113" s="23"/>
      <c r="HR113" s="23"/>
      <c r="HS113" s="23"/>
      <c r="HT113" s="23"/>
      <c r="HU113" s="23"/>
      <c r="HV113" s="23"/>
      <c r="HW113" s="23"/>
      <c r="HX113" s="23"/>
      <c r="HY113" s="23"/>
      <c r="HZ113" s="23"/>
      <c r="IA113" s="23"/>
      <c r="IB113" s="23"/>
      <c r="IC113" s="23"/>
      <c r="ID113" s="23"/>
      <c r="IE113" s="23"/>
      <c r="IF113" s="23"/>
      <c r="IG113" s="23"/>
    </row>
    <row r="114" spans="1:241" s="33" customFormat="1" ht="16.5" customHeight="1" x14ac:dyDescent="0.25">
      <c r="A114" s="47">
        <v>97</v>
      </c>
      <c r="B114" s="43" t="s">
        <v>167</v>
      </c>
      <c r="C114" s="43" t="s">
        <v>79</v>
      </c>
      <c r="D114" s="65">
        <v>893740591.25999999</v>
      </c>
      <c r="E114" s="65"/>
      <c r="F114" s="65">
        <v>835799585.90999997</v>
      </c>
      <c r="G114" s="65">
        <v>484264860.55000001</v>
      </c>
      <c r="H114" s="111"/>
      <c r="I114" s="99"/>
      <c r="J114" s="99">
        <v>2213805037.7199998</v>
      </c>
      <c r="K114" s="99">
        <v>16622747.48</v>
      </c>
      <c r="L114" s="65">
        <v>5863346.9000000004</v>
      </c>
      <c r="M114" s="52">
        <v>11121419.720000001</v>
      </c>
      <c r="N114" s="65">
        <v>2216187242.8800001</v>
      </c>
      <c r="O114" s="65">
        <v>38053474.75</v>
      </c>
      <c r="P114" s="88">
        <v>2194078084.5900002</v>
      </c>
      <c r="Q114" s="55">
        <f t="shared" si="57"/>
        <v>1.4782090716352514E-3</v>
      </c>
      <c r="R114" s="88">
        <v>2178133768.1300001</v>
      </c>
      <c r="S114" s="55">
        <f t="shared" si="59"/>
        <v>7.7446998166584138E-2</v>
      </c>
      <c r="T114" s="56">
        <f t="shared" si="60"/>
        <v>-7.2669776759469789E-3</v>
      </c>
      <c r="U114" s="57">
        <f t="shared" si="61"/>
        <v>2.6919131349007449E-3</v>
      </c>
      <c r="V114" s="58">
        <f t="shared" si="62"/>
        <v>5.1059397190045437E-3</v>
      </c>
      <c r="W114" s="59">
        <f t="shared" si="63"/>
        <v>4000.8254054260574</v>
      </c>
      <c r="X114" s="59">
        <f t="shared" si="64"/>
        <v>20.427973346367363</v>
      </c>
      <c r="Y114" s="65">
        <v>4000.83</v>
      </c>
      <c r="Z114" s="65">
        <v>4027.74</v>
      </c>
      <c r="AA114" s="64">
        <v>826</v>
      </c>
      <c r="AB114" s="64">
        <v>545207.76</v>
      </c>
      <c r="AC114" s="64">
        <v>14.91</v>
      </c>
      <c r="AD114" s="64">
        <v>801.56</v>
      </c>
      <c r="AE114" s="65">
        <v>544421.1</v>
      </c>
      <c r="AF114" s="32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  <c r="HO114" s="23"/>
      <c r="HP114" s="23"/>
      <c r="HQ114" s="23"/>
      <c r="HR114" s="23"/>
      <c r="HS114" s="23"/>
      <c r="HT114" s="23"/>
      <c r="HU114" s="23"/>
      <c r="HV114" s="23"/>
      <c r="HW114" s="23"/>
      <c r="HX114" s="23"/>
      <c r="HY114" s="23"/>
      <c r="HZ114" s="23"/>
      <c r="IA114" s="23"/>
      <c r="IB114" s="23"/>
      <c r="IC114" s="23"/>
      <c r="ID114" s="23"/>
      <c r="IE114" s="23"/>
      <c r="IF114" s="23"/>
      <c r="IG114" s="23"/>
    </row>
    <row r="115" spans="1:241" s="33" customFormat="1" ht="16.5" customHeight="1" x14ac:dyDescent="0.25">
      <c r="A115" s="47">
        <v>98</v>
      </c>
      <c r="B115" s="43" t="s">
        <v>135</v>
      </c>
      <c r="C115" s="44" t="s">
        <v>63</v>
      </c>
      <c r="D115" s="65">
        <v>132812579.2</v>
      </c>
      <c r="E115" s="65"/>
      <c r="F115" s="65">
        <v>58666974.640000001</v>
      </c>
      <c r="G115" s="65">
        <v>78023277.700000003</v>
      </c>
      <c r="H115" s="98"/>
      <c r="I115" s="99"/>
      <c r="J115" s="99">
        <v>269502831.54000002</v>
      </c>
      <c r="K115" s="99">
        <v>2164985.5299999998</v>
      </c>
      <c r="L115" s="99">
        <v>742004.04</v>
      </c>
      <c r="M115" s="52">
        <v>-2591400.94</v>
      </c>
      <c r="N115" s="65">
        <v>306994375.37</v>
      </c>
      <c r="O115" s="65">
        <v>7273904.6799999997</v>
      </c>
      <c r="P115" s="88">
        <v>322552653.48000002</v>
      </c>
      <c r="Q115" s="55">
        <f t="shared" si="57"/>
        <v>2.1731234717804304E-4</v>
      </c>
      <c r="R115" s="88">
        <v>299720470.69</v>
      </c>
      <c r="S115" s="55">
        <f t="shared" si="59"/>
        <v>1.0657036350868765E-2</v>
      </c>
      <c r="T115" s="56">
        <f t="shared" si="60"/>
        <v>-7.0785909040477754E-2</v>
      </c>
      <c r="U115" s="57">
        <f t="shared" si="61"/>
        <v>2.475653525739497E-3</v>
      </c>
      <c r="V115" s="58">
        <f t="shared" si="62"/>
        <v>-8.6460592232296286E-3</v>
      </c>
      <c r="W115" s="59">
        <f t="shared" si="63"/>
        <v>121.03110924683976</v>
      </c>
      <c r="X115" s="59">
        <f t="shared" si="64"/>
        <v>-1.0464421384013516</v>
      </c>
      <c r="Y115" s="65">
        <v>128.1</v>
      </c>
      <c r="Z115" s="65">
        <v>128.93</v>
      </c>
      <c r="AA115" s="64">
        <v>697</v>
      </c>
      <c r="AB115" s="64">
        <v>2606499</v>
      </c>
      <c r="AC115" s="64">
        <v>8030</v>
      </c>
      <c r="AD115" s="64">
        <v>138137</v>
      </c>
      <c r="AE115" s="65">
        <v>2476392</v>
      </c>
      <c r="AF115" s="32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  <c r="HG115" s="23"/>
      <c r="HH115" s="23"/>
      <c r="HI115" s="23"/>
      <c r="HJ115" s="23"/>
      <c r="HK115" s="23"/>
      <c r="HL115" s="23"/>
      <c r="HM115" s="23"/>
      <c r="HN115" s="23"/>
      <c r="HO115" s="23"/>
      <c r="HP115" s="23"/>
      <c r="HQ115" s="23"/>
      <c r="HR115" s="23"/>
      <c r="HS115" s="23"/>
      <c r="HT115" s="23"/>
      <c r="HU115" s="23"/>
      <c r="HV115" s="23"/>
      <c r="HW115" s="23"/>
      <c r="HX115" s="23"/>
      <c r="HY115" s="23"/>
      <c r="HZ115" s="23"/>
      <c r="IA115" s="23"/>
      <c r="IB115" s="23"/>
      <c r="IC115" s="23"/>
      <c r="ID115" s="23"/>
      <c r="IE115" s="23"/>
      <c r="IF115" s="23"/>
      <c r="IG115" s="23"/>
    </row>
    <row r="116" spans="1:241" ht="16.5" customHeight="1" x14ac:dyDescent="0.25">
      <c r="A116" s="47">
        <v>99</v>
      </c>
      <c r="B116" s="43" t="s">
        <v>152</v>
      </c>
      <c r="C116" s="44" t="s">
        <v>150</v>
      </c>
      <c r="D116" s="65">
        <v>484564.7</v>
      </c>
      <c r="E116" s="65"/>
      <c r="F116" s="40">
        <v>1979600</v>
      </c>
      <c r="G116" s="65">
        <v>991522.11</v>
      </c>
      <c r="H116" s="85"/>
      <c r="I116" s="86"/>
      <c r="J116" s="99">
        <v>3455686.81</v>
      </c>
      <c r="K116" s="99">
        <v>20279.060000000001</v>
      </c>
      <c r="L116" s="65">
        <v>8413.9699999999993</v>
      </c>
      <c r="M116" s="52">
        <v>11865.09</v>
      </c>
      <c r="N116" s="65">
        <v>3950781.88</v>
      </c>
      <c r="O116" s="65">
        <v>263055.71000000002</v>
      </c>
      <c r="P116" s="88">
        <v>3680649.49</v>
      </c>
      <c r="Q116" s="55">
        <f t="shared" si="57"/>
        <v>2.4797519759395255E-6</v>
      </c>
      <c r="R116" s="88">
        <v>3687726.17</v>
      </c>
      <c r="S116" s="55">
        <f t="shared" si="59"/>
        <v>1.3112294851020756E-4</v>
      </c>
      <c r="T116" s="56">
        <f t="shared" si="60"/>
        <v>1.9226715337133885E-3</v>
      </c>
      <c r="U116" s="57">
        <f t="shared" si="61"/>
        <v>2.2816146351777524E-3</v>
      </c>
      <c r="V116" s="58">
        <f t="shared" si="62"/>
        <v>3.2174541853252623E-3</v>
      </c>
      <c r="W116" s="59">
        <f t="shared" si="63"/>
        <v>107.444967367869</v>
      </c>
      <c r="X116" s="59">
        <f t="shared" si="64"/>
        <v>0.34569925994988637</v>
      </c>
      <c r="Y116" s="65">
        <v>101.62</v>
      </c>
      <c r="Z116" s="65">
        <v>101.38</v>
      </c>
      <c r="AA116" s="64">
        <v>87</v>
      </c>
      <c r="AB116" s="64">
        <v>34322</v>
      </c>
      <c r="AC116" s="64"/>
      <c r="AD116" s="64"/>
      <c r="AE116" s="65">
        <v>34322</v>
      </c>
      <c r="AF116" s="5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  <c r="FY116" s="17"/>
      <c r="FZ116" s="17"/>
      <c r="GA116" s="17"/>
      <c r="GB116" s="17"/>
      <c r="GC116" s="17"/>
      <c r="GD116" s="17"/>
      <c r="GE116" s="17"/>
      <c r="GF116" s="17"/>
      <c r="GG116" s="17"/>
      <c r="GH116" s="17"/>
      <c r="GI116" s="17"/>
      <c r="GJ116" s="17"/>
      <c r="GK116" s="17"/>
      <c r="GL116" s="17"/>
      <c r="GM116" s="17"/>
      <c r="GN116" s="17"/>
      <c r="GO116" s="17"/>
      <c r="GP116" s="17"/>
      <c r="GQ116" s="17"/>
      <c r="GR116" s="17"/>
      <c r="GS116" s="17"/>
      <c r="GT116" s="17"/>
      <c r="GU116" s="17"/>
      <c r="GV116" s="17"/>
      <c r="GW116" s="17"/>
      <c r="GX116" s="17"/>
      <c r="GY116" s="17"/>
      <c r="GZ116" s="17"/>
      <c r="HA116" s="17"/>
      <c r="HB116" s="17"/>
      <c r="HC116" s="17"/>
      <c r="HD116" s="17"/>
      <c r="HE116" s="17"/>
      <c r="HF116" s="17"/>
      <c r="HG116" s="17"/>
      <c r="HH116" s="17"/>
      <c r="HI116" s="17"/>
      <c r="HJ116" s="17"/>
      <c r="HK116" s="17"/>
      <c r="HL116" s="17"/>
      <c r="HM116" s="17"/>
      <c r="HN116" s="17"/>
      <c r="HO116" s="17"/>
      <c r="HP116" s="17"/>
      <c r="HQ116" s="17"/>
      <c r="HR116" s="17"/>
      <c r="HS116" s="17"/>
      <c r="HT116" s="17"/>
      <c r="HU116" s="17"/>
      <c r="HV116" s="17"/>
      <c r="HW116" s="17"/>
      <c r="HX116" s="17"/>
      <c r="HY116" s="17"/>
      <c r="HZ116" s="17"/>
      <c r="IA116" s="17"/>
      <c r="IB116" s="17"/>
      <c r="IC116" s="17"/>
      <c r="ID116" s="17"/>
      <c r="IE116" s="17"/>
      <c r="IF116" s="17"/>
      <c r="IG116" s="17"/>
    </row>
    <row r="117" spans="1:241" s="33" customFormat="1" ht="16.5" customHeight="1" x14ac:dyDescent="0.25">
      <c r="A117" s="47">
        <v>100</v>
      </c>
      <c r="B117" s="43" t="s">
        <v>134</v>
      </c>
      <c r="C117" s="44" t="s">
        <v>69</v>
      </c>
      <c r="D117" s="65">
        <v>51513289.299999997</v>
      </c>
      <c r="E117" s="65"/>
      <c r="F117" s="65">
        <v>54887790.93</v>
      </c>
      <c r="G117" s="65">
        <v>3236305.03</v>
      </c>
      <c r="H117" s="98"/>
      <c r="I117" s="99"/>
      <c r="J117" s="99">
        <v>109637385.25</v>
      </c>
      <c r="K117" s="99">
        <v>451657.79</v>
      </c>
      <c r="L117" s="99">
        <v>341230.22</v>
      </c>
      <c r="M117" s="52">
        <v>-1820899.04</v>
      </c>
      <c r="N117" s="65">
        <v>120194150.48999999</v>
      </c>
      <c r="O117" s="65">
        <v>1794614.44</v>
      </c>
      <c r="P117" s="88">
        <v>120367785.54000001</v>
      </c>
      <c r="Q117" s="55">
        <f t="shared" si="57"/>
        <v>8.1094995555330645E-5</v>
      </c>
      <c r="R117" s="88">
        <v>118399536.06</v>
      </c>
      <c r="S117" s="55">
        <f t="shared" si="59"/>
        <v>4.2098831514997877E-3</v>
      </c>
      <c r="T117" s="56">
        <f t="shared" si="60"/>
        <v>-1.6351962206249324E-2</v>
      </c>
      <c r="U117" s="57">
        <f t="shared" si="61"/>
        <v>2.8820232861983394E-3</v>
      </c>
      <c r="V117" s="58">
        <f t="shared" si="62"/>
        <v>-1.5379275127203568E-2</v>
      </c>
      <c r="W117" s="59">
        <f t="shared" si="63"/>
        <v>1.1534488938567495</v>
      </c>
      <c r="X117" s="59">
        <f t="shared" si="64"/>
        <v>-1.7739207883791578E-2</v>
      </c>
      <c r="Y117" s="65">
        <v>1.1471</v>
      </c>
      <c r="Z117" s="132">
        <v>1.1579999999999999</v>
      </c>
      <c r="AA117" s="64">
        <v>194</v>
      </c>
      <c r="AB117" s="64">
        <v>102778087.88</v>
      </c>
      <c r="AC117" s="65">
        <v>82036.62</v>
      </c>
      <c r="AD117" s="65">
        <v>211852.26</v>
      </c>
      <c r="AE117" s="50">
        <v>102648272.23</v>
      </c>
      <c r="AF117" s="32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  <c r="HQ117" s="23"/>
      <c r="HR117" s="23"/>
      <c r="HS117" s="23"/>
      <c r="HT117" s="23"/>
      <c r="HU117" s="23"/>
      <c r="HV117" s="23"/>
      <c r="HW117" s="23"/>
      <c r="HX117" s="23"/>
      <c r="HY117" s="23"/>
      <c r="HZ117" s="23"/>
      <c r="IA117" s="23"/>
      <c r="IB117" s="23"/>
      <c r="IC117" s="23"/>
      <c r="ID117" s="23"/>
      <c r="IE117" s="23"/>
      <c r="IF117" s="23"/>
      <c r="IG117" s="23"/>
    </row>
    <row r="118" spans="1:241" s="33" customFormat="1" ht="16.5" customHeight="1" x14ac:dyDescent="0.25">
      <c r="A118" s="47">
        <v>101</v>
      </c>
      <c r="B118" s="133" t="s">
        <v>206</v>
      </c>
      <c r="C118" s="134" t="s">
        <v>207</v>
      </c>
      <c r="D118" s="65"/>
      <c r="E118" s="65"/>
      <c r="F118" s="65">
        <v>20905082.329999998</v>
      </c>
      <c r="G118" s="65"/>
      <c r="H118" s="98"/>
      <c r="I118" s="99">
        <v>11533884.199999999</v>
      </c>
      <c r="J118" s="99">
        <v>161043907.15000001</v>
      </c>
      <c r="K118" s="99">
        <v>1055140.51</v>
      </c>
      <c r="L118" s="65">
        <v>362285.53</v>
      </c>
      <c r="M118" s="112">
        <v>692854.98</v>
      </c>
      <c r="N118" s="65">
        <v>161043907.15000001</v>
      </c>
      <c r="O118" s="65">
        <v>1337838.1100000001</v>
      </c>
      <c r="P118" s="88">
        <v>0</v>
      </c>
      <c r="Q118" s="55">
        <f t="shared" si="57"/>
        <v>0</v>
      </c>
      <c r="R118" s="88">
        <v>159706069.03999999</v>
      </c>
      <c r="S118" s="55">
        <f t="shared" si="59"/>
        <v>5.6786023967445422E-3</v>
      </c>
      <c r="T118" s="56" t="e">
        <f t="shared" si="60"/>
        <v>#DIV/0!</v>
      </c>
      <c r="U118" s="57">
        <f t="shared" si="61"/>
        <v>2.2684518639630529E-3</v>
      </c>
      <c r="V118" s="58">
        <f t="shared" si="62"/>
        <v>4.3383134038974275E-3</v>
      </c>
      <c r="W118" s="59">
        <f t="shared" si="63"/>
        <v>100.98692091386845</v>
      </c>
      <c r="X118" s="59">
        <f t="shared" si="64"/>
        <v>0.43811291261896496</v>
      </c>
      <c r="Y118" s="65">
        <v>100.99</v>
      </c>
      <c r="Z118" s="65">
        <v>100</v>
      </c>
      <c r="AA118" s="64">
        <v>46</v>
      </c>
      <c r="AB118" s="64">
        <v>1617015</v>
      </c>
      <c r="AC118" s="64">
        <v>5339</v>
      </c>
      <c r="AD118" s="64">
        <v>40900</v>
      </c>
      <c r="AE118" s="65">
        <v>1581453</v>
      </c>
      <c r="AF118" s="32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  <c r="HQ118" s="23"/>
      <c r="HR118" s="23"/>
      <c r="HS118" s="23"/>
      <c r="HT118" s="23"/>
      <c r="HU118" s="23"/>
      <c r="HV118" s="23"/>
      <c r="HW118" s="23"/>
      <c r="HX118" s="23"/>
      <c r="HY118" s="23"/>
      <c r="HZ118" s="23"/>
      <c r="IA118" s="23"/>
      <c r="IB118" s="23"/>
      <c r="IC118" s="23"/>
      <c r="ID118" s="23"/>
      <c r="IE118" s="23"/>
      <c r="IF118" s="23"/>
      <c r="IG118" s="23"/>
    </row>
    <row r="119" spans="1:241" s="33" customFormat="1" ht="16.5" customHeight="1" x14ac:dyDescent="0.25">
      <c r="A119" s="47">
        <v>102</v>
      </c>
      <c r="B119" s="43" t="s">
        <v>219</v>
      </c>
      <c r="C119" s="44" t="s">
        <v>154</v>
      </c>
      <c r="D119" s="65">
        <v>94782111.700000003</v>
      </c>
      <c r="E119" s="65"/>
      <c r="F119" s="65"/>
      <c r="G119" s="65">
        <v>71553739.030000001</v>
      </c>
      <c r="H119" s="98"/>
      <c r="I119" s="99">
        <v>472767.11</v>
      </c>
      <c r="J119" s="99">
        <v>166808617.84</v>
      </c>
      <c r="K119" s="99">
        <v>1589914.56</v>
      </c>
      <c r="L119" s="65">
        <v>385844.6</v>
      </c>
      <c r="M119" s="52">
        <v>1204069.96</v>
      </c>
      <c r="N119" s="65">
        <v>207957544.78</v>
      </c>
      <c r="O119" s="65">
        <v>201427589.06</v>
      </c>
      <c r="P119" s="88">
        <v>202563775.33000001</v>
      </c>
      <c r="Q119" s="55">
        <f t="shared" si="57"/>
        <v>1.3647263166271712E-4</v>
      </c>
      <c r="R119" s="88">
        <v>201990659.66</v>
      </c>
      <c r="S119" s="55">
        <f t="shared" si="59"/>
        <v>7.1820980314655624E-3</v>
      </c>
      <c r="T119" s="56">
        <f t="shared" si="60"/>
        <v>-2.829309776964536E-3</v>
      </c>
      <c r="U119" s="57">
        <f t="shared" si="61"/>
        <v>1.9102101089697484E-3</v>
      </c>
      <c r="V119" s="58">
        <f t="shared" si="62"/>
        <v>5.961018009578988E-3</v>
      </c>
      <c r="W119" s="59">
        <f t="shared" si="63"/>
        <v>1.0092089139292175</v>
      </c>
      <c r="X119" s="59">
        <f t="shared" si="64"/>
        <v>6.0159125113597167E-3</v>
      </c>
      <c r="Y119" s="65">
        <v>1.01</v>
      </c>
      <c r="Z119" s="65">
        <v>1.01</v>
      </c>
      <c r="AA119" s="64">
        <v>80</v>
      </c>
      <c r="AB119" s="64">
        <v>200096830.77000001</v>
      </c>
      <c r="AC119" s="64">
        <v>98931.54</v>
      </c>
      <c r="AD119" s="64">
        <v>48243.92</v>
      </c>
      <c r="AE119" s="65">
        <v>200147518.38999999</v>
      </c>
      <c r="AF119" s="32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  <c r="HQ119" s="23"/>
      <c r="HR119" s="23"/>
      <c r="HS119" s="23"/>
      <c r="HT119" s="23"/>
      <c r="HU119" s="23"/>
      <c r="HV119" s="23"/>
      <c r="HW119" s="23"/>
      <c r="HX119" s="23"/>
      <c r="HY119" s="23"/>
      <c r="HZ119" s="23"/>
      <c r="IA119" s="23"/>
      <c r="IB119" s="23"/>
      <c r="IC119" s="23"/>
      <c r="ID119" s="23"/>
      <c r="IE119" s="23"/>
      <c r="IF119" s="23"/>
      <c r="IG119" s="23"/>
    </row>
    <row r="120" spans="1:241" s="33" customFormat="1" ht="16.5" customHeight="1" x14ac:dyDescent="0.25">
      <c r="A120" s="47">
        <v>103</v>
      </c>
      <c r="B120" s="44" t="s">
        <v>131</v>
      </c>
      <c r="C120" s="44" t="s">
        <v>53</v>
      </c>
      <c r="D120" s="65">
        <v>1848350746.51</v>
      </c>
      <c r="E120" s="65"/>
      <c r="F120" s="65">
        <v>1618346038.52</v>
      </c>
      <c r="G120" s="65">
        <v>1232765133.7</v>
      </c>
      <c r="H120" s="98"/>
      <c r="I120" s="99"/>
      <c r="J120" s="99">
        <v>4681397963.8199997</v>
      </c>
      <c r="K120" s="99">
        <v>31531891.16</v>
      </c>
      <c r="L120" s="65">
        <v>7724788.2400000002</v>
      </c>
      <c r="M120" s="52">
        <v>-48072036</v>
      </c>
      <c r="N120" s="65">
        <v>4699522982.1000004</v>
      </c>
      <c r="O120" s="65">
        <v>18125018.280000001</v>
      </c>
      <c r="P120" s="88">
        <v>4723332811.9700003</v>
      </c>
      <c r="Q120" s="55">
        <f t="shared" si="57"/>
        <v>3.1822356095914479E-3</v>
      </c>
      <c r="R120" s="88">
        <v>4681397963.8199997</v>
      </c>
      <c r="S120" s="55">
        <f t="shared" si="59"/>
        <v>0.16645452397181656</v>
      </c>
      <c r="T120" s="56">
        <f t="shared" si="60"/>
        <v>-8.8782327689736623E-3</v>
      </c>
      <c r="U120" s="57">
        <f t="shared" si="61"/>
        <v>1.6501028751882926E-3</v>
      </c>
      <c r="V120" s="58">
        <f t="shared" si="62"/>
        <v>-1.0268735187976507E-2</v>
      </c>
      <c r="W120" s="59">
        <f t="shared" si="63"/>
        <v>190.97770754850401</v>
      </c>
      <c r="X120" s="59">
        <f t="shared" si="64"/>
        <v>-1.9610995056224096</v>
      </c>
      <c r="Y120" s="65">
        <v>190.98</v>
      </c>
      <c r="Z120" s="65">
        <v>183.16</v>
      </c>
      <c r="AA120" s="64">
        <v>5460</v>
      </c>
      <c r="AB120" s="64">
        <v>24495515.109999999</v>
      </c>
      <c r="AC120" s="65">
        <v>23426.48</v>
      </c>
      <c r="AD120" s="65">
        <v>6143.61</v>
      </c>
      <c r="AE120" s="50">
        <v>24512797.98</v>
      </c>
      <c r="AF120" s="32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</row>
    <row r="121" spans="1:241" s="33" customFormat="1" ht="16.5" customHeight="1" x14ac:dyDescent="0.25">
      <c r="A121" s="47">
        <v>104</v>
      </c>
      <c r="B121" s="135" t="s">
        <v>169</v>
      </c>
      <c r="C121" s="43" t="s">
        <v>75</v>
      </c>
      <c r="D121" s="65">
        <v>894091377.48000002</v>
      </c>
      <c r="E121" s="65">
        <f>63259235+111531.45</f>
        <v>63370766.450000003</v>
      </c>
      <c r="F121" s="65">
        <v>92218168.650000006</v>
      </c>
      <c r="G121" s="65">
        <v>834186550.24000001</v>
      </c>
      <c r="H121" s="98"/>
      <c r="I121" s="99"/>
      <c r="J121" s="99">
        <v>1957797845.76</v>
      </c>
      <c r="K121" s="99">
        <v>15839618.43</v>
      </c>
      <c r="L121" s="65">
        <v>6396820.4199999999</v>
      </c>
      <c r="M121" s="52">
        <v>9442798.0099999998</v>
      </c>
      <c r="N121" s="65">
        <v>1980585900.6900001</v>
      </c>
      <c r="O121" s="65">
        <v>79583003.760000005</v>
      </c>
      <c r="P121" s="88">
        <v>1934077192.52</v>
      </c>
      <c r="Q121" s="55">
        <f t="shared" si="57"/>
        <v>1.3030395186505628E-3</v>
      </c>
      <c r="R121" s="88">
        <v>1901002896.9300001</v>
      </c>
      <c r="S121" s="55">
        <f t="shared" si="59"/>
        <v>6.7593170826972707E-2</v>
      </c>
      <c r="T121" s="56">
        <f t="shared" si="60"/>
        <v>-1.7100814650994289E-2</v>
      </c>
      <c r="U121" s="57">
        <f t="shared" si="61"/>
        <v>3.3649714213115941E-3</v>
      </c>
      <c r="V121" s="58">
        <f t="shared" si="62"/>
        <v>4.9672717623153147E-3</v>
      </c>
      <c r="W121" s="59">
        <f t="shared" si="63"/>
        <v>1.3026046705797141</v>
      </c>
      <c r="X121" s="59">
        <f t="shared" si="64"/>
        <v>6.4703913976306556E-3</v>
      </c>
      <c r="Y121" s="65">
        <v>1.2912999999999999</v>
      </c>
      <c r="Z121" s="65">
        <v>1.3139000000000001</v>
      </c>
      <c r="AA121" s="64">
        <v>10335</v>
      </c>
      <c r="AB121" s="64">
        <v>1479432858.0599999</v>
      </c>
      <c r="AC121" s="64"/>
      <c r="AD121" s="64">
        <v>20046952.370000001</v>
      </c>
      <c r="AE121" s="64">
        <f>AB121-AD121</f>
        <v>1459385905.6900001</v>
      </c>
      <c r="AF121" s="32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</row>
    <row r="122" spans="1:241" s="33" customFormat="1" ht="16.5" customHeight="1" x14ac:dyDescent="0.25">
      <c r="A122" s="47">
        <v>105</v>
      </c>
      <c r="B122" s="44" t="s">
        <v>138</v>
      </c>
      <c r="C122" s="44" t="s">
        <v>111</v>
      </c>
      <c r="D122" s="65">
        <v>60347586.109999999</v>
      </c>
      <c r="E122" s="65"/>
      <c r="F122" s="65">
        <v>49012008.990000002</v>
      </c>
      <c r="G122" s="65">
        <v>22769765.719999999</v>
      </c>
      <c r="H122" s="98"/>
      <c r="I122" s="99"/>
      <c r="J122" s="99">
        <v>151509494.87</v>
      </c>
      <c r="K122" s="99">
        <v>2135156.31</v>
      </c>
      <c r="L122" s="65">
        <v>4038888.04</v>
      </c>
      <c r="M122" s="52">
        <v>1903731.73</v>
      </c>
      <c r="N122" s="65">
        <v>151509494.87</v>
      </c>
      <c r="O122" s="65">
        <v>5448299.2800000003</v>
      </c>
      <c r="P122" s="88">
        <v>228808246.66</v>
      </c>
      <c r="Q122" s="55">
        <f t="shared" si="57"/>
        <v>1.5415423373182793E-4</v>
      </c>
      <c r="R122" s="88">
        <v>146061195.59</v>
      </c>
      <c r="S122" s="55">
        <f t="shared" si="59"/>
        <v>5.1934372959928652E-3</v>
      </c>
      <c r="T122" s="56">
        <f t="shared" si="60"/>
        <v>-0.36164365698304063</v>
      </c>
      <c r="U122" s="57">
        <f t="shared" si="61"/>
        <v>2.7652026424166285E-2</v>
      </c>
      <c r="V122" s="58">
        <f t="shared" si="62"/>
        <v>1.303379533701652E-2</v>
      </c>
      <c r="W122" s="59">
        <f t="shared" si="63"/>
        <v>133.88946376737024</v>
      </c>
      <c r="X122" s="59">
        <f t="shared" si="64"/>
        <v>1.7450878685267928</v>
      </c>
      <c r="Y122" s="65">
        <v>133.8895</v>
      </c>
      <c r="Z122" s="65">
        <v>138.8837</v>
      </c>
      <c r="AA122" s="64">
        <v>131</v>
      </c>
      <c r="AB122" s="64">
        <v>1102615.08</v>
      </c>
      <c r="AC122" s="64">
        <v>2290.19</v>
      </c>
      <c r="AD122" s="64">
        <v>13996.46</v>
      </c>
      <c r="AE122" s="65">
        <v>1090908.81</v>
      </c>
      <c r="AF122" s="32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</row>
    <row r="123" spans="1:241" s="33" customFormat="1" ht="16.5" customHeight="1" x14ac:dyDescent="0.25">
      <c r="A123" s="47">
        <v>106</v>
      </c>
      <c r="B123" s="43" t="s">
        <v>133</v>
      </c>
      <c r="C123" s="44" t="s">
        <v>27</v>
      </c>
      <c r="D123" s="65">
        <v>264146363.09999999</v>
      </c>
      <c r="E123" s="65"/>
      <c r="F123" s="65">
        <v>875242683.36000001</v>
      </c>
      <c r="G123" s="65"/>
      <c r="H123" s="111"/>
      <c r="I123" s="99"/>
      <c r="J123" s="99">
        <v>1139389046.46</v>
      </c>
      <c r="K123" s="99">
        <v>8690255.7799999993</v>
      </c>
      <c r="L123" s="65">
        <v>2010400.39</v>
      </c>
      <c r="M123" s="52">
        <v>6679855.3899999997</v>
      </c>
      <c r="N123" s="65">
        <v>1141447491.6700001</v>
      </c>
      <c r="O123" s="65">
        <v>1106119751.22</v>
      </c>
      <c r="P123" s="88">
        <v>148870727.12</v>
      </c>
      <c r="Q123" s="55">
        <f t="shared" si="57"/>
        <v>1.0029818941965426E-4</v>
      </c>
      <c r="R123" s="88">
        <v>35327740.450000003</v>
      </c>
      <c r="S123" s="55">
        <f t="shared" si="59"/>
        <v>1.2561338012814891E-3</v>
      </c>
      <c r="T123" s="56">
        <f t="shared" si="60"/>
        <v>-0.76269518438286776</v>
      </c>
      <c r="U123" s="57">
        <f t="shared" si="61"/>
        <v>5.6907132026894174E-2</v>
      </c>
      <c r="V123" s="58">
        <f t="shared" si="62"/>
        <v>0.18908244073673836</v>
      </c>
      <c r="W123" s="59">
        <f t="shared" si="63"/>
        <v>47.359394664521751</v>
      </c>
      <c r="X123" s="59">
        <f t="shared" si="64"/>
        <v>8.9548299349822376</v>
      </c>
      <c r="Y123" s="65"/>
      <c r="Z123" s="65"/>
      <c r="AA123" s="64">
        <v>830</v>
      </c>
      <c r="AB123" s="64">
        <v>745950</v>
      </c>
      <c r="AC123" s="64"/>
      <c r="AD123" s="64"/>
      <c r="AE123" s="64">
        <v>745950</v>
      </c>
      <c r="AF123" s="32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</row>
    <row r="124" spans="1:241" s="33" customFormat="1" ht="16.5" customHeight="1" x14ac:dyDescent="0.25">
      <c r="A124" s="47">
        <v>107</v>
      </c>
      <c r="B124" s="43" t="s">
        <v>198</v>
      </c>
      <c r="C124" s="44" t="s">
        <v>61</v>
      </c>
      <c r="D124" s="65">
        <v>50586581.399999999</v>
      </c>
      <c r="E124" s="65"/>
      <c r="F124" s="65"/>
      <c r="G124" s="65"/>
      <c r="H124" s="98"/>
      <c r="I124" s="99"/>
      <c r="J124" s="65">
        <v>50586581.399999999</v>
      </c>
      <c r="K124" s="99">
        <v>2022578.79</v>
      </c>
      <c r="L124" s="65">
        <v>333449.86</v>
      </c>
      <c r="M124" s="52">
        <v>1689128.93</v>
      </c>
      <c r="N124" s="65">
        <v>235273118.88999999</v>
      </c>
      <c r="O124" s="65">
        <v>3233792.24</v>
      </c>
      <c r="P124" s="88">
        <v>1226263539.5799999</v>
      </c>
      <c r="Q124" s="55">
        <f t="shared" si="57"/>
        <v>8.2616653488949883E-4</v>
      </c>
      <c r="R124" s="88">
        <v>230452733.38999999</v>
      </c>
      <c r="S124" s="55">
        <f t="shared" si="59"/>
        <v>8.1941121713854249E-3</v>
      </c>
      <c r="T124" s="56">
        <f t="shared" si="60"/>
        <v>-0.81206916298846255</v>
      </c>
      <c r="U124" s="57">
        <f t="shared" si="61"/>
        <v>1.4469338466716983E-3</v>
      </c>
      <c r="V124" s="58">
        <f t="shared" si="62"/>
        <v>7.3296111751534393E-3</v>
      </c>
      <c r="W124" s="59">
        <f t="shared" si="63"/>
        <v>151.03295840859221</v>
      </c>
      <c r="X124" s="59">
        <f t="shared" si="64"/>
        <v>1.1070128597681022</v>
      </c>
      <c r="Y124" s="65">
        <v>150.54</v>
      </c>
      <c r="Z124" s="65">
        <v>153.69</v>
      </c>
      <c r="AA124" s="64">
        <v>39</v>
      </c>
      <c r="AB124" s="64">
        <v>1525844</v>
      </c>
      <c r="AC124" s="64"/>
      <c r="AD124" s="64"/>
      <c r="AE124" s="64">
        <v>1525844</v>
      </c>
      <c r="AF124" s="32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</row>
    <row r="125" spans="1:241" s="33" customFormat="1" ht="16.5" customHeight="1" x14ac:dyDescent="0.25">
      <c r="A125" s="47">
        <v>108</v>
      </c>
      <c r="B125" s="43" t="s">
        <v>179</v>
      </c>
      <c r="C125" s="44" t="s">
        <v>86</v>
      </c>
      <c r="D125" s="65">
        <v>6833196.1500000004</v>
      </c>
      <c r="E125" s="65"/>
      <c r="F125" s="65">
        <v>6233238.5499999998</v>
      </c>
      <c r="G125" s="65">
        <v>3558950.69</v>
      </c>
      <c r="H125" s="98"/>
      <c r="I125" s="99"/>
      <c r="J125" s="99">
        <f>6833196.15+6233238.55+3558950.69</f>
        <v>16625385.389999999</v>
      </c>
      <c r="K125" s="99">
        <v>236703.8</v>
      </c>
      <c r="L125" s="65">
        <v>8309.0400000000009</v>
      </c>
      <c r="M125" s="52">
        <v>19894.04</v>
      </c>
      <c r="N125" s="65">
        <v>19393747.050000001</v>
      </c>
      <c r="O125" s="65">
        <v>440277.51</v>
      </c>
      <c r="P125" s="88">
        <v>18669275.899999999</v>
      </c>
      <c r="Q125" s="55">
        <f t="shared" si="57"/>
        <v>1.257799035962676E-5</v>
      </c>
      <c r="R125" s="88">
        <v>18669741.719999999</v>
      </c>
      <c r="S125" s="55">
        <f t="shared" si="59"/>
        <v>6.6383225581264716E-4</v>
      </c>
      <c r="T125" s="56">
        <f t="shared" si="60"/>
        <v>2.4951155175777229E-5</v>
      </c>
      <c r="U125" s="57">
        <f t="shared" si="61"/>
        <v>4.4505382691496608E-4</v>
      </c>
      <c r="V125" s="58">
        <f t="shared" si="62"/>
        <v>1.0655766050951026E-3</v>
      </c>
      <c r="W125" s="59">
        <f t="shared" si="63"/>
        <v>1.1524445741567801</v>
      </c>
      <c r="X125" s="59">
        <f t="shared" si="64"/>
        <v>1.228017976890253E-3</v>
      </c>
      <c r="Y125" s="65">
        <v>1.1524000000000001</v>
      </c>
      <c r="Z125" s="65">
        <v>1.1524000000000001</v>
      </c>
      <c r="AA125" s="64">
        <v>10</v>
      </c>
      <c r="AB125" s="64">
        <v>14974817.890000001</v>
      </c>
      <c r="AC125" s="65">
        <v>341787</v>
      </c>
      <c r="AD125" s="65">
        <v>0</v>
      </c>
      <c r="AE125" s="50">
        <v>16200121.15</v>
      </c>
      <c r="AF125" s="32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</row>
    <row r="126" spans="1:241" s="33" customFormat="1" ht="16.5" customHeight="1" x14ac:dyDescent="0.25">
      <c r="A126" s="47">
        <v>109</v>
      </c>
      <c r="B126" s="44" t="s">
        <v>137</v>
      </c>
      <c r="C126" s="44" t="s">
        <v>46</v>
      </c>
      <c r="D126" s="65">
        <v>62619573.75</v>
      </c>
      <c r="E126" s="65"/>
      <c r="F126" s="65">
        <v>47099691.090000004</v>
      </c>
      <c r="G126" s="65">
        <v>46812850.299999997</v>
      </c>
      <c r="H126" s="131">
        <v>924000</v>
      </c>
      <c r="I126" s="99"/>
      <c r="J126" s="99">
        <v>157456115.13999999</v>
      </c>
      <c r="K126" s="99">
        <v>543406.42000000004</v>
      </c>
      <c r="L126" s="65">
        <v>263667.61</v>
      </c>
      <c r="M126" s="52">
        <v>279738.81</v>
      </c>
      <c r="N126" s="65">
        <v>160710150.47999999</v>
      </c>
      <c r="O126" s="65">
        <v>3401456.24</v>
      </c>
      <c r="P126" s="88">
        <v>158676589.81999999</v>
      </c>
      <c r="Q126" s="55">
        <f t="shared" si="57"/>
        <v>1.0690466131331905E-4</v>
      </c>
      <c r="R126" s="88">
        <v>157308694.24000001</v>
      </c>
      <c r="S126" s="55">
        <f t="shared" si="59"/>
        <v>5.5933599362231129E-3</v>
      </c>
      <c r="T126" s="56">
        <f t="shared" si="60"/>
        <v>-8.6206514871015362E-3</v>
      </c>
      <c r="U126" s="57">
        <f t="shared" si="61"/>
        <v>1.6761159405323913E-3</v>
      </c>
      <c r="V126" s="58">
        <f t="shared" si="62"/>
        <v>1.7782793974070684E-3</v>
      </c>
      <c r="W126" s="59">
        <f t="shared" si="63"/>
        <v>1.6111230111181418</v>
      </c>
      <c r="X126" s="59">
        <f t="shared" si="64"/>
        <v>2.8650268573598308E-3</v>
      </c>
      <c r="Y126" s="65">
        <v>1.6111</v>
      </c>
      <c r="Z126" s="65">
        <v>1.6459999999999999</v>
      </c>
      <c r="AA126" s="64">
        <v>111</v>
      </c>
      <c r="AB126" s="64">
        <v>98034586</v>
      </c>
      <c r="AC126" s="64">
        <v>314951</v>
      </c>
      <c r="AD126" s="64">
        <v>1300182</v>
      </c>
      <c r="AE126" s="64">
        <v>97639158</v>
      </c>
      <c r="AF126" s="32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  <c r="HW126" s="23"/>
      <c r="HX126" s="23"/>
      <c r="HY126" s="23"/>
      <c r="HZ126" s="23"/>
      <c r="IA126" s="23"/>
      <c r="IB126" s="23"/>
      <c r="IC126" s="23"/>
      <c r="ID126" s="23"/>
      <c r="IE126" s="23"/>
      <c r="IF126" s="23"/>
      <c r="IG126" s="23"/>
    </row>
    <row r="127" spans="1:241" s="33" customFormat="1" ht="16.5" customHeight="1" x14ac:dyDescent="0.25">
      <c r="A127" s="47">
        <v>110</v>
      </c>
      <c r="B127" s="43" t="s">
        <v>127</v>
      </c>
      <c r="C127" s="43" t="s">
        <v>23</v>
      </c>
      <c r="D127" s="65">
        <v>685789489.29999995</v>
      </c>
      <c r="E127" s="65"/>
      <c r="F127" s="65">
        <v>463509002.01999998</v>
      </c>
      <c r="G127" s="65">
        <v>311509304.97000003</v>
      </c>
      <c r="H127" s="98"/>
      <c r="I127" s="99">
        <v>1529301.59</v>
      </c>
      <c r="J127" s="99">
        <v>1462364097.8800001</v>
      </c>
      <c r="K127" s="99">
        <v>8215659.2999999998</v>
      </c>
      <c r="L127" s="65">
        <v>2409860.1</v>
      </c>
      <c r="M127" s="52">
        <v>-22054003.25</v>
      </c>
      <c r="N127" s="65">
        <v>1496812596.4000001</v>
      </c>
      <c r="O127" s="65">
        <v>6019533.8499999996</v>
      </c>
      <c r="P127" s="88">
        <v>1550068922.54</v>
      </c>
      <c r="Q127" s="55">
        <f t="shared" si="57"/>
        <v>1.0443228794141481E-3</v>
      </c>
      <c r="R127" s="88">
        <v>1490793062.55</v>
      </c>
      <c r="S127" s="55">
        <f t="shared" si="59"/>
        <v>5.3007510039748497E-2</v>
      </c>
      <c r="T127" s="56">
        <f t="shared" si="60"/>
        <v>-3.8240789895244404E-2</v>
      </c>
      <c r="U127" s="57">
        <f t="shared" si="61"/>
        <v>1.6164953812422074E-3</v>
      </c>
      <c r="V127" s="58">
        <f t="shared" si="62"/>
        <v>-1.479347053861161E-2</v>
      </c>
      <c r="W127" s="59">
        <f t="shared" si="63"/>
        <v>3461.0656109469733</v>
      </c>
      <c r="X127" s="59">
        <f t="shared" si="64"/>
        <v>-51.201172147745844</v>
      </c>
      <c r="Y127" s="65">
        <v>3439.97</v>
      </c>
      <c r="Z127" s="65">
        <v>3472.61</v>
      </c>
      <c r="AA127" s="64">
        <v>1389</v>
      </c>
      <c r="AB127" s="64">
        <v>439822.61</v>
      </c>
      <c r="AC127" s="64">
        <v>4841.79</v>
      </c>
      <c r="AD127" s="64">
        <v>13932.01</v>
      </c>
      <c r="AE127" s="65">
        <v>430732.39</v>
      </c>
      <c r="AF127" s="32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  <c r="HQ127" s="23"/>
      <c r="HR127" s="23"/>
      <c r="HS127" s="23"/>
      <c r="HT127" s="23"/>
      <c r="HU127" s="23"/>
      <c r="HV127" s="23"/>
      <c r="HW127" s="23"/>
      <c r="HX127" s="23"/>
      <c r="HY127" s="23"/>
      <c r="HZ127" s="23"/>
      <c r="IA127" s="23"/>
      <c r="IB127" s="23"/>
      <c r="IC127" s="23"/>
      <c r="ID127" s="23"/>
      <c r="IE127" s="23"/>
      <c r="IF127" s="23"/>
      <c r="IG127" s="23"/>
    </row>
    <row r="128" spans="1:241" ht="16.5" customHeight="1" x14ac:dyDescent="0.25">
      <c r="A128" s="47">
        <v>111</v>
      </c>
      <c r="B128" s="43" t="s">
        <v>128</v>
      </c>
      <c r="C128" s="43" t="s">
        <v>33</v>
      </c>
      <c r="D128" s="65">
        <v>426959777.69999999</v>
      </c>
      <c r="E128" s="65"/>
      <c r="F128" s="65">
        <v>9887866</v>
      </c>
      <c r="G128" s="65">
        <v>296975424</v>
      </c>
      <c r="H128" s="98"/>
      <c r="I128" s="99"/>
      <c r="J128" s="99">
        <v>733823067</v>
      </c>
      <c r="K128" s="99">
        <v>7174160</v>
      </c>
      <c r="L128" s="99">
        <v>1993564</v>
      </c>
      <c r="M128" s="52">
        <v>-16680726</v>
      </c>
      <c r="N128" s="65">
        <v>1095827233</v>
      </c>
      <c r="O128" s="65">
        <v>19984108</v>
      </c>
      <c r="P128" s="88">
        <v>1037079465.48</v>
      </c>
      <c r="Q128" s="55">
        <f t="shared" si="57"/>
        <v>6.9870816569668427E-4</v>
      </c>
      <c r="R128" s="88">
        <v>1016892308.79</v>
      </c>
      <c r="S128" s="55">
        <f t="shared" si="59"/>
        <v>3.6157217672671514E-2</v>
      </c>
      <c r="T128" s="56">
        <f t="shared" si="60"/>
        <v>-1.946539041794321E-2</v>
      </c>
      <c r="U128" s="57">
        <f t="shared" si="61"/>
        <v>1.9604475152065429E-3</v>
      </c>
      <c r="V128" s="58">
        <f t="shared" si="62"/>
        <v>-1.640363080319527E-2</v>
      </c>
      <c r="W128" s="59">
        <f t="shared" si="63"/>
        <v>1.3199779091348685</v>
      </c>
      <c r="X128" s="59">
        <f t="shared" si="64"/>
        <v>-2.1652430289822014E-2</v>
      </c>
      <c r="Y128" s="65">
        <v>1.32</v>
      </c>
      <c r="Z128" s="65">
        <v>1.34</v>
      </c>
      <c r="AA128" s="64">
        <v>1325</v>
      </c>
      <c r="AB128" s="64">
        <v>770107676</v>
      </c>
      <c r="AC128" s="64">
        <v>1059000</v>
      </c>
      <c r="AD128" s="64">
        <v>780823</v>
      </c>
      <c r="AE128" s="65">
        <v>770385854</v>
      </c>
      <c r="AF128" s="5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  <c r="HP128" s="17"/>
      <c r="HQ128" s="17"/>
      <c r="HR128" s="17"/>
      <c r="HS128" s="17"/>
      <c r="HT128" s="17"/>
      <c r="HU128" s="17"/>
      <c r="HV128" s="17"/>
      <c r="HW128" s="17"/>
      <c r="HX128" s="17"/>
      <c r="HY128" s="17"/>
      <c r="HZ128" s="17"/>
      <c r="IA128" s="17"/>
      <c r="IB128" s="17"/>
      <c r="IC128" s="17"/>
      <c r="ID128" s="17"/>
      <c r="IE128" s="17"/>
      <c r="IF128" s="17"/>
      <c r="IG128" s="17"/>
    </row>
    <row r="129" spans="1:241" ht="16.5" customHeight="1" x14ac:dyDescent="0.25">
      <c r="A129" s="47">
        <v>112</v>
      </c>
      <c r="B129" s="93" t="s">
        <v>132</v>
      </c>
      <c r="C129" s="43" t="s">
        <v>84</v>
      </c>
      <c r="D129" s="65">
        <v>2588583324.25</v>
      </c>
      <c r="E129" s="65"/>
      <c r="F129" s="65">
        <v>282961501.75999999</v>
      </c>
      <c r="G129" s="65">
        <v>1005807311.73</v>
      </c>
      <c r="H129" s="98"/>
      <c r="I129" s="86"/>
      <c r="J129" s="99">
        <v>3877573624.23</v>
      </c>
      <c r="K129" s="99">
        <v>17914246.960000001</v>
      </c>
      <c r="L129" s="65">
        <v>6345227.25</v>
      </c>
      <c r="M129" s="52">
        <v>66568845.530000001</v>
      </c>
      <c r="N129" s="65">
        <v>4640700137.4300003</v>
      </c>
      <c r="O129" s="65">
        <v>10446200.289999999</v>
      </c>
      <c r="P129" s="88">
        <v>4710203291.3699999</v>
      </c>
      <c r="Q129" s="55">
        <f t="shared" si="57"/>
        <v>3.1733899005013957E-3</v>
      </c>
      <c r="R129" s="88">
        <v>4630253937.1400003</v>
      </c>
      <c r="S129" s="55">
        <f t="shared" si="59"/>
        <v>0.16463601704700165</v>
      </c>
      <c r="T129" s="56">
        <f t="shared" si="60"/>
        <v>-1.6973652575990119E-2</v>
      </c>
      <c r="U129" s="57">
        <f t="shared" si="61"/>
        <v>1.3703842890999836E-3</v>
      </c>
      <c r="V129" s="58">
        <f t="shared" si="62"/>
        <v>1.4376931899142884E-2</v>
      </c>
      <c r="W129" s="59">
        <f t="shared" si="63"/>
        <v>186.72064534939264</v>
      </c>
      <c r="X129" s="59">
        <f t="shared" si="64"/>
        <v>2.6844700023522283</v>
      </c>
      <c r="Y129" s="65">
        <v>184.52850000000001</v>
      </c>
      <c r="Z129" s="65">
        <v>188.12989999999999</v>
      </c>
      <c r="AA129" s="64">
        <v>27</v>
      </c>
      <c r="AB129" s="64">
        <v>24797761</v>
      </c>
      <c r="AC129" s="65"/>
      <c r="AD129" s="65"/>
      <c r="AE129" s="65">
        <v>24797761</v>
      </c>
      <c r="AF129" s="5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  <c r="FQ129" s="17"/>
      <c r="FR129" s="17"/>
      <c r="FS129" s="17"/>
      <c r="FT129" s="17"/>
      <c r="FU129" s="17"/>
      <c r="FV129" s="17"/>
      <c r="FW129" s="17"/>
      <c r="FX129" s="17"/>
      <c r="FY129" s="17"/>
      <c r="FZ129" s="17"/>
      <c r="GA129" s="17"/>
      <c r="GB129" s="17"/>
      <c r="GC129" s="17"/>
      <c r="GD129" s="17"/>
      <c r="GE129" s="17"/>
      <c r="GF129" s="17"/>
      <c r="GG129" s="17"/>
      <c r="GH129" s="17"/>
      <c r="GI129" s="17"/>
      <c r="GJ129" s="17"/>
      <c r="GK129" s="17"/>
      <c r="GL129" s="17"/>
      <c r="GM129" s="17"/>
      <c r="GN129" s="17"/>
      <c r="GO129" s="17"/>
      <c r="GP129" s="17"/>
      <c r="GQ129" s="17"/>
      <c r="GR129" s="17"/>
      <c r="GS129" s="17"/>
      <c r="GT129" s="17"/>
      <c r="GU129" s="17"/>
      <c r="GV129" s="17"/>
      <c r="GW129" s="17"/>
      <c r="GX129" s="17"/>
      <c r="GY129" s="17"/>
      <c r="GZ129" s="17"/>
      <c r="HA129" s="17"/>
      <c r="HB129" s="17"/>
      <c r="HC129" s="17"/>
      <c r="HD129" s="17"/>
      <c r="HE129" s="17"/>
      <c r="HF129" s="17"/>
      <c r="HG129" s="17"/>
      <c r="HH129" s="17"/>
      <c r="HI129" s="17"/>
      <c r="HJ129" s="17"/>
      <c r="HK129" s="17"/>
      <c r="HL129" s="17"/>
      <c r="HM129" s="17"/>
      <c r="HN129" s="17"/>
      <c r="HO129" s="17"/>
      <c r="HP129" s="17"/>
      <c r="HQ129" s="17"/>
      <c r="HR129" s="17"/>
      <c r="HS129" s="17"/>
      <c r="HT129" s="17"/>
      <c r="HU129" s="17"/>
      <c r="HV129" s="17"/>
      <c r="HW129" s="17"/>
      <c r="HX129" s="17"/>
      <c r="HY129" s="17"/>
      <c r="HZ129" s="17"/>
      <c r="IA129" s="17"/>
      <c r="IB129" s="17"/>
      <c r="IC129" s="17"/>
      <c r="ID129" s="17"/>
      <c r="IE129" s="17"/>
      <c r="IF129" s="17"/>
      <c r="IG129" s="17"/>
    </row>
    <row r="130" spans="1:241" s="33" customFormat="1" ht="17.25" customHeight="1" x14ac:dyDescent="0.25">
      <c r="A130" s="47">
        <v>113</v>
      </c>
      <c r="B130" s="82" t="s">
        <v>136</v>
      </c>
      <c r="C130" s="44" t="s">
        <v>44</v>
      </c>
      <c r="D130" s="65">
        <v>830425503.64999998</v>
      </c>
      <c r="E130" s="65"/>
      <c r="F130" s="65">
        <v>779015352.32000005</v>
      </c>
      <c r="G130" s="65">
        <v>500500742.77999997</v>
      </c>
      <c r="H130" s="53"/>
      <c r="I130" s="99"/>
      <c r="J130" s="99">
        <v>2109941598.76</v>
      </c>
      <c r="K130" s="99">
        <v>17807692.210000001</v>
      </c>
      <c r="L130" s="65">
        <v>5682441.9299999997</v>
      </c>
      <c r="M130" s="52">
        <v>-35299694.469999999</v>
      </c>
      <c r="N130" s="65">
        <v>2116295502.04</v>
      </c>
      <c r="O130" s="65">
        <v>71943.02</v>
      </c>
      <c r="P130" s="88">
        <v>2154075798.4699998</v>
      </c>
      <c r="Q130" s="55">
        <f t="shared" si="57"/>
        <v>1.4512584618807298E-3</v>
      </c>
      <c r="R130" s="88">
        <v>2116223559.01</v>
      </c>
      <c r="S130" s="55">
        <f t="shared" si="59"/>
        <v>7.5245682562205096E-2</v>
      </c>
      <c r="T130" s="56">
        <f t="shared" si="60"/>
        <v>-1.7572380455175042E-2</v>
      </c>
      <c r="U130" s="57">
        <f t="shared" si="61"/>
        <v>2.6851803562088347E-3</v>
      </c>
      <c r="V130" s="58">
        <f t="shared" si="62"/>
        <v>-1.6680512944725796E-2</v>
      </c>
      <c r="W130" s="59">
        <f t="shared" si="63"/>
        <v>2.6596810907973456</v>
      </c>
      <c r="X130" s="59">
        <f t="shared" si="64"/>
        <v>-4.4364844863887552E-2</v>
      </c>
      <c r="Y130" s="65">
        <v>2.89</v>
      </c>
      <c r="Z130" s="65">
        <v>2.93</v>
      </c>
      <c r="AA130" s="64">
        <v>2177</v>
      </c>
      <c r="AB130" s="65">
        <v>798877189.99000001</v>
      </c>
      <c r="AC130" s="64">
        <v>2694000</v>
      </c>
      <c r="AD130" s="64">
        <v>5903030.25</v>
      </c>
      <c r="AE130" s="65">
        <v>795668159.74000001</v>
      </c>
      <c r="AF130" s="32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  <c r="HQ130" s="23"/>
      <c r="HR130" s="23"/>
      <c r="HS130" s="23"/>
      <c r="HT130" s="23"/>
      <c r="HU130" s="23"/>
      <c r="HV130" s="23"/>
      <c r="HW130" s="23"/>
      <c r="HX130" s="23"/>
      <c r="HY130" s="23"/>
      <c r="HZ130" s="23"/>
      <c r="IA130" s="23"/>
      <c r="IB130" s="23"/>
      <c r="IC130" s="23"/>
      <c r="ID130" s="23"/>
      <c r="IE130" s="23"/>
      <c r="IF130" s="23"/>
      <c r="IG130" s="23"/>
    </row>
    <row r="131" spans="1:241" ht="15.75" customHeight="1" x14ac:dyDescent="0.25">
      <c r="A131" s="47">
        <v>114</v>
      </c>
      <c r="B131" s="43" t="s">
        <v>199</v>
      </c>
      <c r="C131" s="43" t="s">
        <v>33</v>
      </c>
      <c r="D131" s="65">
        <v>220514252</v>
      </c>
      <c r="E131" s="65"/>
      <c r="F131" s="65">
        <v>9886646</v>
      </c>
      <c r="G131" s="65"/>
      <c r="H131" s="98"/>
      <c r="I131" s="86"/>
      <c r="J131" s="99">
        <v>230400898.22</v>
      </c>
      <c r="K131" s="99">
        <v>5386234.1399999997</v>
      </c>
      <c r="L131" s="65">
        <v>1199865</v>
      </c>
      <c r="M131" s="52">
        <v>13978912</v>
      </c>
      <c r="N131" s="65">
        <v>641321361</v>
      </c>
      <c r="O131" s="65">
        <v>19777375</v>
      </c>
      <c r="P131" s="88">
        <v>628843992</v>
      </c>
      <c r="Q131" s="55">
        <f t="shared" si="57"/>
        <v>4.2366901166666075E-4</v>
      </c>
      <c r="R131" s="88">
        <v>621543986</v>
      </c>
      <c r="S131" s="55">
        <f t="shared" si="59"/>
        <v>2.2099981483469845E-2</v>
      </c>
      <c r="T131" s="56">
        <f t="shared" si="60"/>
        <v>-1.1608612140481419E-2</v>
      </c>
      <c r="U131" s="57">
        <f t="shared" si="61"/>
        <v>1.9304587077124417E-3</v>
      </c>
      <c r="V131" s="58">
        <f t="shared" si="62"/>
        <v>2.2490623857472254E-2</v>
      </c>
      <c r="W131" s="59">
        <f t="shared" si="63"/>
        <v>1.1234608597713784</v>
      </c>
      <c r="X131" s="59">
        <f t="shared" si="64"/>
        <v>2.5267335615710453E-2</v>
      </c>
      <c r="Y131" s="65">
        <v>1.1200000000000001</v>
      </c>
      <c r="Z131" s="65">
        <v>1.1399999999999999</v>
      </c>
      <c r="AA131" s="64">
        <v>100</v>
      </c>
      <c r="AB131" s="64">
        <v>553410371</v>
      </c>
      <c r="AC131" s="64">
        <v>3498304</v>
      </c>
      <c r="AD131" s="64">
        <v>3668230</v>
      </c>
      <c r="AE131" s="65">
        <v>553240445</v>
      </c>
      <c r="AF131" s="37"/>
    </row>
    <row r="132" spans="1:241" ht="15.75" customHeight="1" x14ac:dyDescent="0.25">
      <c r="A132" s="47">
        <v>115</v>
      </c>
      <c r="B132" s="43" t="s">
        <v>168</v>
      </c>
      <c r="C132" s="43" t="s">
        <v>29</v>
      </c>
      <c r="D132" s="65">
        <v>99426714.75</v>
      </c>
      <c r="E132" s="65"/>
      <c r="F132" s="65">
        <v>31793004.719999999</v>
      </c>
      <c r="G132" s="65">
        <v>53957331.5</v>
      </c>
      <c r="H132" s="98"/>
      <c r="I132" s="99"/>
      <c r="J132" s="99">
        <v>190638748.34</v>
      </c>
      <c r="K132" s="99">
        <v>2504553.89</v>
      </c>
      <c r="L132" s="65">
        <v>541434.80000000005</v>
      </c>
      <c r="M132" s="52">
        <v>1963119.09</v>
      </c>
      <c r="N132" s="65">
        <v>186107922.65000001</v>
      </c>
      <c r="O132" s="65">
        <v>2267613.7000000002</v>
      </c>
      <c r="P132" s="88">
        <v>188893074.16999999</v>
      </c>
      <c r="Q132" s="55">
        <f t="shared" si="57"/>
        <v>1.2726231475911301E-4</v>
      </c>
      <c r="R132" s="88">
        <v>185585983.13</v>
      </c>
      <c r="S132" s="55">
        <f t="shared" si="59"/>
        <v>6.5988037582983654E-3</v>
      </c>
      <c r="T132" s="56">
        <f t="shared" si="60"/>
        <v>-1.7507741109786142E-2</v>
      </c>
      <c r="U132" s="57">
        <f t="shared" si="61"/>
        <v>2.917433692288785E-3</v>
      </c>
      <c r="V132" s="58">
        <f t="shared" si="62"/>
        <v>1.057794913651893E-2</v>
      </c>
      <c r="W132" s="59">
        <f t="shared" si="63"/>
        <v>142.56872249237551</v>
      </c>
      <c r="X132" s="59">
        <f t="shared" si="64"/>
        <v>1.5080846949828306</v>
      </c>
      <c r="Y132" s="65">
        <v>142.81</v>
      </c>
      <c r="Z132" s="65">
        <v>144.47999999999999</v>
      </c>
      <c r="AA132" s="64">
        <v>724</v>
      </c>
      <c r="AB132" s="64">
        <v>1301730</v>
      </c>
      <c r="AC132" s="64"/>
      <c r="AD132" s="64">
        <v>0</v>
      </c>
      <c r="AE132" s="65">
        <v>1301730</v>
      </c>
      <c r="AF132" s="37"/>
    </row>
    <row r="133" spans="1:241" ht="15.75" customHeight="1" x14ac:dyDescent="0.25">
      <c r="A133" s="47">
        <v>116</v>
      </c>
      <c r="B133" s="43" t="s">
        <v>196</v>
      </c>
      <c r="C133" s="43" t="s">
        <v>71</v>
      </c>
      <c r="D133" s="65">
        <v>996463036.29999995</v>
      </c>
      <c r="E133" s="65"/>
      <c r="F133" s="65">
        <v>409059815.01999998</v>
      </c>
      <c r="G133" s="65">
        <v>1017172146.8</v>
      </c>
      <c r="H133" s="65"/>
      <c r="I133" s="65"/>
      <c r="J133" s="65">
        <v>2422694998.1199999</v>
      </c>
      <c r="K133" s="65">
        <v>13263830.119999999</v>
      </c>
      <c r="L133" s="65">
        <v>16428412.5</v>
      </c>
      <c r="M133" s="52">
        <v>-41116279.43</v>
      </c>
      <c r="N133" s="65">
        <v>2445616572.3800001</v>
      </c>
      <c r="O133" s="65">
        <v>16428412.58</v>
      </c>
      <c r="P133" s="88">
        <v>2524734454.6300001</v>
      </c>
      <c r="Q133" s="55">
        <f t="shared" si="57"/>
        <v>1.7009811093398469E-3</v>
      </c>
      <c r="R133" s="88">
        <v>2429188159.8000002</v>
      </c>
      <c r="S133" s="55">
        <f t="shared" si="59"/>
        <v>8.6373634948893524E-2</v>
      </c>
      <c r="T133" s="56">
        <f t="shared" si="60"/>
        <v>-3.7844096694914488E-2</v>
      </c>
      <c r="U133" s="57">
        <f t="shared" si="61"/>
        <v>6.7629230093697573E-3</v>
      </c>
      <c r="V133" s="58">
        <f t="shared" si="62"/>
        <v>-1.6925934396693744E-2</v>
      </c>
      <c r="W133" s="59">
        <f t="shared" si="63"/>
        <v>13.30946917915835</v>
      </c>
      <c r="X133" s="59">
        <f t="shared" si="64"/>
        <v>-0.22527520218125155</v>
      </c>
      <c r="Y133" s="65">
        <v>13.3096</v>
      </c>
      <c r="Z133" s="65">
        <v>13.423999999999999</v>
      </c>
      <c r="AA133" s="64">
        <v>6340</v>
      </c>
      <c r="AB133" s="65">
        <v>187270955.22</v>
      </c>
      <c r="AC133" s="64"/>
      <c r="AD133" s="64">
        <v>4755174.38</v>
      </c>
      <c r="AE133" s="65">
        <v>182515780.84</v>
      </c>
      <c r="AF133" s="37"/>
    </row>
    <row r="134" spans="1:241" ht="15.75" customHeight="1" x14ac:dyDescent="0.25">
      <c r="A134" s="121"/>
      <c r="B134" s="23"/>
      <c r="C134" s="122" t="s">
        <v>50</v>
      </c>
      <c r="D134" s="74">
        <f>SUM(D111:D133)</f>
        <v>13164186302.499998</v>
      </c>
      <c r="E134" s="74"/>
      <c r="F134" s="74">
        <f>SUM(F111:F133)</f>
        <v>6430881368.9500008</v>
      </c>
      <c r="G134" s="74">
        <f>SUM(G111:G133)</f>
        <v>6818826632.0599995</v>
      </c>
      <c r="H134" s="74">
        <f>SUM(H111:H133)</f>
        <v>26464979.509999998</v>
      </c>
      <c r="I134" s="74"/>
      <c r="J134" s="74">
        <f t="shared" ref="J134:P134" si="65">SUM(J111:J133)</f>
        <v>26747148138.049995</v>
      </c>
      <c r="K134" s="74">
        <f t="shared" si="65"/>
        <v>185262343.34</v>
      </c>
      <c r="L134" s="74">
        <f t="shared" si="65"/>
        <v>75965578.270000011</v>
      </c>
      <c r="M134" s="74">
        <f t="shared" si="65"/>
        <v>-331970516.68000007</v>
      </c>
      <c r="N134" s="74">
        <f t="shared" si="65"/>
        <v>29730860917.420006</v>
      </c>
      <c r="O134" s="74">
        <f t="shared" si="65"/>
        <v>1743060330.9099998</v>
      </c>
      <c r="P134" s="95">
        <f t="shared" si="65"/>
        <v>29871368566.829998</v>
      </c>
      <c r="Q134" s="76">
        <f t="shared" si="57"/>
        <v>2.0125139714842696E-2</v>
      </c>
      <c r="R134" s="95">
        <f>SUM(R111:R133)</f>
        <v>28124185826.349998</v>
      </c>
      <c r="S134" s="76">
        <f>(R134/$R$153)</f>
        <v>2.0460791247545542E-2</v>
      </c>
      <c r="T134" s="77">
        <f t="shared" ref="T127:T134" si="66">((R134-P134)/P134)</f>
        <v>-5.8490214017851198E-2</v>
      </c>
      <c r="U134" s="78"/>
      <c r="V134" s="79"/>
      <c r="W134" s="80"/>
      <c r="X134" s="80"/>
      <c r="Y134" s="74"/>
      <c r="Z134" s="74"/>
      <c r="AA134" s="81">
        <f>SUM(AA111:AA133)</f>
        <v>47394</v>
      </c>
      <c r="AB134" s="81"/>
      <c r="AC134" s="81"/>
      <c r="AD134" s="81"/>
      <c r="AE134" s="136"/>
      <c r="AF134" s="37"/>
    </row>
    <row r="135" spans="1:241" ht="15.75" customHeight="1" x14ac:dyDescent="0.25">
      <c r="A135" s="152" t="s">
        <v>139</v>
      </c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  <c r="Z135" s="153"/>
      <c r="AA135" s="153"/>
      <c r="AB135" s="153"/>
      <c r="AC135" s="153"/>
      <c r="AD135" s="153"/>
      <c r="AE135" s="154"/>
      <c r="AF135" s="37"/>
    </row>
    <row r="136" spans="1:241" ht="15.75" customHeight="1" x14ac:dyDescent="0.25">
      <c r="A136" s="47">
        <v>117</v>
      </c>
      <c r="B136" s="44" t="s">
        <v>141</v>
      </c>
      <c r="C136" s="44" t="s">
        <v>35</v>
      </c>
      <c r="D136" s="65">
        <v>223865627.65000001</v>
      </c>
      <c r="E136" s="65"/>
      <c r="F136" s="83"/>
      <c r="G136" s="65">
        <v>150490471.77000001</v>
      </c>
      <c r="H136" s="131">
        <v>620940.35</v>
      </c>
      <c r="I136" s="65"/>
      <c r="J136" s="65">
        <v>374977039.76999998</v>
      </c>
      <c r="K136" s="65">
        <v>4807379.21</v>
      </c>
      <c r="L136" s="53">
        <v>1456082.03</v>
      </c>
      <c r="M136" s="52">
        <v>-16346206.49</v>
      </c>
      <c r="N136" s="65">
        <v>549185854</v>
      </c>
      <c r="O136" s="65">
        <v>6265671</v>
      </c>
      <c r="P136" s="69">
        <v>599041869</v>
      </c>
      <c r="Q136" s="55">
        <f>(P136/$P$139)</f>
        <v>0.20544301423764055</v>
      </c>
      <c r="R136" s="69">
        <v>542920184</v>
      </c>
      <c r="S136" s="55">
        <f>(R136/$R$139)</f>
        <v>0.19438019904218687</v>
      </c>
      <c r="T136" s="56">
        <f>((R136-P136)/P136)</f>
        <v>-9.3685747030813962E-2</v>
      </c>
      <c r="U136" s="57">
        <f t="shared" ref="U136:U152" si="67">(L136/R136)</f>
        <v>2.6819449210236032E-3</v>
      </c>
      <c r="V136" s="58">
        <f>M136/R136</f>
        <v>-3.0107936620753815E-2</v>
      </c>
      <c r="W136" s="59">
        <f>R136/AE136</f>
        <v>41.227169585518709</v>
      </c>
      <c r="X136" s="59">
        <f>M136/AE136</f>
        <v>-1.2412650089338666</v>
      </c>
      <c r="Y136" s="65">
        <v>41.021099999999997</v>
      </c>
      <c r="Z136" s="65">
        <v>42.257899999999999</v>
      </c>
      <c r="AA136" s="64">
        <v>210</v>
      </c>
      <c r="AB136" s="64">
        <v>13162092</v>
      </c>
      <c r="AC136" s="64">
        <v>67376</v>
      </c>
      <c r="AD136" s="64">
        <v>60478</v>
      </c>
      <c r="AE136" s="65">
        <v>13168990</v>
      </c>
      <c r="AF136" s="37"/>
    </row>
    <row r="137" spans="1:241" ht="15.75" customHeight="1" x14ac:dyDescent="0.25">
      <c r="A137" s="47">
        <v>118</v>
      </c>
      <c r="B137" s="44" t="s">
        <v>140</v>
      </c>
      <c r="C137" s="43" t="s">
        <v>23</v>
      </c>
      <c r="D137" s="65">
        <v>1098055404.45</v>
      </c>
      <c r="E137" s="65"/>
      <c r="F137" s="65">
        <v>582013465.70000005</v>
      </c>
      <c r="G137" s="65">
        <v>10879645.76</v>
      </c>
      <c r="H137" s="98"/>
      <c r="I137" s="65"/>
      <c r="J137" s="65">
        <v>1690948515.9100001</v>
      </c>
      <c r="K137" s="65">
        <v>6668967.5499999998</v>
      </c>
      <c r="L137" s="65">
        <v>4719751.24</v>
      </c>
      <c r="M137" s="52">
        <v>-51113806.140000001</v>
      </c>
      <c r="N137" s="65">
        <v>1696660457.0899999</v>
      </c>
      <c r="O137" s="65">
        <v>9811415.3900000006</v>
      </c>
      <c r="P137" s="69">
        <v>1741422004.73</v>
      </c>
      <c r="Q137" s="55">
        <f>(P137/$P$139)</f>
        <v>0.59722534304440411</v>
      </c>
      <c r="R137" s="69">
        <v>1686849041.7</v>
      </c>
      <c r="S137" s="55">
        <f>(R137/$R$139)</f>
        <v>0.60393785706034497</v>
      </c>
      <c r="T137" s="56">
        <f>((R137-P137)/P137)</f>
        <v>-3.1338160929269568E-2</v>
      </c>
      <c r="U137" s="57">
        <f t="shared" si="67"/>
        <v>2.797968948806144E-3</v>
      </c>
      <c r="V137" s="58">
        <f>M137/R137</f>
        <v>-3.0301351737134521E-2</v>
      </c>
      <c r="W137" s="59">
        <f>R137/AE137</f>
        <v>1.3443329165726361</v>
      </c>
      <c r="X137" s="59">
        <f>M137/AE137</f>
        <v>-4.0735104556875359E-2</v>
      </c>
      <c r="Y137" s="65">
        <v>1.33</v>
      </c>
      <c r="Z137" s="65">
        <v>1.35</v>
      </c>
      <c r="AA137" s="64">
        <v>9504</v>
      </c>
      <c r="AB137" s="64">
        <v>1256804365.6199999</v>
      </c>
      <c r="AC137" s="64">
        <v>1510413.38</v>
      </c>
      <c r="AD137" s="64">
        <v>3529583.38</v>
      </c>
      <c r="AE137" s="50">
        <v>1254785195.6199999</v>
      </c>
      <c r="AF137" s="37"/>
    </row>
    <row r="138" spans="1:241" ht="15.75" customHeight="1" x14ac:dyDescent="0.25">
      <c r="A138" s="47">
        <v>119</v>
      </c>
      <c r="B138" s="44" t="s">
        <v>195</v>
      </c>
      <c r="C138" s="43" t="s">
        <v>71</v>
      </c>
      <c r="D138" s="65">
        <v>243416376.94999999</v>
      </c>
      <c r="E138" s="65"/>
      <c r="F138" s="65">
        <v>68533995.650000006</v>
      </c>
      <c r="G138" s="65">
        <v>250599087.41999999</v>
      </c>
      <c r="H138" s="53"/>
      <c r="I138" s="65"/>
      <c r="J138" s="65">
        <v>562549460.01999998</v>
      </c>
      <c r="K138" s="65">
        <v>3233106.79</v>
      </c>
      <c r="L138" s="53">
        <v>3960872.69</v>
      </c>
      <c r="M138" s="52">
        <v>-13558683.15</v>
      </c>
      <c r="N138" s="65">
        <v>567275441.92999995</v>
      </c>
      <c r="O138" s="65">
        <v>3960872.7</v>
      </c>
      <c r="P138" s="69">
        <v>575390292.55999994</v>
      </c>
      <c r="Q138" s="55">
        <f>(P138/$P$139)</f>
        <v>0.19733164271795539</v>
      </c>
      <c r="R138" s="69">
        <v>563314569.23000002</v>
      </c>
      <c r="S138" s="55">
        <f>(R138/$R$139)</f>
        <v>0.20168194389746827</v>
      </c>
      <c r="T138" s="56">
        <f>((R138-P138)/P138)</f>
        <v>-2.0987012617597653E-2</v>
      </c>
      <c r="U138" s="57">
        <f t="shared" si="67"/>
        <v>7.0313691609541614E-3</v>
      </c>
      <c r="V138" s="58">
        <f>M138/R138</f>
        <v>-2.4069470045011424E-2</v>
      </c>
      <c r="W138" s="59">
        <f>R138/AE138</f>
        <v>15.169386221815104</v>
      </c>
      <c r="X138" s="59">
        <f>M138/AE138</f>
        <v>-0.36511908726718767</v>
      </c>
      <c r="Y138" s="65">
        <v>15.169499999999999</v>
      </c>
      <c r="Z138" s="65">
        <v>15.306900000000001</v>
      </c>
      <c r="AA138" s="64">
        <v>1521</v>
      </c>
      <c r="AB138" s="64">
        <v>37175820.200000003</v>
      </c>
      <c r="AC138" s="64"/>
      <c r="AD138" s="64">
        <v>40858.97</v>
      </c>
      <c r="AE138" s="65">
        <v>37134961.229999997</v>
      </c>
      <c r="AF138" s="37"/>
    </row>
    <row r="139" spans="1:241" ht="15" customHeight="1" x14ac:dyDescent="0.25">
      <c r="A139" s="137"/>
      <c r="B139" s="23"/>
      <c r="C139" s="122" t="s">
        <v>50</v>
      </c>
      <c r="D139" s="74">
        <f>SUM(D136:D138)</f>
        <v>1565337409.0500002</v>
      </c>
      <c r="E139" s="74"/>
      <c r="F139" s="74">
        <f>SUM(F136:F138)</f>
        <v>650547461.35000002</v>
      </c>
      <c r="G139" s="74">
        <f>SUM(G136:G138)</f>
        <v>411969204.94999999</v>
      </c>
      <c r="H139" s="74">
        <f>SUM(H136:H138)</f>
        <v>620940.35</v>
      </c>
      <c r="I139" s="74"/>
      <c r="J139" s="74">
        <f t="shared" ref="J139:P139" si="68">SUM(J136:J138)</f>
        <v>2628475015.6999998</v>
      </c>
      <c r="K139" s="74">
        <f t="shared" si="68"/>
        <v>14709453.550000001</v>
      </c>
      <c r="L139" s="74">
        <f t="shared" si="68"/>
        <v>10136705.960000001</v>
      </c>
      <c r="M139" s="74">
        <f t="shared" si="68"/>
        <v>-81018695.780000001</v>
      </c>
      <c r="N139" s="74">
        <f t="shared" si="68"/>
        <v>2813121753.02</v>
      </c>
      <c r="O139" s="74">
        <f t="shared" si="68"/>
        <v>20037959.09</v>
      </c>
      <c r="P139" s="95">
        <f t="shared" si="68"/>
        <v>2915854166.29</v>
      </c>
      <c r="Q139" s="76">
        <f>(P139/$P$153)</f>
        <v>1.9644889169843564E-3</v>
      </c>
      <c r="R139" s="96">
        <f>SUM(R136:R138)</f>
        <v>2793083794.9299998</v>
      </c>
      <c r="S139" s="76">
        <f>(R139/$R$153)</f>
        <v>2.0320127600430477E-3</v>
      </c>
      <c r="T139" s="77">
        <f>((R139-P139)/P139)</f>
        <v>-4.210442784805235E-2</v>
      </c>
      <c r="U139" s="78"/>
      <c r="V139" s="79"/>
      <c r="W139" s="80"/>
      <c r="X139" s="80"/>
      <c r="Y139" s="74"/>
      <c r="Z139" s="74"/>
      <c r="AA139" s="81">
        <f>SUM(AA136:AA138)</f>
        <v>11235</v>
      </c>
      <c r="AB139" s="81"/>
      <c r="AC139" s="81"/>
      <c r="AD139" s="81"/>
      <c r="AE139" s="136"/>
      <c r="AF139" s="3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  <c r="HV139" s="17"/>
      <c r="HW139" s="17"/>
      <c r="HX139" s="17"/>
      <c r="HY139" s="17"/>
      <c r="HZ139" s="17"/>
      <c r="IA139" s="17"/>
      <c r="IB139" s="17"/>
      <c r="IC139" s="17"/>
      <c r="ID139" s="17"/>
      <c r="IE139" s="17"/>
      <c r="IF139" s="17"/>
      <c r="IG139" s="17"/>
    </row>
    <row r="140" spans="1:241" ht="15.75" customHeight="1" x14ac:dyDescent="0.25">
      <c r="A140" s="152" t="s">
        <v>174</v>
      </c>
      <c r="B140" s="153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  <c r="Z140" s="153"/>
      <c r="AA140" s="153"/>
      <c r="AB140" s="153"/>
      <c r="AC140" s="153"/>
      <c r="AD140" s="153"/>
      <c r="AE140" s="154"/>
      <c r="AF140" s="3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  <c r="IG140" s="17"/>
    </row>
    <row r="141" spans="1:241" ht="15.75" customHeight="1" x14ac:dyDescent="0.25">
      <c r="A141" s="155" t="s">
        <v>2</v>
      </c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  <c r="AA141" s="156"/>
      <c r="AB141" s="156"/>
      <c r="AC141" s="156"/>
      <c r="AD141" s="156"/>
      <c r="AE141" s="157"/>
      <c r="AF141" s="3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  <c r="HV141" s="17"/>
      <c r="HW141" s="17"/>
      <c r="HX141" s="17"/>
      <c r="HY141" s="17"/>
      <c r="HZ141" s="17"/>
      <c r="IA141" s="17"/>
      <c r="IB141" s="17"/>
      <c r="IC141" s="17"/>
      <c r="ID141" s="17"/>
      <c r="IE141" s="17"/>
      <c r="IF141" s="17"/>
      <c r="IG141" s="17"/>
    </row>
    <row r="142" spans="1:241" ht="15.75" customHeight="1" x14ac:dyDescent="0.25">
      <c r="A142" s="47">
        <v>120</v>
      </c>
      <c r="B142" s="44" t="s">
        <v>160</v>
      </c>
      <c r="C142" s="43" t="s">
        <v>105</v>
      </c>
      <c r="D142" s="53">
        <v>1311798134.5999999</v>
      </c>
      <c r="E142" s="83"/>
      <c r="F142" s="53"/>
      <c r="G142" s="65">
        <v>1014718690.61</v>
      </c>
      <c r="H142" s="65"/>
      <c r="I142" s="53">
        <f>980155273.11+1434.36</f>
        <v>980156707.47000003</v>
      </c>
      <c r="J142" s="138">
        <v>3306673532.6799998</v>
      </c>
      <c r="K142" s="99">
        <v>52709750.689999998</v>
      </c>
      <c r="L142" s="53">
        <v>11569682.470000001</v>
      </c>
      <c r="M142" s="52">
        <v>4349349.63</v>
      </c>
      <c r="N142" s="53">
        <v>3612578192.02</v>
      </c>
      <c r="O142" s="53">
        <v>303040283.85000002</v>
      </c>
      <c r="P142" s="54">
        <v>3308279994.1599998</v>
      </c>
      <c r="Q142" s="55">
        <f>(P142/$P$152)</f>
        <v>0.17236756532091335</v>
      </c>
      <c r="R142" s="54">
        <v>3309537908.1700001</v>
      </c>
      <c r="S142" s="55">
        <f>(R142/$R$152)</f>
        <v>0.16994135008628866</v>
      </c>
      <c r="T142" s="56">
        <f>((R142-P142)/P142)</f>
        <v>3.8023202758556831E-4</v>
      </c>
      <c r="U142" s="57">
        <f>(L142/R142)</f>
        <v>3.4958603862608193E-3</v>
      </c>
      <c r="V142" s="58">
        <f>M142/R142</f>
        <v>1.3141863760687245E-3</v>
      </c>
      <c r="W142" s="59">
        <f>R142/AE142</f>
        <v>1.6338514677366589</v>
      </c>
      <c r="X142" s="59">
        <f>M142/AE142</f>
        <v>2.1471853394194064E-3</v>
      </c>
      <c r="Y142" s="99">
        <v>1.62</v>
      </c>
      <c r="Z142" s="99">
        <v>1.65</v>
      </c>
      <c r="AA142" s="139">
        <v>15258</v>
      </c>
      <c r="AB142" s="99">
        <v>2026035864.24</v>
      </c>
      <c r="AC142" s="99">
        <v>1710279</v>
      </c>
      <c r="AD142" s="99">
        <v>2141017</v>
      </c>
      <c r="AE142" s="50">
        <v>2025605126</v>
      </c>
      <c r="AF142" s="3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  <c r="HP142" s="17"/>
      <c r="HQ142" s="17"/>
      <c r="HR142" s="17"/>
      <c r="HS142" s="17"/>
      <c r="HT142" s="17"/>
      <c r="HU142" s="17"/>
      <c r="HV142" s="17"/>
      <c r="HW142" s="17"/>
      <c r="HX142" s="17"/>
      <c r="HY142" s="17"/>
      <c r="HZ142" s="17"/>
      <c r="IA142" s="17"/>
      <c r="IB142" s="17"/>
      <c r="IC142" s="17"/>
      <c r="ID142" s="17"/>
      <c r="IE142" s="17"/>
      <c r="IF142" s="17"/>
      <c r="IG142" s="17"/>
    </row>
    <row r="143" spans="1:241" ht="15.75" customHeight="1" x14ac:dyDescent="0.25">
      <c r="A143" s="47">
        <v>121</v>
      </c>
      <c r="B143" s="43" t="s">
        <v>142</v>
      </c>
      <c r="C143" s="43" t="s">
        <v>23</v>
      </c>
      <c r="D143" s="50">
        <v>183981136.19999999</v>
      </c>
      <c r="E143" s="50"/>
      <c r="F143" s="50">
        <v>80972759.670000002</v>
      </c>
      <c r="G143" s="50">
        <v>20966480.66</v>
      </c>
      <c r="H143" s="50"/>
      <c r="I143" s="50"/>
      <c r="J143" s="50">
        <v>285920376.52999997</v>
      </c>
      <c r="K143" s="50">
        <v>881407.71</v>
      </c>
      <c r="L143" s="50">
        <v>730473.82</v>
      </c>
      <c r="M143" s="52">
        <v>-7581795.8099999996</v>
      </c>
      <c r="N143" s="65">
        <v>290534370.26999998</v>
      </c>
      <c r="O143" s="65">
        <v>5271415.43</v>
      </c>
      <c r="P143" s="69">
        <v>277344169.66000003</v>
      </c>
      <c r="Q143" s="55">
        <f>(P143/$P$152)</f>
        <v>1.4450149130253002E-2</v>
      </c>
      <c r="R143" s="69">
        <v>285262954.83999997</v>
      </c>
      <c r="S143" s="55">
        <f>(R143/$R$152)</f>
        <v>1.4647957817748445E-2</v>
      </c>
      <c r="T143" s="56">
        <f>((R143-P143)/P143)</f>
        <v>2.8552196318774949E-2</v>
      </c>
      <c r="U143" s="57">
        <f t="shared" si="67"/>
        <v>2.5607034057742008E-3</v>
      </c>
      <c r="V143" s="58">
        <f>M143/R143</f>
        <v>-2.6578269913289383E-2</v>
      </c>
      <c r="W143" s="59">
        <f>R143/AE143</f>
        <v>251.47087679879459</v>
      </c>
      <c r="X143" s="59">
        <f>M143/AE143</f>
        <v>-6.6836608388899039</v>
      </c>
      <c r="Y143" s="65">
        <v>249.32</v>
      </c>
      <c r="Z143" s="65">
        <v>252.65</v>
      </c>
      <c r="AA143" s="64">
        <v>501</v>
      </c>
      <c r="AB143" s="64">
        <v>1076576.77</v>
      </c>
      <c r="AC143" s="64">
        <v>78074.13</v>
      </c>
      <c r="AD143" s="64">
        <v>20273.2</v>
      </c>
      <c r="AE143" s="50">
        <v>1134377.7</v>
      </c>
      <c r="AF143" s="37"/>
    </row>
    <row r="144" spans="1:241" ht="4.5" customHeight="1" x14ac:dyDescent="0.25">
      <c r="A144" s="114"/>
      <c r="B144" s="115"/>
      <c r="C144" s="115"/>
      <c r="D144" s="50"/>
      <c r="E144" s="50"/>
      <c r="F144" s="50"/>
      <c r="G144" s="50"/>
      <c r="H144" s="50"/>
      <c r="I144" s="50"/>
      <c r="J144" s="50"/>
      <c r="K144" s="50"/>
      <c r="L144" s="50"/>
      <c r="M144" s="52"/>
      <c r="N144" s="65"/>
      <c r="O144" s="65"/>
      <c r="P144" s="88"/>
      <c r="Q144" s="55"/>
      <c r="R144" s="69"/>
      <c r="S144" s="55"/>
      <c r="T144" s="56"/>
      <c r="U144" s="57"/>
      <c r="V144" s="58"/>
      <c r="W144" s="59"/>
      <c r="X144" s="59"/>
      <c r="Y144" s="65"/>
      <c r="Z144" s="65"/>
      <c r="AA144" s="64"/>
      <c r="AB144" s="64"/>
      <c r="AC144" s="64"/>
      <c r="AD144" s="64"/>
      <c r="AE144" s="65"/>
      <c r="AF144" s="3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  <c r="HV144" s="17"/>
      <c r="HW144" s="17"/>
      <c r="HX144" s="17"/>
      <c r="HY144" s="17"/>
      <c r="HZ144" s="17"/>
      <c r="IA144" s="17"/>
      <c r="IB144" s="17"/>
      <c r="IC144" s="17"/>
      <c r="ID144" s="17"/>
      <c r="IE144" s="17"/>
      <c r="IF144" s="17"/>
      <c r="IG144" s="17"/>
    </row>
    <row r="145" spans="1:241" ht="15.75" customHeight="1" x14ac:dyDescent="0.25">
      <c r="A145" s="155" t="s">
        <v>217</v>
      </c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6"/>
      <c r="AD145" s="156"/>
      <c r="AE145" s="157"/>
      <c r="AF145" s="3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  <c r="HV145" s="17"/>
      <c r="HW145" s="17"/>
      <c r="HX145" s="17"/>
      <c r="HY145" s="17"/>
      <c r="HZ145" s="17"/>
      <c r="IA145" s="17"/>
      <c r="IB145" s="17"/>
      <c r="IC145" s="17"/>
      <c r="ID145" s="17"/>
      <c r="IE145" s="17"/>
      <c r="IF145" s="17"/>
      <c r="IG145" s="17"/>
    </row>
    <row r="146" spans="1:241" ht="15.75" customHeight="1" x14ac:dyDescent="0.25">
      <c r="A146" s="47">
        <v>122</v>
      </c>
      <c r="B146" s="44" t="s">
        <v>192</v>
      </c>
      <c r="C146" s="43" t="s">
        <v>187</v>
      </c>
      <c r="D146" s="49"/>
      <c r="E146" s="49"/>
      <c r="F146" s="49"/>
      <c r="G146" s="49">
        <v>236525970</v>
      </c>
      <c r="H146" s="49"/>
      <c r="I146" s="50"/>
      <c r="J146" s="49">
        <v>236525970</v>
      </c>
      <c r="K146" s="50">
        <v>3337564</v>
      </c>
      <c r="L146" s="50">
        <v>789758</v>
      </c>
      <c r="M146" s="52">
        <v>2547806</v>
      </c>
      <c r="N146" s="65">
        <v>471250454.98000002</v>
      </c>
      <c r="O146" s="132">
        <v>2194264.38</v>
      </c>
      <c r="P146" s="69">
        <v>468359308</v>
      </c>
      <c r="Q146" s="55">
        <f>(P146/$P$152)</f>
        <v>2.4402394524604253E-2</v>
      </c>
      <c r="R146" s="69">
        <v>469056191</v>
      </c>
      <c r="S146" s="55">
        <f t="shared" ref="S146:S151" si="69">(R146/$R$152)</f>
        <v>2.4085550483677234E-2</v>
      </c>
      <c r="T146" s="56">
        <f t="shared" ref="T146:T152" si="70">((R146-P146)/P146)</f>
        <v>1.4879238825760671E-3</v>
      </c>
      <c r="U146" s="57">
        <f>(L146/R146)</f>
        <v>1.6837172499872194E-3</v>
      </c>
      <c r="V146" s="58">
        <f t="shared" ref="V146:V151" si="71">M146/R146</f>
        <v>5.4317713930355097E-3</v>
      </c>
      <c r="W146" s="59">
        <f t="shared" ref="W146:W151" si="72">R146/AE146</f>
        <v>1012.2473536895125</v>
      </c>
      <c r="X146" s="59">
        <f t="shared" ref="X146:X151" si="73">M146/AE146</f>
        <v>5.4982962184465913</v>
      </c>
      <c r="Y146" s="65">
        <v>1012.25</v>
      </c>
      <c r="Z146" s="65">
        <v>1012.25</v>
      </c>
      <c r="AA146" s="64">
        <v>23</v>
      </c>
      <c r="AB146" s="65">
        <v>461480</v>
      </c>
      <c r="AC146" s="65">
        <v>1901</v>
      </c>
      <c r="AD146" s="65">
        <v>0</v>
      </c>
      <c r="AE146" s="50">
        <v>463381</v>
      </c>
      <c r="AF146" s="3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  <c r="FY146" s="17"/>
      <c r="FZ146" s="17"/>
      <c r="GA146" s="17"/>
      <c r="GB146" s="17"/>
      <c r="GC146" s="17"/>
      <c r="GD146" s="17"/>
      <c r="GE146" s="17"/>
      <c r="GF146" s="17"/>
      <c r="GG146" s="17"/>
      <c r="GH146" s="17"/>
      <c r="GI146" s="17"/>
      <c r="GJ146" s="17"/>
      <c r="GK146" s="17"/>
      <c r="GL146" s="17"/>
      <c r="GM146" s="17"/>
      <c r="GN146" s="17"/>
      <c r="GO146" s="17"/>
      <c r="GP146" s="17"/>
      <c r="GQ146" s="17"/>
      <c r="GR146" s="17"/>
      <c r="GS146" s="17"/>
      <c r="GT146" s="17"/>
      <c r="GU146" s="17"/>
      <c r="GV146" s="17"/>
      <c r="GW146" s="17"/>
      <c r="GX146" s="17"/>
      <c r="GY146" s="17"/>
      <c r="GZ146" s="17"/>
      <c r="HA146" s="17"/>
      <c r="HB146" s="17"/>
      <c r="HC146" s="17"/>
      <c r="HD146" s="17"/>
      <c r="HE146" s="17"/>
      <c r="HF146" s="17"/>
      <c r="HG146" s="17"/>
      <c r="HH146" s="17"/>
      <c r="HI146" s="17"/>
      <c r="HJ146" s="17"/>
      <c r="HK146" s="17"/>
      <c r="HL146" s="17"/>
      <c r="HM146" s="17"/>
      <c r="HN146" s="17"/>
      <c r="HO146" s="17"/>
      <c r="HP146" s="17"/>
      <c r="HQ146" s="17"/>
      <c r="HR146" s="17"/>
      <c r="HS146" s="17"/>
      <c r="HT146" s="17"/>
      <c r="HU146" s="17"/>
      <c r="HV146" s="17"/>
      <c r="HW146" s="17"/>
      <c r="HX146" s="17"/>
      <c r="HY146" s="17"/>
      <c r="HZ146" s="17"/>
      <c r="IA146" s="17"/>
      <c r="IB146" s="17"/>
      <c r="IC146" s="17"/>
      <c r="ID146" s="17"/>
      <c r="IE146" s="17"/>
      <c r="IF146" s="17"/>
      <c r="IG146" s="17"/>
    </row>
    <row r="147" spans="1:241" ht="15.75" customHeight="1" x14ac:dyDescent="0.25">
      <c r="A147" s="47">
        <v>123</v>
      </c>
      <c r="B147" s="44" t="s">
        <v>215</v>
      </c>
      <c r="C147" s="44" t="s">
        <v>63</v>
      </c>
      <c r="D147" s="49"/>
      <c r="E147" s="49"/>
      <c r="F147" s="49">
        <f>6802627.48+33105675.64</f>
        <v>39908303.120000005</v>
      </c>
      <c r="G147" s="49">
        <v>10048244.210000001</v>
      </c>
      <c r="H147" s="49"/>
      <c r="I147" s="50"/>
      <c r="J147" s="49">
        <f>F147+G147</f>
        <v>49956547.330000006</v>
      </c>
      <c r="K147" s="50">
        <v>439434.83</v>
      </c>
      <c r="L147" s="50">
        <v>241754.38</v>
      </c>
      <c r="M147" s="52">
        <v>197680.45</v>
      </c>
      <c r="N147" s="65">
        <v>49956547.329999998</v>
      </c>
      <c r="O147" s="132">
        <v>854608.31</v>
      </c>
      <c r="P147" s="69">
        <v>50153903.299999997</v>
      </c>
      <c r="Q147" s="55"/>
      <c r="R147" s="69">
        <v>49101939.020000003</v>
      </c>
      <c r="S147" s="55">
        <f t="shared" si="69"/>
        <v>2.5213338056391862E-3</v>
      </c>
      <c r="T147" s="56">
        <f t="shared" si="70"/>
        <v>-2.0974724015149462E-2</v>
      </c>
      <c r="U147" s="57">
        <f t="shared" si="67"/>
        <v>4.9235200243625734E-3</v>
      </c>
      <c r="V147" s="58">
        <f t="shared" si="71"/>
        <v>4.0259194228456354E-3</v>
      </c>
      <c r="W147" s="59">
        <f t="shared" si="72"/>
        <v>97.368842843771816</v>
      </c>
      <c r="X147" s="59">
        <f t="shared" si="73"/>
        <v>0.39199911558474526</v>
      </c>
      <c r="Y147" s="65">
        <v>101.79</v>
      </c>
      <c r="Z147" s="65">
        <v>101.79</v>
      </c>
      <c r="AA147" s="64">
        <v>51</v>
      </c>
      <c r="AB147" s="65">
        <v>492707</v>
      </c>
      <c r="AC147" s="65">
        <v>16530</v>
      </c>
      <c r="AD147" s="65">
        <v>4949</v>
      </c>
      <c r="AE147" s="50">
        <v>504288</v>
      </c>
      <c r="AF147" s="3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  <c r="GH147" s="17"/>
      <c r="GI147" s="17"/>
      <c r="GJ147" s="17"/>
      <c r="GK147" s="17"/>
      <c r="GL147" s="17"/>
      <c r="GM147" s="17"/>
      <c r="GN147" s="17"/>
      <c r="GO147" s="17"/>
      <c r="GP147" s="17"/>
      <c r="GQ147" s="17"/>
      <c r="GR147" s="17"/>
      <c r="GS147" s="17"/>
      <c r="GT147" s="17"/>
      <c r="GU147" s="17"/>
      <c r="GV147" s="17"/>
      <c r="GW147" s="17"/>
      <c r="GX147" s="17"/>
      <c r="GY147" s="17"/>
      <c r="GZ147" s="17"/>
      <c r="HA147" s="17"/>
      <c r="HB147" s="17"/>
      <c r="HC147" s="17"/>
      <c r="HD147" s="17"/>
      <c r="HE147" s="17"/>
      <c r="HF147" s="17"/>
      <c r="HG147" s="17"/>
      <c r="HH147" s="17"/>
      <c r="HI147" s="17"/>
      <c r="HJ147" s="17"/>
      <c r="HK147" s="17"/>
      <c r="HL147" s="17"/>
      <c r="HM147" s="17"/>
      <c r="HN147" s="17"/>
      <c r="HO147" s="17"/>
      <c r="HP147" s="17"/>
      <c r="HQ147" s="17"/>
      <c r="HR147" s="17"/>
      <c r="HS147" s="17"/>
      <c r="HT147" s="17"/>
      <c r="HU147" s="17"/>
      <c r="HV147" s="17"/>
      <c r="HW147" s="17"/>
      <c r="HX147" s="17"/>
      <c r="HY147" s="17"/>
      <c r="HZ147" s="17"/>
      <c r="IA147" s="17"/>
      <c r="IB147" s="17"/>
      <c r="IC147" s="17"/>
      <c r="ID147" s="17"/>
      <c r="IE147" s="17"/>
      <c r="IF147" s="17"/>
      <c r="IG147" s="17"/>
    </row>
    <row r="148" spans="1:241" ht="15.75" customHeight="1" x14ac:dyDescent="0.25">
      <c r="A148" s="47">
        <v>124</v>
      </c>
      <c r="B148" s="43" t="s">
        <v>175</v>
      </c>
      <c r="C148" s="43" t="s">
        <v>53</v>
      </c>
      <c r="D148" s="49"/>
      <c r="E148" s="49"/>
      <c r="F148" s="49">
        <v>485508630.91000003</v>
      </c>
      <c r="G148" s="49">
        <v>6173618839.1599998</v>
      </c>
      <c r="H148" s="49"/>
      <c r="I148" s="50"/>
      <c r="J148" s="50">
        <v>6662567644.5100002</v>
      </c>
      <c r="K148" s="50">
        <v>78481156.519999996</v>
      </c>
      <c r="L148" s="50">
        <v>10714153.300000001</v>
      </c>
      <c r="M148" s="52">
        <v>67767003.219999999</v>
      </c>
      <c r="N148" s="65">
        <v>6664181602.1000004</v>
      </c>
      <c r="O148" s="65">
        <v>1613957.59</v>
      </c>
      <c r="P148" s="69">
        <v>6673876903.7299995</v>
      </c>
      <c r="Q148" s="55">
        <f>(P148/$P$152)</f>
        <v>0.34772144896384494</v>
      </c>
      <c r="R148" s="69">
        <v>6662567644.5100002</v>
      </c>
      <c r="S148" s="55">
        <f t="shared" si="69"/>
        <v>0.34211596058596766</v>
      </c>
      <c r="T148" s="56">
        <f t="shared" si="70"/>
        <v>-1.6945561602550116E-3</v>
      </c>
      <c r="U148" s="57">
        <f t="shared" si="67"/>
        <v>1.6081117478527268E-3</v>
      </c>
      <c r="V148" s="58">
        <f t="shared" si="71"/>
        <v>1.0171304343279794E-2</v>
      </c>
      <c r="W148" s="59">
        <f t="shared" si="72"/>
        <v>120.76986029103746</v>
      </c>
      <c r="X148" s="59">
        <f t="shared" si="73"/>
        <v>1.2283870045155234</v>
      </c>
      <c r="Y148" s="65">
        <v>125.18</v>
      </c>
      <c r="Z148" s="65">
        <v>125.18</v>
      </c>
      <c r="AA148" s="64">
        <v>437</v>
      </c>
      <c r="AB148" s="64">
        <v>55188187</v>
      </c>
      <c r="AC148" s="64">
        <v>187786</v>
      </c>
      <c r="AD148" s="64">
        <v>208503</v>
      </c>
      <c r="AE148" s="50">
        <v>55167470</v>
      </c>
      <c r="AF148" s="37"/>
      <c r="AG148" s="36"/>
    </row>
    <row r="149" spans="1:241" ht="15.75" customHeight="1" x14ac:dyDescent="0.25">
      <c r="A149" s="47">
        <v>125</v>
      </c>
      <c r="B149" s="43" t="s">
        <v>149</v>
      </c>
      <c r="C149" s="43" t="s">
        <v>176</v>
      </c>
      <c r="D149" s="49"/>
      <c r="E149" s="49"/>
      <c r="F149" s="49"/>
      <c r="G149" s="49">
        <v>299388268.44999999</v>
      </c>
      <c r="H149" s="49"/>
      <c r="I149" s="50">
        <f>31128359.66+2518234.77</f>
        <v>33646594.43</v>
      </c>
      <c r="J149" s="50">
        <v>333034862.88</v>
      </c>
      <c r="K149" s="50">
        <v>3165780.37</v>
      </c>
      <c r="L149" s="50">
        <v>704943.66</v>
      </c>
      <c r="M149" s="52">
        <v>2460836.71</v>
      </c>
      <c r="N149" s="65">
        <v>338230143.44999999</v>
      </c>
      <c r="O149" s="65">
        <v>4730587.5</v>
      </c>
      <c r="P149" s="69">
        <v>343031692.19999999</v>
      </c>
      <c r="Q149" s="55">
        <f>(P149/$P$152)</f>
        <v>1.7872591714366039E-2</v>
      </c>
      <c r="R149" s="69">
        <v>333499555.94999999</v>
      </c>
      <c r="S149" s="55">
        <f t="shared" si="69"/>
        <v>1.7124857416321075E-2</v>
      </c>
      <c r="T149" s="56">
        <f t="shared" si="70"/>
        <v>-2.7787917171345256E-2</v>
      </c>
      <c r="U149" s="57">
        <f t="shared" si="67"/>
        <v>2.1137769074142001E-3</v>
      </c>
      <c r="V149" s="58">
        <f t="shared" si="71"/>
        <v>7.3788305444368917E-3</v>
      </c>
      <c r="W149" s="59">
        <f t="shared" si="72"/>
        <v>100.91087876699147</v>
      </c>
      <c r="X149" s="59">
        <f t="shared" si="73"/>
        <v>0.74460427451184485</v>
      </c>
      <c r="Y149" s="65">
        <v>100.91</v>
      </c>
      <c r="Z149" s="65">
        <v>100.91</v>
      </c>
      <c r="AA149" s="64">
        <v>256</v>
      </c>
      <c r="AB149" s="64">
        <v>3341567</v>
      </c>
      <c r="AC149" s="64">
        <v>328289</v>
      </c>
      <c r="AD149" s="64">
        <v>291614</v>
      </c>
      <c r="AE149" s="50">
        <v>3304892</v>
      </c>
      <c r="AF149" s="37"/>
    </row>
    <row r="150" spans="1:241" ht="15.75" customHeight="1" x14ac:dyDescent="0.25">
      <c r="A150" s="47">
        <v>126</v>
      </c>
      <c r="B150" s="44" t="s">
        <v>114</v>
      </c>
      <c r="C150" s="44" t="s">
        <v>23</v>
      </c>
      <c r="D150" s="49"/>
      <c r="E150" s="49"/>
      <c r="F150" s="49">
        <v>180204692.53</v>
      </c>
      <c r="G150" s="49">
        <v>6061472498.75</v>
      </c>
      <c r="H150" s="49"/>
      <c r="I150" s="50"/>
      <c r="J150" s="50">
        <v>6241677191.2799997</v>
      </c>
      <c r="K150" s="50">
        <v>29488209.23</v>
      </c>
      <c r="L150" s="50">
        <v>10357314.01</v>
      </c>
      <c r="M150" s="52">
        <v>19130895.219999999</v>
      </c>
      <c r="N150" s="65">
        <v>6545565914.04</v>
      </c>
      <c r="O150" s="65">
        <v>51214976.229999997</v>
      </c>
      <c r="P150" s="69">
        <v>6325835891.6899996</v>
      </c>
      <c r="Q150" s="55">
        <f>(P150/$P$152)</f>
        <v>0.32958786233179999</v>
      </c>
      <c r="R150" s="69">
        <v>6494350937.8100004</v>
      </c>
      <c r="S150" s="55">
        <f t="shared" si="69"/>
        <v>0.33347820660433269</v>
      </c>
      <c r="T150" s="56">
        <f t="shared" si="70"/>
        <v>2.6639174490974766E-2</v>
      </c>
      <c r="U150" s="57">
        <f t="shared" si="67"/>
        <v>1.5948189602289422E-3</v>
      </c>
      <c r="V150" s="58">
        <f t="shared" si="71"/>
        <v>2.9457747822989135E-3</v>
      </c>
      <c r="W150" s="59">
        <f t="shared" si="72"/>
        <v>120.20784730932996</v>
      </c>
      <c r="X150" s="59">
        <f t="shared" si="73"/>
        <v>0.35410524523826253</v>
      </c>
      <c r="Y150" s="65">
        <v>120.21</v>
      </c>
      <c r="Z150" s="65">
        <v>120.21</v>
      </c>
      <c r="AA150" s="64">
        <v>1494</v>
      </c>
      <c r="AB150" s="64">
        <v>52774251.969999999</v>
      </c>
      <c r="AC150" s="64">
        <v>5424049.6100000003</v>
      </c>
      <c r="AD150" s="64">
        <v>4172286.78</v>
      </c>
      <c r="AE150" s="50">
        <v>54026014.799999997</v>
      </c>
      <c r="AF150" s="37"/>
    </row>
    <row r="151" spans="1:241" ht="16.5" customHeight="1" x14ac:dyDescent="0.25">
      <c r="A151" s="47">
        <v>127</v>
      </c>
      <c r="B151" s="43" t="s">
        <v>153</v>
      </c>
      <c r="C151" s="43" t="s">
        <v>33</v>
      </c>
      <c r="D151" s="65"/>
      <c r="E151" s="65"/>
      <c r="F151" s="65"/>
      <c r="G151" s="65">
        <v>1434422489</v>
      </c>
      <c r="H151" s="65"/>
      <c r="I151" s="65"/>
      <c r="J151" s="65">
        <v>1434422489</v>
      </c>
      <c r="K151" s="65">
        <v>16755420</v>
      </c>
      <c r="L151" s="65">
        <v>3161481</v>
      </c>
      <c r="M151" s="52">
        <v>13593939</v>
      </c>
      <c r="N151" s="65">
        <v>1892667653</v>
      </c>
      <c r="O151" s="65">
        <v>21456012.850000001</v>
      </c>
      <c r="P151" s="69">
        <v>1746288198</v>
      </c>
      <c r="Q151" s="55">
        <f>(P151/$P$82)</f>
        <v>4.5810375375175691E-3</v>
      </c>
      <c r="R151" s="69">
        <v>1871211640</v>
      </c>
      <c r="S151" s="55">
        <f t="shared" si="69"/>
        <v>9.6084783200024892E-2</v>
      </c>
      <c r="T151" s="56">
        <f t="shared" si="70"/>
        <v>7.1536555159150195E-2</v>
      </c>
      <c r="U151" s="57">
        <f t="shared" si="67"/>
        <v>1.6895368393497168E-3</v>
      </c>
      <c r="V151" s="58">
        <f t="shared" si="71"/>
        <v>7.2647789856630004E-3</v>
      </c>
      <c r="W151" s="59">
        <f t="shared" si="72"/>
        <v>1.1138564716527553</v>
      </c>
      <c r="X151" s="59">
        <f t="shared" si="73"/>
        <v>8.0919210883076721E-3</v>
      </c>
      <c r="Y151" s="49">
        <v>1.1100000000000001</v>
      </c>
      <c r="Z151" s="49">
        <v>1.1100000000000001</v>
      </c>
      <c r="AA151" s="64">
        <v>121</v>
      </c>
      <c r="AB151" s="60">
        <v>1608398561</v>
      </c>
      <c r="AC151" s="60">
        <v>86983987</v>
      </c>
      <c r="AD151" s="60">
        <v>15442908</v>
      </c>
      <c r="AE151" s="60">
        <v>1679939640</v>
      </c>
      <c r="AF151" s="5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  <c r="FY151" s="17"/>
      <c r="FZ151" s="17"/>
      <c r="GA151" s="17"/>
      <c r="GB151" s="17"/>
      <c r="GC151" s="17"/>
      <c r="GD151" s="17"/>
      <c r="GE151" s="17"/>
      <c r="GF151" s="17"/>
      <c r="GG151" s="17"/>
      <c r="GH151" s="17"/>
      <c r="GI151" s="17"/>
      <c r="GJ151" s="17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GW151" s="17"/>
      <c r="GX151" s="17"/>
      <c r="GY151" s="17"/>
      <c r="GZ151" s="17"/>
      <c r="HA151" s="17"/>
      <c r="HB151" s="17"/>
      <c r="HC151" s="17"/>
      <c r="HD151" s="17"/>
      <c r="HE151" s="17"/>
      <c r="HF151" s="17"/>
      <c r="HG151" s="17"/>
      <c r="HH151" s="17"/>
      <c r="HI151" s="17"/>
      <c r="HJ151" s="17"/>
      <c r="HK151" s="17"/>
      <c r="HL151" s="17"/>
      <c r="HM151" s="17"/>
      <c r="HN151" s="17"/>
      <c r="HO151" s="17"/>
      <c r="HP151" s="17"/>
      <c r="HQ151" s="17"/>
      <c r="HR151" s="17"/>
      <c r="HS151" s="17"/>
      <c r="HT151" s="17"/>
      <c r="HU151" s="17"/>
      <c r="HV151" s="17"/>
      <c r="HW151" s="17"/>
      <c r="HX151" s="17"/>
      <c r="HY151" s="17"/>
      <c r="HZ151" s="17"/>
      <c r="IA151" s="17"/>
      <c r="IB151" s="17"/>
      <c r="IC151" s="17"/>
      <c r="ID151" s="17"/>
      <c r="IE151" s="17"/>
      <c r="IF151" s="17"/>
      <c r="IG151" s="17"/>
    </row>
    <row r="152" spans="1:241" ht="15.75" customHeight="1" x14ac:dyDescent="0.25">
      <c r="A152" s="140"/>
      <c r="B152" s="23"/>
      <c r="C152" s="141" t="s">
        <v>50</v>
      </c>
      <c r="D152" s="74">
        <f>SUM(D142:D151)</f>
        <v>1495779270.8</v>
      </c>
      <c r="E152" s="74"/>
      <c r="F152" s="74">
        <f>SUM(F142:F151)</f>
        <v>786594386.23000002</v>
      </c>
      <c r="G152" s="74">
        <f>SUM(G142:G151)</f>
        <v>15251161480.84</v>
      </c>
      <c r="H152" s="74"/>
      <c r="I152" s="74">
        <f t="shared" ref="I152:O152" si="74">SUM(I142:I151)</f>
        <v>1013803301.9</v>
      </c>
      <c r="J152" s="74">
        <f t="shared" si="74"/>
        <v>18550778614.209999</v>
      </c>
      <c r="K152" s="74">
        <f t="shared" si="74"/>
        <v>185258723.34999999</v>
      </c>
      <c r="L152" s="74">
        <f t="shared" si="74"/>
        <v>38269560.640000001</v>
      </c>
      <c r="M152" s="74">
        <f t="shared" si="74"/>
        <v>102465714.41999999</v>
      </c>
      <c r="N152" s="74">
        <f t="shared" si="74"/>
        <v>19864964877.190002</v>
      </c>
      <c r="O152" s="74">
        <f t="shared" si="74"/>
        <v>390376106.14000005</v>
      </c>
      <c r="P152" s="96">
        <f>SUM(P142:P151)</f>
        <v>19193170060.739998</v>
      </c>
      <c r="Q152" s="76">
        <f>(P152/$P$153)</f>
        <v>1.2930951863787319E-2</v>
      </c>
      <c r="R152" s="96">
        <f>SUM(R142:R151)</f>
        <v>19474588771.300003</v>
      </c>
      <c r="S152" s="76">
        <f>(R152/$R$153)</f>
        <v>1.4168072204530632E-2</v>
      </c>
      <c r="T152" s="77">
        <f t="shared" si="70"/>
        <v>1.4662440319624563E-2</v>
      </c>
      <c r="U152" s="57">
        <f t="shared" si="67"/>
        <v>1.965102374659558E-3</v>
      </c>
      <c r="V152" s="79"/>
      <c r="W152" s="80"/>
      <c r="X152" s="80"/>
      <c r="Y152" s="74"/>
      <c r="Z152" s="74"/>
      <c r="AA152" s="81">
        <f>SUM(AA142:AA151)</f>
        <v>18141</v>
      </c>
      <c r="AB152" s="81"/>
      <c r="AC152" s="81"/>
      <c r="AD152" s="81"/>
      <c r="AE152" s="74"/>
      <c r="AF152" s="37"/>
    </row>
    <row r="153" spans="1:241" ht="15.75" customHeight="1" x14ac:dyDescent="0.25">
      <c r="A153" s="142"/>
      <c r="B153" s="143"/>
      <c r="C153" s="143" t="s">
        <v>143</v>
      </c>
      <c r="D153" s="144">
        <f>SUM(D152,D139,D134,D109,D103,D82,D50,D19)</f>
        <v>16314948145.519999</v>
      </c>
      <c r="E153" s="144"/>
      <c r="F153" s="144">
        <f t="shared" ref="F153:O153" si="75">SUM(F152,F139,F134,F109,F103,F82,F50,F19)</f>
        <v>556515963417.01294</v>
      </c>
      <c r="G153" s="144">
        <f t="shared" si="75"/>
        <v>577069929603.92627</v>
      </c>
      <c r="H153" s="144">
        <f t="shared" si="75"/>
        <v>33931946015.260002</v>
      </c>
      <c r="I153" s="144">
        <f t="shared" si="75"/>
        <v>7592989793.2399998</v>
      </c>
      <c r="J153" s="144">
        <f t="shared" si="75"/>
        <v>1233213260951.7407</v>
      </c>
      <c r="K153" s="144">
        <f t="shared" si="75"/>
        <v>11911882265.624401</v>
      </c>
      <c r="L153" s="144">
        <f t="shared" si="75"/>
        <v>2185024249.7129998</v>
      </c>
      <c r="M153" s="144">
        <f t="shared" si="75"/>
        <v>9169512672.1174011</v>
      </c>
      <c r="N153" s="144">
        <f t="shared" si="75"/>
        <v>1374888244173.9814</v>
      </c>
      <c r="O153" s="144">
        <f t="shared" si="75"/>
        <v>17234791704.135201</v>
      </c>
      <c r="P153" s="145">
        <f>SUM(P19,P50,P82,P103,P109,P134,P139,P152)</f>
        <v>1484281301401.3147</v>
      </c>
      <c r="Q153" s="146"/>
      <c r="R153" s="144">
        <f>SUM(R19,R50,R82,R103,R109,R134,R139,R152)</f>
        <v>1374540480184.2036</v>
      </c>
      <c r="S153" s="146"/>
      <c r="T153" s="146"/>
      <c r="U153" s="147"/>
      <c r="V153" s="148"/>
      <c r="W153" s="149"/>
      <c r="X153" s="149"/>
      <c r="Y153" s="144"/>
      <c r="Z153" s="144"/>
      <c r="AA153" s="150">
        <f>SUM(AA19,AA50,AA82,AA103,AA109,AA134,AA139,AA152)</f>
        <v>431384</v>
      </c>
      <c r="AB153" s="144"/>
      <c r="AC153" s="144"/>
      <c r="AD153" s="144"/>
      <c r="AE153" s="144"/>
      <c r="AF153" s="37"/>
    </row>
    <row r="154" spans="1:241" ht="6" customHeight="1" x14ac:dyDescent="0.25">
      <c r="A154" s="28"/>
      <c r="B154" s="28"/>
      <c r="C154" s="28"/>
      <c r="D154" s="5"/>
      <c r="E154" s="5"/>
      <c r="F154" s="5"/>
      <c r="G154" s="5"/>
      <c r="H154" s="5"/>
      <c r="I154" s="29"/>
      <c r="J154" s="5"/>
      <c r="K154" s="5"/>
      <c r="L154" s="5"/>
      <c r="M154" s="30"/>
      <c r="N154" s="5"/>
      <c r="O154" s="5"/>
      <c r="P154" s="34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7" spans="1:241" ht="15.75" customHeight="1" x14ac:dyDescent="0.25">
      <c r="E157" s="23"/>
    </row>
  </sheetData>
  <sortState ref="B145:C149">
    <sortCondition ref="B145:B149"/>
  </sortState>
  <mergeCells count="13">
    <mergeCell ref="A140:AE140"/>
    <mergeCell ref="A141:AE141"/>
    <mergeCell ref="A145:AE145"/>
    <mergeCell ref="A1:AE1"/>
    <mergeCell ref="A3:AE3"/>
    <mergeCell ref="A20:AE20"/>
    <mergeCell ref="A51:AE51"/>
    <mergeCell ref="A83:AE83"/>
    <mergeCell ref="A84:AE84"/>
    <mergeCell ref="A104:AE104"/>
    <mergeCell ref="A110:AE110"/>
    <mergeCell ref="A135:AE135"/>
    <mergeCell ref="A94:AE94"/>
  </mergeCells>
  <phoneticPr fontId="5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3" manualBreakCount="3">
    <brk id="58" max="16383" man="1"/>
    <brk id="93" max="16383" man="1"/>
    <brk id="131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topLeftCell="B1" zoomScaleNormal="100" workbookViewId="0">
      <selection activeCell="M1" sqref="M1"/>
    </sheetView>
  </sheetViews>
  <sheetFormatPr defaultColWidth="10" defaultRowHeight="12.95" customHeight="1" x14ac:dyDescent="0.25"/>
  <cols>
    <col min="1" max="256" width="10" style="12" customWidth="1"/>
  </cols>
  <sheetData>
    <row r="1" spans="1:12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3"/>
      <c r="L1" s="7"/>
    </row>
    <row r="2" spans="1:12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14"/>
    </row>
    <row r="3" spans="1:12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  <c r="L3" s="14"/>
    </row>
    <row r="4" spans="1:12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14"/>
    </row>
    <row r="5" spans="1:12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14"/>
    </row>
    <row r="6" spans="1:12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14"/>
    </row>
    <row r="7" spans="1:12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6"/>
      <c r="L7" s="14"/>
    </row>
    <row r="8" spans="1:12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14"/>
    </row>
    <row r="9" spans="1:12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  <c r="L9" s="14"/>
    </row>
    <row r="10" spans="1:12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6"/>
      <c r="L10" s="14"/>
    </row>
    <row r="11" spans="1:12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6"/>
      <c r="L11" s="14"/>
    </row>
    <row r="12" spans="1:12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  <c r="L12" s="14"/>
    </row>
    <row r="13" spans="1:12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  <c r="L13" s="14"/>
    </row>
    <row r="14" spans="1:12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  <c r="L14" s="14"/>
    </row>
    <row r="15" spans="1:12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6"/>
      <c r="L15" s="14"/>
    </row>
    <row r="16" spans="1:12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  <c r="L16" s="14"/>
    </row>
    <row r="17" spans="1:12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  <c r="L17" s="14"/>
    </row>
    <row r="18" spans="1:12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  <c r="L18" s="14"/>
    </row>
    <row r="19" spans="1:12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6"/>
      <c r="L19" s="14"/>
    </row>
    <row r="20" spans="1:12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  <c r="L20" s="14"/>
    </row>
    <row r="21" spans="1:12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  <c r="L21" s="14"/>
    </row>
    <row r="22" spans="1:12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  <c r="L22" s="14"/>
    </row>
    <row r="23" spans="1:12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  <c r="L23" s="14"/>
    </row>
    <row r="24" spans="1:12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Q5" sqref="Q5"/>
    </sheetView>
  </sheetViews>
  <sheetFormatPr defaultColWidth="10" defaultRowHeight="12.95" customHeight="1" x14ac:dyDescent="0.25"/>
  <cols>
    <col min="1" max="256" width="10" style="15" customWidth="1"/>
  </cols>
  <sheetData>
    <row r="1" spans="1:14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K26" sqref="K26"/>
    </sheetView>
  </sheetViews>
  <sheetFormatPr defaultColWidth="8.85546875" defaultRowHeight="15" customHeight="1" x14ac:dyDescent="0.25"/>
  <cols>
    <col min="1" max="3" width="8.85546875" style="16" customWidth="1"/>
    <col min="4" max="4" width="10.42578125" style="16" customWidth="1"/>
    <col min="5" max="256" width="8.85546875" style="16" customWidth="1"/>
  </cols>
  <sheetData>
    <row r="1" spans="1:14" ht="1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7"/>
    </row>
    <row r="2" spans="1:14" ht="1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14"/>
    </row>
    <row r="3" spans="1:14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14"/>
    </row>
    <row r="4" spans="1:14" ht="1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14"/>
    </row>
    <row r="5" spans="1:14" ht="1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14"/>
    </row>
    <row r="6" spans="1:1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14"/>
    </row>
    <row r="7" spans="1:14" ht="1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14"/>
    </row>
    <row r="8" spans="1:14" ht="1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14"/>
    </row>
    <row r="9" spans="1:14" ht="1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14"/>
    </row>
    <row r="10" spans="1:14" ht="1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14"/>
    </row>
    <row r="11" spans="1:14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N11" s="14"/>
    </row>
    <row r="12" spans="1:14" ht="1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14"/>
    </row>
    <row r="13" spans="1:14" ht="1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14"/>
    </row>
    <row r="14" spans="1:14" ht="1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14"/>
    </row>
    <row r="15" spans="1:14" ht="1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14"/>
    </row>
    <row r="16" spans="1:14" ht="1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14"/>
    </row>
    <row r="17" spans="1:14" ht="1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14"/>
    </row>
    <row r="18" spans="1:14" ht="1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14"/>
    </row>
    <row r="19" spans="1:14" ht="1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14"/>
    </row>
    <row r="20" spans="1:14" ht="1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14"/>
    </row>
    <row r="21" spans="1:14" ht="1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14"/>
    </row>
    <row r="22" spans="1:14" ht="1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1"/>
      <c r="N22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OCTOBER 2022</vt:lpstr>
      <vt:lpstr>Market Share</vt:lpstr>
      <vt:lpstr>Unit Holders</vt:lpstr>
      <vt:lpstr>NAV Comparison Sept &amp; Oct '22</vt:lpstr>
      <vt:lpstr>'OCTOBER 2022'!_Hlk108107245</vt:lpstr>
      <vt:lpstr>'OCTOBER 2022'!_Hlk108109806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2023-05-09T09:04:41Z</dcterms:modified>
</cp:coreProperties>
</file>