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isaac\Desktop\Monthly Mutual Funds' Spreadsheet\2022\"/>
    </mc:Choice>
  </mc:AlternateContent>
  <bookViews>
    <workbookView xWindow="0" yWindow="0" windowWidth="20490" windowHeight="6750" tabRatio="574"/>
  </bookViews>
  <sheets>
    <sheet name="AUGUST 2022" sheetId="1" r:id="rId1"/>
    <sheet name="Market Share" sheetId="2" r:id="rId2"/>
    <sheet name="Unit Holders" sheetId="3" r:id="rId3"/>
    <sheet name="NAV Comparison July &amp; Aug '22" sheetId="4" r:id="rId4"/>
  </sheets>
  <definedNames>
    <definedName name="_xlnm._FilterDatabase" localSheetId="0" hidden="1">'AUGUST 2022'!$A$1:$AE$92</definedName>
    <definedName name="_Hlk108107245" localSheetId="0">'AUGUST 2022'!$R$45</definedName>
    <definedName name="_Hlk108109806" localSheetId="0">'AUGUST 2022'!$N$45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38" i="1" l="1"/>
  <c r="P133" i="1"/>
  <c r="P109" i="1"/>
  <c r="P96" i="1"/>
  <c r="P99" i="1"/>
  <c r="P100" i="1"/>
  <c r="P98" i="1"/>
  <c r="P95" i="1"/>
  <c r="P97" i="1"/>
  <c r="P102" i="1"/>
  <c r="P101" i="1"/>
  <c r="P86" i="1"/>
  <c r="P90" i="1"/>
  <c r="P91" i="1"/>
  <c r="P103" i="1" s="1"/>
  <c r="P82" i="1" l="1"/>
  <c r="P51" i="1"/>
  <c r="P20" i="1"/>
  <c r="F145" i="1" l="1"/>
  <c r="J145" i="1" s="1"/>
  <c r="Z99" i="1" l="1"/>
  <c r="Y99" i="1"/>
  <c r="R99" i="1"/>
  <c r="O99" i="1"/>
  <c r="N99" i="1"/>
  <c r="M99" i="1"/>
  <c r="L99" i="1"/>
  <c r="K99" i="1"/>
  <c r="J99" i="1"/>
  <c r="F99" i="1"/>
  <c r="G99" i="1"/>
  <c r="G98" i="1"/>
  <c r="F117" i="1"/>
  <c r="J117" i="1" s="1"/>
  <c r="F62" i="1"/>
  <c r="J62" i="1" s="1"/>
  <c r="J32" i="1"/>
  <c r="F32" i="1"/>
  <c r="Z102" i="1" l="1"/>
  <c r="Y102" i="1"/>
  <c r="R102" i="1"/>
  <c r="O102" i="1"/>
  <c r="N102" i="1"/>
  <c r="M102" i="1"/>
  <c r="L102" i="1"/>
  <c r="K102" i="1"/>
  <c r="J102" i="1"/>
  <c r="F102" i="1"/>
  <c r="G102" i="1"/>
  <c r="F55" i="1"/>
  <c r="J55" i="1" s="1"/>
  <c r="Z98" i="1" l="1"/>
  <c r="Y98" i="1"/>
  <c r="R98" i="1"/>
  <c r="O98" i="1"/>
  <c r="N98" i="1"/>
  <c r="M98" i="1"/>
  <c r="L98" i="1"/>
  <c r="K98" i="1"/>
  <c r="J98" i="1"/>
  <c r="F98" i="1"/>
  <c r="J26" i="1"/>
  <c r="F26" i="1"/>
  <c r="Z86" i="1"/>
  <c r="Y86" i="1"/>
  <c r="R86" i="1"/>
  <c r="O86" i="1"/>
  <c r="N86" i="1"/>
  <c r="M86" i="1"/>
  <c r="L86" i="1"/>
  <c r="K86" i="1"/>
  <c r="G86" i="1"/>
  <c r="F86" i="1"/>
  <c r="J86" i="1" s="1"/>
  <c r="G54" i="1"/>
  <c r="F54" i="1"/>
  <c r="J54" i="1" l="1"/>
  <c r="J150" i="1"/>
  <c r="F130" i="1"/>
  <c r="J130" i="1" s="1"/>
  <c r="F127" i="1"/>
  <c r="J127" i="1" s="1"/>
  <c r="Z91" i="1"/>
  <c r="Y91" i="1"/>
  <c r="R91" i="1"/>
  <c r="O91" i="1"/>
  <c r="N91" i="1"/>
  <c r="M91" i="1"/>
  <c r="L91" i="1"/>
  <c r="K91" i="1"/>
  <c r="F91" i="1"/>
  <c r="G91" i="1"/>
  <c r="F79" i="1"/>
  <c r="J79" i="1" s="1"/>
  <c r="J47" i="1"/>
  <c r="F47" i="1"/>
  <c r="F18" i="1"/>
  <c r="J18" i="1" s="1"/>
  <c r="J91" i="1" l="1"/>
  <c r="F49" i="1"/>
  <c r="F63" i="1" l="1"/>
  <c r="F34" i="1"/>
  <c r="F33" i="1"/>
  <c r="Z96" i="1" l="1"/>
  <c r="Y96" i="1"/>
  <c r="R96" i="1"/>
  <c r="O96" i="1"/>
  <c r="N96" i="1"/>
  <c r="M96" i="1"/>
  <c r="L96" i="1"/>
  <c r="K96" i="1"/>
  <c r="G96" i="1"/>
  <c r="F96" i="1"/>
  <c r="J96" i="1" s="1"/>
  <c r="J27" i="1"/>
  <c r="F27" i="1"/>
  <c r="F128" i="1"/>
  <c r="J48" i="1"/>
  <c r="F48" i="1"/>
  <c r="F112" i="1" l="1"/>
  <c r="J41" i="1" l="1"/>
  <c r="F41" i="1"/>
  <c r="AD73" i="1"/>
  <c r="F73" i="1"/>
  <c r="H106" i="1"/>
  <c r="Z101" i="1" l="1"/>
  <c r="Y101" i="1"/>
  <c r="R101" i="1"/>
  <c r="O101" i="1"/>
  <c r="N101" i="1"/>
  <c r="M101" i="1"/>
  <c r="L101" i="1"/>
  <c r="K101" i="1"/>
  <c r="J101" i="1"/>
  <c r="G101" i="1"/>
  <c r="F101" i="1"/>
  <c r="D17" i="1" l="1"/>
  <c r="Z89" i="1" l="1"/>
  <c r="Y89" i="1"/>
  <c r="R89" i="1"/>
  <c r="O89" i="1"/>
  <c r="N89" i="1"/>
  <c r="L89" i="1"/>
  <c r="K89" i="1"/>
  <c r="M89" i="1" s="1"/>
  <c r="J89" i="1"/>
  <c r="G89" i="1"/>
  <c r="W96" i="1" l="1"/>
  <c r="T96" i="1"/>
  <c r="X96" i="1"/>
  <c r="U96" i="1"/>
  <c r="X99" i="1"/>
  <c r="V96" i="1" l="1"/>
  <c r="T99" i="1"/>
  <c r="U99" i="1"/>
  <c r="V99" i="1"/>
  <c r="W99" i="1"/>
  <c r="O118" i="1" l="1"/>
  <c r="AD100" i="1" l="1"/>
  <c r="R100" i="1"/>
  <c r="O100" i="1"/>
  <c r="N100" i="1"/>
  <c r="M100" i="1"/>
  <c r="L100" i="1"/>
  <c r="K100" i="1"/>
  <c r="J100" i="1"/>
  <c r="G100" i="1"/>
  <c r="AE124" i="1"/>
  <c r="J124" i="1"/>
  <c r="J43" i="1"/>
  <c r="Z90" i="1" l="1"/>
  <c r="Y90" i="1"/>
  <c r="R90" i="1"/>
  <c r="O90" i="1"/>
  <c r="N90" i="1"/>
  <c r="M90" i="1"/>
  <c r="L90" i="1"/>
  <c r="K90" i="1"/>
  <c r="J90" i="1"/>
  <c r="F90" i="1"/>
  <c r="G90" i="1"/>
  <c r="Z85" i="1" l="1"/>
  <c r="Y85" i="1"/>
  <c r="Z97" i="1" l="1"/>
  <c r="Y97" i="1"/>
  <c r="R97" i="1"/>
  <c r="O97" i="1"/>
  <c r="N97" i="1"/>
  <c r="M97" i="1"/>
  <c r="L97" i="1"/>
  <c r="K97" i="1"/>
  <c r="J97" i="1"/>
  <c r="G97" i="1"/>
  <c r="Z95" i="1"/>
  <c r="Y95" i="1"/>
  <c r="R95" i="1"/>
  <c r="O95" i="1"/>
  <c r="N95" i="1"/>
  <c r="M95" i="1"/>
  <c r="L95" i="1"/>
  <c r="K95" i="1"/>
  <c r="J95" i="1"/>
  <c r="G95" i="1"/>
  <c r="X145" i="1" l="1"/>
  <c r="W145" i="1"/>
  <c r="V145" i="1"/>
  <c r="U145" i="1"/>
  <c r="T145" i="1"/>
  <c r="O64" i="1" l="1"/>
  <c r="O35" i="1"/>
  <c r="X8" i="1" l="1"/>
  <c r="W8" i="1"/>
  <c r="V8" i="1"/>
  <c r="U8" i="1"/>
  <c r="T8" i="1"/>
  <c r="T130" i="1" l="1"/>
  <c r="AD116" i="1" l="1"/>
  <c r="O133" i="1"/>
  <c r="O87" i="1"/>
  <c r="AA82" i="1" l="1"/>
  <c r="R82" i="1"/>
  <c r="N82" i="1"/>
  <c r="J82" i="1"/>
  <c r="D82" i="1"/>
  <c r="Q70" i="1" l="1"/>
  <c r="Q145" i="1"/>
  <c r="T55" i="1"/>
  <c r="O82" i="1" l="1"/>
  <c r="M82" i="1"/>
  <c r="L82" i="1"/>
  <c r="K82" i="1"/>
  <c r="F82" i="1"/>
  <c r="G82" i="1"/>
  <c r="X55" i="1"/>
  <c r="W55" i="1"/>
  <c r="V55" i="1"/>
  <c r="U55" i="1"/>
  <c r="D103" i="1"/>
  <c r="N103" i="1" l="1"/>
  <c r="P151" i="1" l="1"/>
  <c r="Q55" i="1"/>
  <c r="Q8" i="1"/>
  <c r="Q96" i="1" l="1"/>
  <c r="P152" i="1" l="1"/>
  <c r="Q99" i="1"/>
  <c r="R138" i="1"/>
  <c r="X61" i="1" l="1"/>
  <c r="U61" i="1"/>
  <c r="T61" i="1"/>
  <c r="V61" i="1" l="1"/>
  <c r="W61" i="1"/>
  <c r="Q61" i="1" l="1"/>
  <c r="Q44" i="1"/>
  <c r="R151" i="1" l="1"/>
  <c r="S146" i="1" l="1"/>
  <c r="S145" i="1"/>
  <c r="S61" i="1"/>
  <c r="S55" i="1"/>
  <c r="G109" i="1"/>
  <c r="O109" i="1"/>
  <c r="K109" i="1"/>
  <c r="L109" i="1"/>
  <c r="M109" i="1"/>
  <c r="N109" i="1"/>
  <c r="H109" i="1"/>
  <c r="I109" i="1"/>
  <c r="J109" i="1"/>
  <c r="F109" i="1"/>
  <c r="I82" i="1"/>
  <c r="O51" i="1"/>
  <c r="N51" i="1"/>
  <c r="I51" i="1"/>
  <c r="K51" i="1"/>
  <c r="L51" i="1"/>
  <c r="M51" i="1"/>
  <c r="F51" i="1"/>
  <c r="L133" i="1"/>
  <c r="M133" i="1"/>
  <c r="N133" i="1"/>
  <c r="F133" i="1"/>
  <c r="G133" i="1"/>
  <c r="H133" i="1"/>
  <c r="D133" i="1"/>
  <c r="J138" i="1"/>
  <c r="K138" i="1"/>
  <c r="L138" i="1"/>
  <c r="M138" i="1"/>
  <c r="N138" i="1"/>
  <c r="O138" i="1"/>
  <c r="F138" i="1"/>
  <c r="G138" i="1"/>
  <c r="H138" i="1"/>
  <c r="D138" i="1"/>
  <c r="M151" i="1"/>
  <c r="N151" i="1"/>
  <c r="O151" i="1"/>
  <c r="J151" i="1"/>
  <c r="K151" i="1"/>
  <c r="L151" i="1"/>
  <c r="G151" i="1"/>
  <c r="F151" i="1"/>
  <c r="D151" i="1"/>
  <c r="H152" i="1" l="1"/>
  <c r="J51" i="1"/>
  <c r="J133" i="1"/>
  <c r="D152" i="1" l="1"/>
  <c r="W89" i="1"/>
  <c r="X89" i="1"/>
  <c r="U89" i="1"/>
  <c r="K133" i="1"/>
  <c r="O103" i="1" l="1"/>
  <c r="O152" i="1" s="1"/>
  <c r="F103" i="1"/>
  <c r="F152" i="1" s="1"/>
  <c r="G103" i="1"/>
  <c r="J103" i="1"/>
  <c r="J152" i="1" s="1"/>
  <c r="K103" i="1"/>
  <c r="K152" i="1" s="1"/>
  <c r="L103" i="1"/>
  <c r="L152" i="1" s="1"/>
  <c r="M103" i="1"/>
  <c r="M152" i="1" s="1"/>
  <c r="N152" i="1"/>
  <c r="T89" i="1"/>
  <c r="V89" i="1"/>
  <c r="AA151" i="1"/>
  <c r="I151" i="1"/>
  <c r="I152" i="1" s="1"/>
  <c r="G152" i="1" l="1"/>
  <c r="R20" i="1"/>
  <c r="S8" i="1" l="1"/>
  <c r="Q89" i="1"/>
  <c r="Q151" i="1"/>
  <c r="X146" i="1" l="1"/>
  <c r="W146" i="1"/>
  <c r="V146" i="1"/>
  <c r="U146" i="1"/>
  <c r="T146" i="1"/>
  <c r="X59" i="1" l="1"/>
  <c r="W59" i="1"/>
  <c r="V59" i="1"/>
  <c r="U59" i="1"/>
  <c r="T59" i="1"/>
  <c r="Q146" i="1"/>
  <c r="Q59" i="1" l="1"/>
  <c r="X34" i="1" l="1"/>
  <c r="V33" i="1"/>
  <c r="V34" i="1"/>
  <c r="V29" i="1" l="1"/>
  <c r="V35" i="1"/>
  <c r="V125" i="1"/>
  <c r="X129" i="1"/>
  <c r="X130" i="1"/>
  <c r="X95" i="1"/>
  <c r="W95" i="1"/>
  <c r="X97" i="1"/>
  <c r="T77" i="1" l="1"/>
  <c r="T63" i="1"/>
  <c r="T136" i="1"/>
  <c r="R133" i="1" l="1"/>
  <c r="S130" i="1" s="1"/>
  <c r="AA138" i="1" l="1"/>
  <c r="S136" i="1"/>
  <c r="S135" i="1" l="1"/>
  <c r="S137" i="1"/>
  <c r="Q136" i="1"/>
  <c r="Q135" i="1"/>
  <c r="Q137" i="1"/>
  <c r="T138" i="1"/>
  <c r="AA103" i="1"/>
  <c r="R103" i="1"/>
  <c r="S96" i="1" s="1"/>
  <c r="S89" i="1" l="1"/>
  <c r="S99" i="1"/>
  <c r="S59" i="1"/>
  <c r="S102" i="1"/>
  <c r="S90" i="1"/>
  <c r="S97" i="1"/>
  <c r="S92" i="1"/>
  <c r="S85" i="1"/>
  <c r="S98" i="1"/>
  <c r="S86" i="1"/>
  <c r="S95" i="1"/>
  <c r="S100" i="1"/>
  <c r="S87" i="1"/>
  <c r="S91" i="1"/>
  <c r="S58" i="1"/>
  <c r="S66" i="1"/>
  <c r="S56" i="1"/>
  <c r="S73" i="1"/>
  <c r="S67" i="1"/>
  <c r="S71" i="1"/>
  <c r="S78" i="1"/>
  <c r="S63" i="1"/>
  <c r="S57" i="1"/>
  <c r="S65" i="1"/>
  <c r="S75" i="1"/>
  <c r="S64" i="1"/>
  <c r="S69" i="1"/>
  <c r="S68" i="1"/>
  <c r="S74" i="1"/>
  <c r="S62" i="1"/>
  <c r="S54" i="1"/>
  <c r="S60" i="1"/>
  <c r="S72" i="1"/>
  <c r="S79" i="1"/>
  <c r="S76" i="1"/>
  <c r="S53" i="1"/>
  <c r="S80" i="1"/>
  <c r="S81" i="1"/>
  <c r="S70" i="1"/>
  <c r="S77" i="1"/>
  <c r="S147" i="1"/>
  <c r="S150" i="1"/>
  <c r="S148" i="1"/>
  <c r="S149" i="1"/>
  <c r="S142" i="1"/>
  <c r="Q147" i="1"/>
  <c r="Q150" i="1"/>
  <c r="Q148" i="1"/>
  <c r="Q149" i="1"/>
  <c r="Q142" i="1"/>
  <c r="Q87" i="1"/>
  <c r="Q101" i="1"/>
  <c r="Q88" i="1"/>
  <c r="Q98" i="1"/>
  <c r="Q102" i="1"/>
  <c r="Q91" i="1"/>
  <c r="Q86" i="1"/>
  <c r="Q97" i="1"/>
  <c r="Q90" i="1"/>
  <c r="Q95" i="1"/>
  <c r="Q92" i="1"/>
  <c r="Q85" i="1"/>
  <c r="Q100" i="1"/>
  <c r="Q80" i="1"/>
  <c r="Q81" i="1"/>
  <c r="Q77" i="1"/>
  <c r="Q78" i="1"/>
  <c r="Q63" i="1"/>
  <c r="Q73" i="1"/>
  <c r="Q67" i="1"/>
  <c r="Q58" i="1"/>
  <c r="Q66" i="1"/>
  <c r="Q56" i="1"/>
  <c r="Q71" i="1"/>
  <c r="Q57" i="1"/>
  <c r="Q65" i="1"/>
  <c r="Q75" i="1"/>
  <c r="Q72" i="1"/>
  <c r="Q64" i="1"/>
  <c r="Q69" i="1"/>
  <c r="Q68" i="1"/>
  <c r="Q60" i="1"/>
  <c r="Q74" i="1"/>
  <c r="Q62" i="1"/>
  <c r="Q79" i="1"/>
  <c r="Q76" i="1"/>
  <c r="Q53" i="1"/>
  <c r="Q54" i="1"/>
  <c r="X115" i="1"/>
  <c r="W115" i="1"/>
  <c r="V115" i="1"/>
  <c r="U115" i="1"/>
  <c r="T115" i="1"/>
  <c r="X111" i="1"/>
  <c r="W111" i="1"/>
  <c r="V111" i="1"/>
  <c r="U111" i="1"/>
  <c r="T111" i="1"/>
  <c r="X100" i="1" l="1"/>
  <c r="W100" i="1"/>
  <c r="V100" i="1"/>
  <c r="U100" i="1"/>
  <c r="T100" i="1"/>
  <c r="W98" i="1"/>
  <c r="X98" i="1"/>
  <c r="X87" i="1"/>
  <c r="W87" i="1"/>
  <c r="V87" i="1"/>
  <c r="U87" i="1"/>
  <c r="T87" i="1"/>
  <c r="W86" i="1"/>
  <c r="X86" i="1"/>
  <c r="X85" i="1"/>
  <c r="W85" i="1"/>
  <c r="V85" i="1"/>
  <c r="U85" i="1"/>
  <c r="T85" i="1"/>
  <c r="X92" i="1"/>
  <c r="W92" i="1"/>
  <c r="V92" i="1"/>
  <c r="U92" i="1"/>
  <c r="T92" i="1"/>
  <c r="X91" i="1"/>
  <c r="X90" i="1"/>
  <c r="X88" i="1"/>
  <c r="W88" i="1"/>
  <c r="V88" i="1"/>
  <c r="U88" i="1"/>
  <c r="T88" i="1"/>
  <c r="U95" i="1" l="1"/>
  <c r="W97" i="1"/>
  <c r="U98" i="1"/>
  <c r="V95" i="1"/>
  <c r="V97" i="1"/>
  <c r="T98" i="1"/>
  <c r="T95" i="1"/>
  <c r="T97" i="1"/>
  <c r="U97" i="1"/>
  <c r="V98" i="1"/>
  <c r="U90" i="1"/>
  <c r="U86" i="1"/>
  <c r="T91" i="1"/>
  <c r="W91" i="1"/>
  <c r="U91" i="1"/>
  <c r="T86" i="1"/>
  <c r="V90" i="1"/>
  <c r="V86" i="1"/>
  <c r="W90" i="1"/>
  <c r="V91" i="1"/>
  <c r="T90" i="1"/>
  <c r="T148" i="1" l="1"/>
  <c r="U141" i="1"/>
  <c r="U136" i="1"/>
  <c r="U135" i="1"/>
  <c r="U142" i="1"/>
  <c r="U147" i="1"/>
  <c r="U150" i="1"/>
  <c r="U148" i="1"/>
  <c r="T122" i="1"/>
  <c r="Q141" i="1"/>
  <c r="T42" i="1"/>
  <c r="T46" i="1"/>
  <c r="T79" i="1"/>
  <c r="S131" i="1" l="1"/>
  <c r="S123" i="1"/>
  <c r="S122" i="1"/>
  <c r="S127" i="1"/>
  <c r="S129" i="1"/>
  <c r="S113" i="1"/>
  <c r="S112" i="1"/>
  <c r="S125" i="1"/>
  <c r="S124" i="1"/>
  <c r="S132" i="1"/>
  <c r="S118" i="1"/>
  <c r="S119" i="1"/>
  <c r="S117" i="1"/>
  <c r="S116" i="1"/>
  <c r="S111" i="1"/>
  <c r="S128" i="1"/>
  <c r="S121" i="1"/>
  <c r="S114" i="1"/>
  <c r="S120" i="1"/>
  <c r="S115" i="1"/>
  <c r="Q108" i="1"/>
  <c r="Q107" i="1"/>
  <c r="Q105" i="1"/>
  <c r="Q47" i="1"/>
  <c r="Q24" i="1"/>
  <c r="Q22" i="1"/>
  <c r="Q26" i="1"/>
  <c r="Q33" i="1"/>
  <c r="Q29" i="1"/>
  <c r="Q42" i="1"/>
  <c r="Q23" i="1"/>
  <c r="Q43" i="1"/>
  <c r="Q38" i="1"/>
  <c r="Q41" i="1"/>
  <c r="Q34" i="1"/>
  <c r="Q36" i="1"/>
  <c r="Q37" i="1"/>
  <c r="Q49" i="1"/>
  <c r="Q27" i="1"/>
  <c r="Q32" i="1"/>
  <c r="Q25" i="1"/>
  <c r="Q48" i="1"/>
  <c r="Q40" i="1"/>
  <c r="Q35" i="1"/>
  <c r="Q39" i="1"/>
  <c r="Q50" i="1"/>
  <c r="Q46" i="1"/>
  <c r="Q30" i="1"/>
  <c r="Q28" i="1"/>
  <c r="Q31" i="1"/>
  <c r="Q10" i="1"/>
  <c r="Q15" i="1"/>
  <c r="Q19" i="1"/>
  <c r="Q6" i="1"/>
  <c r="Q4" i="1"/>
  <c r="Q14" i="1"/>
  <c r="Q18" i="1"/>
  <c r="Q5" i="1"/>
  <c r="Q9" i="1"/>
  <c r="Q11" i="1"/>
  <c r="Q13" i="1"/>
  <c r="Q12" i="1"/>
  <c r="Q16" i="1"/>
  <c r="Q7" i="1"/>
  <c r="S141" i="1"/>
  <c r="Q125" i="1" l="1"/>
  <c r="Q138" i="1"/>
  <c r="Q132" i="1"/>
  <c r="Q130" i="1"/>
  <c r="Q118" i="1"/>
  <c r="Q119" i="1"/>
  <c r="Q117" i="1"/>
  <c r="Q116" i="1"/>
  <c r="Q128" i="1"/>
  <c r="Q121" i="1"/>
  <c r="Q126" i="1"/>
  <c r="Q51" i="1"/>
  <c r="Q120" i="1"/>
  <c r="Q123" i="1"/>
  <c r="Q114" i="1"/>
  <c r="Q111" i="1"/>
  <c r="Q133" i="1"/>
  <c r="Q131" i="1"/>
  <c r="Q122" i="1"/>
  <c r="Q115" i="1"/>
  <c r="Q127" i="1"/>
  <c r="Q129" i="1"/>
  <c r="Q113" i="1"/>
  <c r="Q109" i="1"/>
  <c r="Q112" i="1"/>
  <c r="Q124" i="1"/>
  <c r="Q103" i="1"/>
  <c r="Q82" i="1"/>
  <c r="Q20" i="1"/>
  <c r="U151" i="1"/>
  <c r="U116" i="1"/>
  <c r="U118" i="1"/>
  <c r="U46" i="1"/>
  <c r="U25" i="1"/>
  <c r="X126" i="1" l="1"/>
  <c r="W117" i="1"/>
  <c r="T11" i="1" l="1"/>
  <c r="U69" i="1"/>
  <c r="U74" i="1"/>
  <c r="X136" i="1" l="1"/>
  <c r="T60" i="1" l="1"/>
  <c r="X127" i="1"/>
  <c r="T118" i="1"/>
  <c r="T116" i="1"/>
  <c r="T64" i="1"/>
  <c r="AA109" i="1" l="1"/>
  <c r="T5" i="1" l="1"/>
  <c r="AA20" i="1"/>
  <c r="U11" i="1"/>
  <c r="U5" i="1"/>
  <c r="S15" i="1" l="1"/>
  <c r="S19" i="1"/>
  <c r="S16" i="1"/>
  <c r="S10" i="1"/>
  <c r="S4" i="1"/>
  <c r="S14" i="1"/>
  <c r="S6" i="1"/>
  <c r="S7" i="1"/>
  <c r="S18" i="1"/>
  <c r="S5" i="1"/>
  <c r="S9" i="1"/>
  <c r="S11" i="1"/>
  <c r="S13" i="1"/>
  <c r="S12" i="1"/>
  <c r="T20" i="1"/>
  <c r="X65" i="1" l="1"/>
  <c r="X31" i="1"/>
  <c r="W31" i="1"/>
  <c r="V31" i="1"/>
  <c r="U31" i="1"/>
  <c r="T31" i="1"/>
  <c r="U77" i="1" l="1"/>
  <c r="U27" i="1"/>
  <c r="X77" i="1" l="1"/>
  <c r="W77" i="1"/>
  <c r="V77" i="1"/>
  <c r="T35" i="1" l="1"/>
  <c r="X118" i="1" l="1"/>
  <c r="W118" i="1"/>
  <c r="V118" i="1"/>
  <c r="X64" i="1"/>
  <c r="W64" i="1"/>
  <c r="V64" i="1"/>
  <c r="U64" i="1"/>
  <c r="X35" i="1"/>
  <c r="W35" i="1"/>
  <c r="U35" i="1"/>
  <c r="X150" i="1" l="1"/>
  <c r="W150" i="1"/>
  <c r="V150" i="1"/>
  <c r="T150" i="1"/>
  <c r="X124" i="1" l="1"/>
  <c r="W124" i="1"/>
  <c r="V124" i="1"/>
  <c r="U124" i="1"/>
  <c r="T124" i="1"/>
  <c r="X43" i="1" l="1"/>
  <c r="W43" i="1"/>
  <c r="V43" i="1"/>
  <c r="U43" i="1"/>
  <c r="T43" i="1"/>
  <c r="X108" i="1" l="1"/>
  <c r="W108" i="1"/>
  <c r="V108" i="1"/>
  <c r="U108" i="1"/>
  <c r="T108" i="1"/>
  <c r="X56" i="1" l="1"/>
  <c r="W56" i="1"/>
  <c r="V56" i="1"/>
  <c r="U56" i="1"/>
  <c r="T56" i="1"/>
  <c r="X147" i="1"/>
  <c r="W147" i="1"/>
  <c r="V147" i="1"/>
  <c r="T147" i="1"/>
  <c r="T151" i="1" l="1"/>
  <c r="X148" i="1"/>
  <c r="W148" i="1"/>
  <c r="V148" i="1"/>
  <c r="X142" i="1"/>
  <c r="W142" i="1"/>
  <c r="V142" i="1"/>
  <c r="T142" i="1"/>
  <c r="X135" i="1"/>
  <c r="W135" i="1"/>
  <c r="V135" i="1"/>
  <c r="T135" i="1"/>
  <c r="W136" i="1"/>
  <c r="V136" i="1"/>
  <c r="X141" i="1"/>
  <c r="W141" i="1"/>
  <c r="V141" i="1"/>
  <c r="T141" i="1"/>
  <c r="X137" i="1"/>
  <c r="W137" i="1"/>
  <c r="V137" i="1"/>
  <c r="U137" i="1"/>
  <c r="T137" i="1"/>
  <c r="AA133" i="1"/>
  <c r="X116" i="1"/>
  <c r="W116" i="1"/>
  <c r="V116" i="1"/>
  <c r="X122" i="1"/>
  <c r="W122" i="1"/>
  <c r="V122" i="1"/>
  <c r="U122" i="1"/>
  <c r="X125" i="1"/>
  <c r="W125" i="1"/>
  <c r="U125" i="1"/>
  <c r="T125" i="1"/>
  <c r="W129" i="1"/>
  <c r="U129" i="1"/>
  <c r="T129" i="1"/>
  <c r="X121" i="1"/>
  <c r="W121" i="1"/>
  <c r="V121" i="1"/>
  <c r="U121" i="1"/>
  <c r="T121" i="1"/>
  <c r="X117" i="1"/>
  <c r="V117" i="1"/>
  <c r="U117" i="1"/>
  <c r="T117" i="1"/>
  <c r="X123" i="1"/>
  <c r="W123" i="1"/>
  <c r="V123" i="1"/>
  <c r="U123" i="1"/>
  <c r="T123" i="1"/>
  <c r="W130" i="1"/>
  <c r="V130" i="1"/>
  <c r="U130" i="1"/>
  <c r="X114" i="1"/>
  <c r="W114" i="1"/>
  <c r="V114" i="1"/>
  <c r="U114" i="1"/>
  <c r="T114" i="1"/>
  <c r="X120" i="1"/>
  <c r="W120" i="1"/>
  <c r="V120" i="1"/>
  <c r="U120" i="1"/>
  <c r="T120" i="1"/>
  <c r="X128" i="1"/>
  <c r="W128" i="1"/>
  <c r="V128" i="1"/>
  <c r="U128" i="1"/>
  <c r="T128" i="1"/>
  <c r="X119" i="1"/>
  <c r="W119" i="1"/>
  <c r="V119" i="1"/>
  <c r="U119" i="1"/>
  <c r="T119" i="1"/>
  <c r="X113" i="1"/>
  <c r="W113" i="1"/>
  <c r="V113" i="1"/>
  <c r="U113" i="1"/>
  <c r="T113" i="1"/>
  <c r="X132" i="1"/>
  <c r="W132" i="1"/>
  <c r="V132" i="1"/>
  <c r="U132" i="1"/>
  <c r="T132" i="1"/>
  <c r="X112" i="1"/>
  <c r="W112" i="1"/>
  <c r="V112" i="1"/>
  <c r="U112" i="1"/>
  <c r="T112" i="1"/>
  <c r="W127" i="1"/>
  <c r="V127" i="1"/>
  <c r="U127" i="1"/>
  <c r="T127" i="1"/>
  <c r="X131" i="1"/>
  <c r="W131" i="1"/>
  <c r="V131" i="1"/>
  <c r="U131" i="1"/>
  <c r="T131" i="1"/>
  <c r="W126" i="1"/>
  <c r="V126" i="1"/>
  <c r="U126" i="1"/>
  <c r="T126" i="1"/>
  <c r="R109" i="1"/>
  <c r="Q106" i="1"/>
  <c r="X105" i="1"/>
  <c r="W105" i="1"/>
  <c r="V105" i="1"/>
  <c r="U105" i="1"/>
  <c r="T105" i="1"/>
  <c r="X107" i="1"/>
  <c r="W107" i="1"/>
  <c r="V107" i="1"/>
  <c r="U107" i="1"/>
  <c r="T107" i="1"/>
  <c r="X106" i="1"/>
  <c r="W106" i="1"/>
  <c r="V106" i="1"/>
  <c r="U106" i="1"/>
  <c r="T106" i="1"/>
  <c r="X57" i="1"/>
  <c r="W57" i="1"/>
  <c r="V57" i="1"/>
  <c r="U57" i="1"/>
  <c r="T57" i="1"/>
  <c r="X54" i="1"/>
  <c r="W54" i="1"/>
  <c r="V54" i="1"/>
  <c r="U54" i="1"/>
  <c r="T54" i="1"/>
  <c r="X53" i="1"/>
  <c r="W53" i="1"/>
  <c r="V53" i="1"/>
  <c r="U53" i="1"/>
  <c r="T53" i="1"/>
  <c r="X149" i="1"/>
  <c r="W149" i="1"/>
  <c r="V149" i="1"/>
  <c r="U149" i="1"/>
  <c r="T149" i="1"/>
  <c r="X62" i="1"/>
  <c r="W62" i="1"/>
  <c r="V62" i="1"/>
  <c r="U62" i="1"/>
  <c r="T62" i="1"/>
  <c r="X68" i="1"/>
  <c r="W68" i="1"/>
  <c r="V68" i="1"/>
  <c r="U68" i="1"/>
  <c r="T68" i="1"/>
  <c r="X102" i="1"/>
  <c r="W102" i="1"/>
  <c r="V102" i="1"/>
  <c r="U102" i="1"/>
  <c r="T102" i="1"/>
  <c r="X81" i="1"/>
  <c r="W81" i="1"/>
  <c r="V81" i="1"/>
  <c r="U81" i="1"/>
  <c r="T81" i="1"/>
  <c r="X67" i="1"/>
  <c r="W67" i="1"/>
  <c r="V67" i="1"/>
  <c r="U67" i="1"/>
  <c r="T67" i="1"/>
  <c r="X63" i="1"/>
  <c r="W63" i="1"/>
  <c r="V63" i="1"/>
  <c r="U63" i="1"/>
  <c r="X101" i="1"/>
  <c r="W101" i="1"/>
  <c r="V101" i="1"/>
  <c r="U101" i="1"/>
  <c r="T101" i="1"/>
  <c r="X66" i="1"/>
  <c r="W66" i="1"/>
  <c r="V66" i="1"/>
  <c r="U66" i="1"/>
  <c r="T66" i="1"/>
  <c r="X72" i="1"/>
  <c r="W72" i="1"/>
  <c r="V72" i="1"/>
  <c r="U72" i="1"/>
  <c r="T72" i="1"/>
  <c r="X70" i="1"/>
  <c r="W70" i="1"/>
  <c r="V70" i="1"/>
  <c r="U70" i="1"/>
  <c r="T70" i="1"/>
  <c r="X76" i="1"/>
  <c r="W76" i="1"/>
  <c r="V76" i="1"/>
  <c r="U76" i="1"/>
  <c r="T76" i="1"/>
  <c r="X74" i="1"/>
  <c r="W74" i="1"/>
  <c r="V74" i="1"/>
  <c r="T74" i="1"/>
  <c r="X69" i="1"/>
  <c r="W69" i="1"/>
  <c r="V69" i="1"/>
  <c r="T69" i="1"/>
  <c r="X73" i="1"/>
  <c r="W73" i="1"/>
  <c r="V73" i="1"/>
  <c r="U73" i="1"/>
  <c r="T73" i="1"/>
  <c r="X78" i="1"/>
  <c r="W78" i="1"/>
  <c r="V78" i="1"/>
  <c r="U78" i="1"/>
  <c r="T78" i="1"/>
  <c r="X58" i="1"/>
  <c r="W58" i="1"/>
  <c r="V58" i="1"/>
  <c r="U58" i="1"/>
  <c r="T58" i="1"/>
  <c r="X80" i="1"/>
  <c r="W80" i="1"/>
  <c r="V80" i="1"/>
  <c r="U80" i="1"/>
  <c r="T80" i="1"/>
  <c r="X79" i="1"/>
  <c r="W79" i="1"/>
  <c r="V79" i="1"/>
  <c r="U79" i="1"/>
  <c r="X60" i="1"/>
  <c r="W60" i="1"/>
  <c r="V60" i="1"/>
  <c r="U60" i="1"/>
  <c r="W65" i="1"/>
  <c r="V65" i="1"/>
  <c r="U65" i="1"/>
  <c r="T65" i="1"/>
  <c r="X71" i="1"/>
  <c r="W71" i="1"/>
  <c r="V71" i="1"/>
  <c r="U71" i="1"/>
  <c r="T71" i="1"/>
  <c r="X75" i="1"/>
  <c r="W75" i="1"/>
  <c r="V75" i="1"/>
  <c r="U75" i="1"/>
  <c r="T75" i="1"/>
  <c r="AA51" i="1"/>
  <c r="R51" i="1"/>
  <c r="S31" i="1" s="1"/>
  <c r="X42" i="1"/>
  <c r="W42" i="1"/>
  <c r="V42" i="1"/>
  <c r="U42" i="1"/>
  <c r="X48" i="1"/>
  <c r="W48" i="1"/>
  <c r="V48" i="1"/>
  <c r="U48" i="1"/>
  <c r="T48" i="1"/>
  <c r="X46" i="1"/>
  <c r="W46" i="1"/>
  <c r="V46" i="1"/>
  <c r="X25" i="1"/>
  <c r="W25" i="1"/>
  <c r="V25" i="1"/>
  <c r="T25" i="1"/>
  <c r="X36" i="1"/>
  <c r="W36" i="1"/>
  <c r="V36" i="1"/>
  <c r="U36" i="1"/>
  <c r="T36" i="1"/>
  <c r="X29" i="1"/>
  <c r="W29" i="1"/>
  <c r="U29" i="1"/>
  <c r="T29" i="1"/>
  <c r="X49" i="1"/>
  <c r="W49" i="1"/>
  <c r="V49" i="1"/>
  <c r="U49" i="1"/>
  <c r="T49" i="1"/>
  <c r="X38" i="1"/>
  <c r="W38" i="1"/>
  <c r="V38" i="1"/>
  <c r="U38" i="1"/>
  <c r="T38" i="1"/>
  <c r="X40" i="1"/>
  <c r="W40" i="1"/>
  <c r="V40" i="1"/>
  <c r="U40" i="1"/>
  <c r="T40" i="1"/>
  <c r="X23" i="1"/>
  <c r="W23" i="1"/>
  <c r="V23" i="1"/>
  <c r="U23" i="1"/>
  <c r="T23" i="1"/>
  <c r="X50" i="1"/>
  <c r="W50" i="1"/>
  <c r="V50" i="1"/>
  <c r="U50" i="1"/>
  <c r="T50" i="1"/>
  <c r="V32" i="1"/>
  <c r="U32" i="1"/>
  <c r="T32" i="1"/>
  <c r="W34" i="1"/>
  <c r="U34" i="1"/>
  <c r="T34" i="1"/>
  <c r="X33" i="1"/>
  <c r="W33" i="1"/>
  <c r="U33" i="1"/>
  <c r="T33" i="1"/>
  <c r="X22" i="1"/>
  <c r="W22" i="1"/>
  <c r="V22" i="1"/>
  <c r="U22" i="1"/>
  <c r="T22" i="1"/>
  <c r="X28" i="1"/>
  <c r="W28" i="1"/>
  <c r="V28" i="1"/>
  <c r="U28" i="1"/>
  <c r="T28" i="1"/>
  <c r="X44" i="1"/>
  <c r="W44" i="1"/>
  <c r="V44" i="1"/>
  <c r="U44" i="1"/>
  <c r="T44" i="1"/>
  <c r="X30" i="1"/>
  <c r="W30" i="1"/>
  <c r="V30" i="1"/>
  <c r="U30" i="1"/>
  <c r="T30" i="1"/>
  <c r="X39" i="1"/>
  <c r="W39" i="1"/>
  <c r="V39" i="1"/>
  <c r="U39" i="1"/>
  <c r="T39" i="1"/>
  <c r="X27" i="1"/>
  <c r="W27" i="1"/>
  <c r="V27" i="1"/>
  <c r="T27" i="1"/>
  <c r="X41" i="1"/>
  <c r="W41" i="1"/>
  <c r="V41" i="1"/>
  <c r="U41" i="1"/>
  <c r="T41" i="1"/>
  <c r="X26" i="1"/>
  <c r="W26" i="1"/>
  <c r="V26" i="1"/>
  <c r="U26" i="1"/>
  <c r="T26" i="1"/>
  <c r="X24" i="1"/>
  <c r="W24" i="1"/>
  <c r="V24" i="1"/>
  <c r="U24" i="1"/>
  <c r="T24" i="1"/>
  <c r="X47" i="1"/>
  <c r="W47" i="1"/>
  <c r="V47" i="1"/>
  <c r="U47" i="1"/>
  <c r="T47" i="1"/>
  <c r="X37" i="1"/>
  <c r="W37" i="1"/>
  <c r="V37" i="1"/>
  <c r="U37" i="1"/>
  <c r="T37" i="1"/>
  <c r="X45" i="1"/>
  <c r="W45" i="1"/>
  <c r="V45" i="1"/>
  <c r="U45" i="1"/>
  <c r="T45" i="1"/>
  <c r="X5" i="1"/>
  <c r="W5" i="1"/>
  <c r="V5" i="1"/>
  <c r="X14" i="1"/>
  <c r="W14" i="1"/>
  <c r="V14" i="1"/>
  <c r="U14" i="1"/>
  <c r="T14" i="1"/>
  <c r="X19" i="1"/>
  <c r="W19" i="1"/>
  <c r="V19" i="1"/>
  <c r="U19" i="1"/>
  <c r="T19" i="1"/>
  <c r="X7" i="1"/>
  <c r="W7" i="1"/>
  <c r="V7" i="1"/>
  <c r="U7" i="1"/>
  <c r="T7" i="1"/>
  <c r="X16" i="1"/>
  <c r="W16" i="1"/>
  <c r="V16" i="1"/>
  <c r="U16" i="1"/>
  <c r="T16" i="1"/>
  <c r="X13" i="1"/>
  <c r="W13" i="1"/>
  <c r="V13" i="1"/>
  <c r="U13" i="1"/>
  <c r="T13" i="1"/>
  <c r="X9" i="1"/>
  <c r="W9" i="1"/>
  <c r="V9" i="1"/>
  <c r="U9" i="1"/>
  <c r="T9" i="1"/>
  <c r="X6" i="1"/>
  <c r="W6" i="1"/>
  <c r="V6" i="1"/>
  <c r="U6" i="1"/>
  <c r="T6" i="1"/>
  <c r="X18" i="1"/>
  <c r="W18" i="1"/>
  <c r="V18" i="1"/>
  <c r="U18" i="1"/>
  <c r="T18" i="1"/>
  <c r="X4" i="1"/>
  <c r="W4" i="1"/>
  <c r="V4" i="1"/>
  <c r="U4" i="1"/>
  <c r="T4" i="1"/>
  <c r="X15" i="1"/>
  <c r="W15" i="1"/>
  <c r="V15" i="1"/>
  <c r="U15" i="1"/>
  <c r="T15" i="1"/>
  <c r="X10" i="1"/>
  <c r="W10" i="1"/>
  <c r="V10" i="1"/>
  <c r="U10" i="1"/>
  <c r="T10" i="1"/>
  <c r="X12" i="1"/>
  <c r="W12" i="1"/>
  <c r="V12" i="1"/>
  <c r="U12" i="1"/>
  <c r="T12" i="1"/>
  <c r="X17" i="1"/>
  <c r="W17" i="1"/>
  <c r="V17" i="1"/>
  <c r="U17" i="1"/>
  <c r="T17" i="1"/>
  <c r="R152" i="1" l="1"/>
  <c r="S51" i="1" s="1"/>
  <c r="AA152" i="1"/>
  <c r="S107" i="1"/>
  <c r="S105" i="1"/>
  <c r="S108" i="1"/>
  <c r="S39" i="1"/>
  <c r="S50" i="1"/>
  <c r="S46" i="1"/>
  <c r="S38" i="1"/>
  <c r="S29" i="1"/>
  <c r="S30" i="1"/>
  <c r="S23" i="1"/>
  <c r="S48" i="1"/>
  <c r="S47" i="1"/>
  <c r="S37" i="1"/>
  <c r="S44" i="1"/>
  <c r="S40" i="1"/>
  <c r="S43" i="1"/>
  <c r="S28" i="1"/>
  <c r="S35" i="1"/>
  <c r="S42" i="1"/>
  <c r="S24" i="1"/>
  <c r="S22" i="1"/>
  <c r="S49" i="1"/>
  <c r="S26" i="1"/>
  <c r="S33" i="1"/>
  <c r="S41" i="1"/>
  <c r="S34" i="1"/>
  <c r="S36" i="1"/>
  <c r="S27" i="1"/>
  <c r="S32" i="1"/>
  <c r="S25" i="1"/>
  <c r="T82" i="1"/>
  <c r="S101" i="1"/>
  <c r="S106" i="1"/>
  <c r="S126" i="1"/>
  <c r="Q17" i="1"/>
  <c r="Q45" i="1"/>
  <c r="T133" i="1"/>
  <c r="S45" i="1"/>
  <c r="T103" i="1"/>
  <c r="T51" i="1"/>
  <c r="S17" i="1"/>
  <c r="T109" i="1"/>
  <c r="S82" i="1" l="1"/>
  <c r="S103" i="1"/>
  <c r="S109" i="1"/>
  <c r="S20" i="1"/>
  <c r="S133" i="1"/>
  <c r="S151" i="1"/>
  <c r="S138" i="1"/>
  <c r="X32" i="1"/>
  <c r="W32" i="1"/>
  <c r="V129" i="1" l="1"/>
</calcChain>
</file>

<file path=xl/sharedStrings.xml><?xml version="1.0" encoding="utf-8"?>
<sst xmlns="http://schemas.openxmlformats.org/spreadsheetml/2006/main" count="316" uniqueCount="224">
  <si>
    <t>FUND MANAGER</t>
  </si>
  <si>
    <t>FUND</t>
  </si>
  <si>
    <t>EQUITIES</t>
  </si>
  <si>
    <t>UNQUOTED EQUITIES</t>
  </si>
  <si>
    <t>MONEY MARKET</t>
  </si>
  <si>
    <t>BONDS</t>
  </si>
  <si>
    <t>REAL ESTATE</t>
  </si>
  <si>
    <t>OTHERS</t>
  </si>
  <si>
    <t xml:space="preserve">TOTAL VALUE OF INVESTMENT (N)               </t>
  </si>
  <si>
    <t>TOTAL EXPENSES (N)</t>
  </si>
  <si>
    <t>NET INCOME/LOSS</t>
  </si>
  <si>
    <t>GROSS ASSET VALUE (N)</t>
  </si>
  <si>
    <t>TOTAL LIABILITIES (N)</t>
  </si>
  <si>
    <t>% ON TOTAL</t>
  </si>
  <si>
    <t>% CHANGE IN NAV</t>
  </si>
  <si>
    <t>EXPENSE RATIO (%)</t>
  </si>
  <si>
    <t>Return on Equity (RoE)</t>
  </si>
  <si>
    <t>Net Asset Per Unit</t>
  </si>
  <si>
    <t>Earnings Per Unit (EPU)</t>
  </si>
  <si>
    <t>BID PRICE (N)</t>
  </si>
  <si>
    <t>OFFER PRICE (N)</t>
  </si>
  <si>
    <t>NUMBER OF UNIT HOLDERS</t>
  </si>
  <si>
    <t>EQUITY BASED FUNDS</t>
  </si>
  <si>
    <t>Stanbic IBTC Asset Mgt. Limited</t>
  </si>
  <si>
    <t>Stanbic IBTC Nigerian Equity Fund</t>
  </si>
  <si>
    <t>First City Asset Management Plc</t>
  </si>
  <si>
    <t>Legacy Equity Fund</t>
  </si>
  <si>
    <t>SCM Capital Limited</t>
  </si>
  <si>
    <t>Frontier Fund</t>
  </si>
  <si>
    <t>Chapel Hill Denham Mgt. Limited</t>
  </si>
  <si>
    <t>Paramount Equity Fund</t>
  </si>
  <si>
    <t>Afrinvest Asset Management Ltd.</t>
  </si>
  <si>
    <t>Afrinvest Equity Fund</t>
  </si>
  <si>
    <t>United Capital Asset Mgt. Ltd</t>
  </si>
  <si>
    <t>United Capital Equity Fund</t>
  </si>
  <si>
    <t xml:space="preserve">ARM Investment Managers Limited </t>
  </si>
  <si>
    <t>ARM Aggressive Growth Fund</t>
  </si>
  <si>
    <t>FBN Capital Asset Mgt</t>
  </si>
  <si>
    <t>FBN Nigeria Smart Beta Equity Fund</t>
  </si>
  <si>
    <t>Meristem Wealth Management Limited</t>
  </si>
  <si>
    <t>Meristem Equity Market Fund</t>
  </si>
  <si>
    <t>Stanbic IBTC Aggressive Fund (Sub Fund)</t>
  </si>
  <si>
    <t>AXA Mansard Investments Limited</t>
  </si>
  <si>
    <t>AXA Mansard Equity Income Fund</t>
  </si>
  <si>
    <t>Investment One Funds Management Limited</t>
  </si>
  <si>
    <t>Vantage Equity Income Fund</t>
  </si>
  <si>
    <t>PAC Asset Management Ltd.</t>
  </si>
  <si>
    <t>Pacam Equity Fund</t>
  </si>
  <si>
    <t>Global Asset Management Nig. Ltd</t>
  </si>
  <si>
    <t>Continental Unit Trust Fund (Inactive)</t>
  </si>
  <si>
    <t>Anchoria Asset Management Limited</t>
  </si>
  <si>
    <t>Anchoria Equity Fund</t>
  </si>
  <si>
    <t>Sub Total</t>
  </si>
  <si>
    <t>MONEY MARKET FUNDS</t>
  </si>
  <si>
    <t>Stanbic IBTC Money Market Fund</t>
  </si>
  <si>
    <t>FBN Capital Asset Mgt. Limited</t>
  </si>
  <si>
    <t>FBN Money Market Fund</t>
  </si>
  <si>
    <t>United Capital Money Market Fund</t>
  </si>
  <si>
    <t>AIICO Capital Ltd</t>
  </si>
  <si>
    <t>AIICO Money Market Fund</t>
  </si>
  <si>
    <t>ARM Money Market Fund</t>
  </si>
  <si>
    <t>Meristem Money Market Fund</t>
  </si>
  <si>
    <t>AXA Mansard Money Market Fund</t>
  </si>
  <si>
    <t xml:space="preserve">Greenwich Asst Management Ltd </t>
  </si>
  <si>
    <t>Greenwich Plus Money Market</t>
  </si>
  <si>
    <t>Cordros Asset Management Limited</t>
  </si>
  <si>
    <t>Cordros Money Market Fund</t>
  </si>
  <si>
    <t>PACAM Money Market Fund</t>
  </si>
  <si>
    <t>Chapel Hill Denham Money Market Fund(Frml NGIF)</t>
  </si>
  <si>
    <t>Abacus Money Market Fund</t>
  </si>
  <si>
    <t>EDC Fund Management</t>
  </si>
  <si>
    <t>EDC Money Market Class B</t>
  </si>
  <si>
    <t>Coronation Asset Management Limited</t>
  </si>
  <si>
    <t>Coronation Money Market Fund</t>
  </si>
  <si>
    <t>Zenith Asset Management Ltd</t>
  </si>
  <si>
    <t>Zenith Money Market Fund</t>
  </si>
  <si>
    <t>Afrinvest Plutus Fund</t>
  </si>
  <si>
    <t>Legacy Money Market Fund</t>
  </si>
  <si>
    <t xml:space="preserve">Growth and Development Asset Management Limited </t>
  </si>
  <si>
    <t>GDL Money Market Fund</t>
  </si>
  <si>
    <t>Vetiva Fund Managers Limited</t>
  </si>
  <si>
    <t>Vetiva Money Market Fund</t>
  </si>
  <si>
    <t>FSDH Asset Management Ltd</t>
  </si>
  <si>
    <t>FAAM Money Market Fund</t>
  </si>
  <si>
    <t>Anchoria Money Market Fund</t>
  </si>
  <si>
    <t>Trustbanc Asset Management Limited</t>
  </si>
  <si>
    <t>Trustbanc Money Market Fund</t>
  </si>
  <si>
    <t>ValuAlliance Asset Management Limited</t>
  </si>
  <si>
    <t>ValuAlliance Money Market Fund</t>
  </si>
  <si>
    <t>NOVAMBL Asset Management Limited</t>
  </si>
  <si>
    <t>NOVA Prime Money Market Fund</t>
  </si>
  <si>
    <t xml:space="preserve"> </t>
  </si>
  <si>
    <t>Stanbic IBTC Bond Fund</t>
  </si>
  <si>
    <t>Nigeria International Debt Fund</t>
  </si>
  <si>
    <t>Legacy USD Bond Fund</t>
  </si>
  <si>
    <t>Pacam Eurobond Fund</t>
  </si>
  <si>
    <t>Afrinvest Dollar Fund</t>
  </si>
  <si>
    <t>ARM Eurobond Fund</t>
  </si>
  <si>
    <t>Coral Income Fund</t>
  </si>
  <si>
    <t>United Capital Fixed Income Fund</t>
  </si>
  <si>
    <t>Vantage Guaranteed Income Fund</t>
  </si>
  <si>
    <t>Capital Express Assset &amp; Trust Limited</t>
  </si>
  <si>
    <t>Stanbic IBTC Guaranteed Investment Fund</t>
  </si>
  <si>
    <t>SFS Capital Nigeria Ltd</t>
  </si>
  <si>
    <t>SFS Fixed Income Fund</t>
  </si>
  <si>
    <t>Stanbic IBTC Absolute Fund (Sub Fund)</t>
  </si>
  <si>
    <t>Stanbic IBTC Conservative Fund (Sub Fund)</t>
  </si>
  <si>
    <t>Lotus Capital Limited</t>
  </si>
  <si>
    <t>PACAM Fixed Income Fund</t>
  </si>
  <si>
    <t>Stanbic IBTC Dollar Fund</t>
  </si>
  <si>
    <t>Kedari Investment Fund</t>
  </si>
  <si>
    <t>Zenith Income Fund</t>
  </si>
  <si>
    <t>Vantage Dollar Fund</t>
  </si>
  <si>
    <t>Lead Asset Mgt Ltd</t>
  </si>
  <si>
    <t xml:space="preserve">Lead Fixed Income Fund </t>
  </si>
  <si>
    <t>Coronation Fixed Income Fund</t>
  </si>
  <si>
    <t>Stanbic IBTC Shariah Fixed Income Fund</t>
  </si>
  <si>
    <t>Anchoria Fixed Income Fund</t>
  </si>
  <si>
    <t>Cordros Dollar Fund</t>
  </si>
  <si>
    <t>ARM Fixed Income Fund</t>
  </si>
  <si>
    <t>AVA Global Asset Managers Limited</t>
  </si>
  <si>
    <t>AVA GAM Fixed Income Dollar Fund</t>
  </si>
  <si>
    <t>FSDH Dollar Fund</t>
  </si>
  <si>
    <t>NOVA Dollar Fixed Income Fund</t>
  </si>
  <si>
    <t>REAL ESTATE FUNDS</t>
  </si>
  <si>
    <t>SFS Real Estate Investment Trust Fund</t>
  </si>
  <si>
    <t>Union Homes REITS</t>
  </si>
  <si>
    <t>UPDC Real Estate Investment Fund</t>
  </si>
  <si>
    <t>Stanbic IBTC Balanced Fund</t>
  </si>
  <si>
    <t>United Capital Balanced Fund</t>
  </si>
  <si>
    <t>Capital Express Balanced Fund</t>
  </si>
  <si>
    <t>AIICO Balanced Fund</t>
  </si>
  <si>
    <t>FBN Balanced Fund</t>
  </si>
  <si>
    <t>ValuAlliance Value Fund</t>
  </si>
  <si>
    <t>Nigeria Energy Sector Fund</t>
  </si>
  <si>
    <t>Coronation Balanced Fund</t>
  </si>
  <si>
    <t>Cordros Milestone Fund</t>
  </si>
  <si>
    <t>Vantage Balanced Fund</t>
  </si>
  <si>
    <t>PACAM Balanced Fund</t>
  </si>
  <si>
    <t xml:space="preserve">Lead Balanced Fund </t>
  </si>
  <si>
    <t>ETHICAL FUNDS</t>
  </si>
  <si>
    <t>Stanbic IBTC Ethical Fund</t>
  </si>
  <si>
    <t>ARM Ethical Fund</t>
  </si>
  <si>
    <t>Stanbic IBTC Imaan Fund</t>
  </si>
  <si>
    <t>Grand Total</t>
  </si>
  <si>
    <t>CardinalStone Asset Mgt. Limited</t>
  </si>
  <si>
    <t>CardinalStone Fixed Income Alpha Fund</t>
  </si>
  <si>
    <t>GDL Income Fund</t>
  </si>
  <si>
    <t>Coral Money Market Fund (FSDH Treasury Bill Fund)</t>
  </si>
  <si>
    <t>AVA GAM Fixed Income Naira Fund</t>
  </si>
  <si>
    <t>Norrenberger Investment and Capital Management Limited</t>
  </si>
  <si>
    <t>Norrenberger Islamic Fund</t>
  </si>
  <si>
    <t>Core Asset Management Limited</t>
  </si>
  <si>
    <t>Core Investment Money Market Fund</t>
  </si>
  <si>
    <t>Core Value Mixed Fund</t>
  </si>
  <si>
    <t>United Capital Sukuk Fund</t>
  </si>
  <si>
    <t>Emerging Africa Asset Management Limited</t>
  </si>
  <si>
    <t>Emerging Africa Money Market Fund</t>
  </si>
  <si>
    <t>Emerging Africa Bond Fund</t>
  </si>
  <si>
    <t>Emerging Africa Eurobond Fund</t>
  </si>
  <si>
    <t>Stanbic IBTC Enhanced Short-Term Fixed Income Fund</t>
  </si>
  <si>
    <t>Note:</t>
  </si>
  <si>
    <t>*Continental Unit Trust Scheme is Inactive*</t>
  </si>
  <si>
    <t>TOTAL INCOME (N)</t>
  </si>
  <si>
    <t>Lotus Halal Investment  Fund</t>
  </si>
  <si>
    <t>ARM Discovery Balanced Fund</t>
  </si>
  <si>
    <t>EDC Money Market Class A</t>
  </si>
  <si>
    <t>Norrenberger Money Market Fund</t>
  </si>
  <si>
    <t xml:space="preserve">Futureview Asset Management Limited </t>
  </si>
  <si>
    <t>Futureview Equity Fund</t>
  </si>
  <si>
    <t>First Ally Asset Management Limited</t>
  </si>
  <si>
    <t>Coral Balanced Fund</t>
  </si>
  <si>
    <t>Women's Balanced Fund</t>
  </si>
  <si>
    <t>GDL Canary Balanced Fund</t>
  </si>
  <si>
    <t>FBNQuest Asset Management Limited</t>
  </si>
  <si>
    <t>First City Asset Management Ltd.</t>
  </si>
  <si>
    <t>Nigeria Dollar Income Fund</t>
  </si>
  <si>
    <t>MIXED FUNDS</t>
  </si>
  <si>
    <t>SHARI'AH COMPLIANT FUNDS</t>
  </si>
  <si>
    <t>FBN Halal Fund</t>
  </si>
  <si>
    <t>Norrenberger Investment &amp; Capital Management Limited</t>
  </si>
  <si>
    <t>BOND/FIXED INCOME FUNDS</t>
  </si>
  <si>
    <t>FBN Bond Fund (FBN Fixed Income Fund)</t>
  </si>
  <si>
    <t>Legacy Debt Fund</t>
  </si>
  <si>
    <t>NOVA Hybrid Balanced Fund</t>
  </si>
  <si>
    <t>Emerging Africa Balanced-Diversity Fund (Gender/Diversity)</t>
  </si>
  <si>
    <t>S/N</t>
  </si>
  <si>
    <t>Stanbic IBTC Asset Management Limited</t>
  </si>
  <si>
    <t xml:space="preserve">Nigerian Eurobond Fund </t>
  </si>
  <si>
    <t>Chapel Hill Denham Nigeria Bond Fund</t>
  </si>
  <si>
    <t>FBN Dollar Fund (Retail)</t>
  </si>
  <si>
    <t xml:space="preserve">AXA Mansard Investments Limited </t>
  </si>
  <si>
    <t>EDC Nigeria Fixed Income Fund</t>
  </si>
  <si>
    <t xml:space="preserve">Capital Trust Investments &amp; Asset Mgt. Ltd </t>
  </si>
  <si>
    <t xml:space="preserve">NET ASSET VALUE  (N) </t>
  </si>
  <si>
    <t>AXA Mansard Dollar Bond Fund</t>
  </si>
  <si>
    <t>CLOSING NUMBER OF UNITS</t>
  </si>
  <si>
    <t>OPENING NUMBER OF UNITS</t>
  </si>
  <si>
    <t>Capital Trust Halal Fixed Income Fund</t>
  </si>
  <si>
    <t>ADDITIONS</t>
  </si>
  <si>
    <t>REDEMPTIONS</t>
  </si>
  <si>
    <t>Zenith ESG Impact Fund</t>
  </si>
  <si>
    <t>Zenith Balanced Strategy Fund</t>
  </si>
  <si>
    <t>Cordros Fixed Income Fund</t>
  </si>
  <si>
    <t>Wealth For Women Fund</t>
  </si>
  <si>
    <t>ARM Investment Managers</t>
  </si>
  <si>
    <t>ARM Short Term-Bond Fund</t>
  </si>
  <si>
    <t>Lotus Halal Fixed Income Fund</t>
  </si>
  <si>
    <t>Cordros Halal Fixed Income Fund</t>
  </si>
  <si>
    <t>Greenwich Balanced Fund</t>
  </si>
  <si>
    <t>SPREADSHEET OF REGISTERED MUTUAL FUNDS AS AT 31ST AUGUST, 2022</t>
  </si>
  <si>
    <t>Nigeria Real Estate Investment Fund</t>
  </si>
  <si>
    <t>Futureview Asset Management Limited</t>
  </si>
  <si>
    <t>Futureview Dollar Fund</t>
  </si>
  <si>
    <t>79,478,086.94</t>
  </si>
  <si>
    <t>CEAT Fixed Income Fund</t>
  </si>
  <si>
    <t>33,942,544.21</t>
  </si>
  <si>
    <t>1.014.</t>
  </si>
  <si>
    <t>275,149,F51.20</t>
  </si>
  <si>
    <t>1,152,649,4O7.L9</t>
  </si>
  <si>
    <t>NET ASSET VALUE  (N) PREVIOUS JULY</t>
  </si>
  <si>
    <t>EUROBONDS</t>
  </si>
  <si>
    <t>FIXED INCOME</t>
  </si>
  <si>
    <t>DOLLAR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</si>
</sst>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&quot; &quot;* #,##0&quot; &quot;;&quot;-&quot;* #,##0&quot; &quot;;&quot; &quot;* &quot;-&quot;??&quot; &quot;"/>
    <numFmt numFmtId="166" formatCode="&quot; &quot;* #,##0.00&quot; &quot;;&quot;-&quot;* #,##0.00&quot; &quot;;&quot; &quot;* &quot;-&quot;??&quot; &quot;"/>
    <numFmt numFmtId="167" formatCode="&quot; &quot;* #,##0.00&quot; &quot;;&quot; &quot;* \(#,##0.00\);&quot; &quot;* &quot;-&quot;??&quot; &quot;"/>
    <numFmt numFmtId="168" formatCode="_-* #,##0_-;\-* #,##0_-;_-* &quot;-&quot;??_-;_-@_-"/>
  </numFmts>
  <fonts count="22" x14ac:knownFonts="1">
    <font>
      <sz val="11"/>
      <color indexed="8"/>
      <name val="Calibri"/>
    </font>
    <font>
      <sz val="12"/>
      <color indexed="8"/>
      <name val="Calibri"/>
      <family val="2"/>
    </font>
    <font>
      <sz val="8"/>
      <color indexed="8"/>
      <name val="Trebuchet MS"/>
      <family val="2"/>
    </font>
    <font>
      <b/>
      <sz val="12"/>
      <color indexed="8"/>
      <name val="Calibri"/>
      <family val="2"/>
    </font>
    <font>
      <sz val="11"/>
      <color indexed="8"/>
      <name val="Calibri"/>
      <family val="2"/>
    </font>
    <font>
      <b/>
      <sz val="10"/>
      <color indexed="8"/>
      <name val="Calibri"/>
      <family val="2"/>
    </font>
    <font>
      <sz val="8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b/>
      <sz val="8"/>
      <color indexed="8"/>
      <name val="Calibri"/>
      <family val="2"/>
    </font>
    <font>
      <sz val="8"/>
      <color indexed="8"/>
      <name val="Calibri"/>
      <family val="2"/>
    </font>
    <font>
      <sz val="8"/>
      <color rgb="FFFF0000"/>
      <name val="Calibri"/>
      <family val="2"/>
    </font>
    <font>
      <sz val="8"/>
      <color indexed="9"/>
      <name val="Calibri"/>
      <family val="2"/>
    </font>
    <font>
      <sz val="8"/>
      <color rgb="FF000000"/>
      <name val="Calibri"/>
      <family val="2"/>
    </font>
    <font>
      <b/>
      <sz val="8"/>
      <color rgb="FFFF0000"/>
      <name val="Calibri"/>
      <family val="2"/>
    </font>
    <font>
      <b/>
      <sz val="10"/>
      <name val="Calibri"/>
      <family val="2"/>
    </font>
    <font>
      <sz val="9"/>
      <color indexed="8"/>
      <name val="Calibri"/>
      <family val="2"/>
    </font>
    <font>
      <b/>
      <sz val="8"/>
      <name val="Calibri"/>
      <family val="2"/>
    </font>
    <font>
      <sz val="10"/>
      <color indexed="8"/>
      <name val="Calibri"/>
      <family val="2"/>
    </font>
    <font>
      <i/>
      <sz val="12"/>
      <color indexed="8"/>
      <name val="Calibri"/>
      <family val="2"/>
    </font>
    <font>
      <b/>
      <sz val="32"/>
      <color indexed="9"/>
      <name val="Calibri"/>
      <family val="2"/>
    </font>
    <font>
      <b/>
      <sz val="12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B0F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11"/>
      </top>
      <bottom/>
      <diagonal/>
    </border>
    <border>
      <left/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/>
      <top/>
      <bottom/>
      <diagonal/>
    </border>
    <border>
      <left/>
      <right/>
      <top/>
      <bottom/>
      <diagonal/>
    </border>
    <border>
      <left/>
      <right style="thin">
        <color indexed="11"/>
      </right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11"/>
      </right>
      <top/>
      <bottom/>
      <diagonal/>
    </border>
    <border>
      <left style="thin">
        <color indexed="11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/>
      <top style="thin">
        <color indexed="1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43" fontId="4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76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NumberFormat="1" applyFont="1" applyFill="1" applyBorder="1" applyAlignment="1"/>
    <xf numFmtId="0" fontId="0" fillId="2" borderId="2" xfId="0" applyNumberFormat="1" applyFont="1" applyFill="1" applyBorder="1" applyAlignment="1"/>
    <xf numFmtId="0" fontId="0" fillId="2" borderId="3" xfId="0" applyNumberFormat="1" applyFont="1" applyFill="1" applyBorder="1" applyAlignment="1"/>
    <xf numFmtId="0" fontId="0" fillId="2" borderId="4" xfId="0" applyNumberFormat="1" applyFont="1" applyFill="1" applyBorder="1" applyAlignment="1"/>
    <xf numFmtId="0" fontId="0" fillId="2" borderId="5" xfId="0" applyNumberFormat="1" applyFont="1" applyFill="1" applyBorder="1" applyAlignment="1"/>
    <xf numFmtId="0" fontId="0" fillId="2" borderId="6" xfId="0" applyNumberFormat="1" applyFont="1" applyFill="1" applyBorder="1" applyAlignment="1"/>
    <xf numFmtId="0" fontId="0" fillId="2" borderId="7" xfId="0" applyNumberFormat="1" applyFont="1" applyFill="1" applyBorder="1" applyAlignment="1"/>
    <xf numFmtId="0" fontId="0" fillId="2" borderId="9" xfId="0" applyNumberFormat="1" applyFont="1" applyFill="1" applyBorder="1" applyAlignment="1"/>
    <xf numFmtId="0" fontId="0" fillId="2" borderId="10" xfId="0" applyNumberFormat="1" applyFont="1" applyFill="1" applyBorder="1" applyAlignment="1"/>
    <xf numFmtId="0" fontId="0" fillId="2" borderId="11" xfId="0" applyNumberFormat="1" applyFont="1" applyFill="1" applyBorder="1" applyAlignment="1"/>
    <xf numFmtId="0" fontId="0" fillId="0" borderId="0" xfId="0" applyNumberFormat="1" applyFont="1" applyAlignment="1"/>
    <xf numFmtId="0" fontId="0" fillId="2" borderId="12" xfId="0" applyNumberFormat="1" applyFont="1" applyFill="1" applyBorder="1" applyAlignment="1"/>
    <xf numFmtId="0" fontId="0" fillId="2" borderId="8" xfId="0" applyNumberFormat="1" applyFont="1" applyFill="1" applyBorder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0" fontId="0" fillId="8" borderId="0" xfId="0" applyNumberFormat="1" applyFont="1" applyFill="1" applyAlignment="1"/>
    <xf numFmtId="0" fontId="0" fillId="8" borderId="0" xfId="0" applyFont="1" applyFill="1" applyAlignment="1"/>
    <xf numFmtId="0" fontId="2" fillId="2" borderId="4" xfId="0" applyNumberFormat="1" applyFont="1" applyFill="1" applyBorder="1" applyAlignment="1"/>
    <xf numFmtId="0" fontId="2" fillId="0" borderId="0" xfId="0" applyNumberFormat="1" applyFont="1" applyAlignment="1"/>
    <xf numFmtId="0" fontId="2" fillId="0" borderId="0" xfId="0" applyFont="1" applyAlignment="1"/>
    <xf numFmtId="0" fontId="4" fillId="0" borderId="0" xfId="0" applyNumberFormat="1" applyFont="1" applyAlignment="1"/>
    <xf numFmtId="0" fontId="7" fillId="12" borderId="4" xfId="0" applyFont="1" applyFill="1" applyBorder="1" applyAlignment="1"/>
    <xf numFmtId="0" fontId="7" fillId="0" borderId="4" xfId="0" applyFont="1" applyBorder="1" applyAlignment="1"/>
    <xf numFmtId="0" fontId="0" fillId="15" borderId="4" xfId="0" applyNumberFormat="1" applyFont="1" applyFill="1" applyBorder="1" applyAlignment="1"/>
    <xf numFmtId="0" fontId="0" fillId="15" borderId="0" xfId="0" applyNumberFormat="1" applyFont="1" applyFill="1" applyAlignment="1"/>
    <xf numFmtId="0" fontId="5" fillId="2" borderId="4" xfId="0" applyNumberFormat="1" applyFont="1" applyFill="1" applyBorder="1" applyAlignment="1"/>
    <xf numFmtId="166" fontId="1" fillId="2" borderId="4" xfId="0" applyNumberFormat="1" applyFont="1" applyFill="1" applyBorder="1" applyAlignment="1"/>
    <xf numFmtId="167" fontId="1" fillId="2" borderId="4" xfId="0" applyNumberFormat="1" applyFont="1" applyFill="1" applyBorder="1" applyAlignment="1"/>
    <xf numFmtId="0" fontId="3" fillId="2" borderId="4" xfId="0" applyNumberFormat="1" applyFont="1" applyFill="1" applyBorder="1" applyAlignment="1"/>
    <xf numFmtId="43" fontId="0" fillId="0" borderId="0" xfId="1" applyFont="1" applyAlignment="1"/>
    <xf numFmtId="0" fontId="4" fillId="2" borderId="4" xfId="0" applyNumberFormat="1" applyFont="1" applyFill="1" applyBorder="1" applyAlignment="1"/>
    <xf numFmtId="0" fontId="4" fillId="0" borderId="0" xfId="0" applyFont="1" applyAlignment="1"/>
    <xf numFmtId="166" fontId="1" fillId="2" borderId="4" xfId="0" applyNumberFormat="1" applyFont="1" applyFill="1" applyBorder="1"/>
    <xf numFmtId="0" fontId="0" fillId="0" borderId="0" xfId="0" applyNumberFormat="1"/>
    <xf numFmtId="43" fontId="0" fillId="0" borderId="0" xfId="0" applyNumberFormat="1" applyFont="1" applyAlignment="1"/>
    <xf numFmtId="0" fontId="0" fillId="0" borderId="4" xfId="0" applyNumberFormat="1" applyFont="1" applyBorder="1" applyAlignment="1"/>
    <xf numFmtId="0" fontId="4" fillId="0" borderId="13" xfId="0" applyFont="1" applyBorder="1" applyAlignment="1"/>
    <xf numFmtId="165" fontId="0" fillId="0" borderId="0" xfId="0" applyNumberFormat="1" applyFont="1" applyAlignment="1"/>
    <xf numFmtId="165" fontId="6" fillId="0" borderId="13" xfId="0" applyNumberFormat="1" applyFont="1" applyFill="1" applyBorder="1" applyAlignment="1">
      <alignment horizontal="center" wrapText="1"/>
    </xf>
    <xf numFmtId="49" fontId="6" fillId="0" borderId="13" xfId="0" applyNumberFormat="1" applyFont="1" applyFill="1" applyBorder="1" applyAlignment="1">
      <alignment wrapText="1"/>
    </xf>
    <xf numFmtId="166" fontId="10" fillId="0" borderId="13" xfId="0" applyNumberFormat="1" applyFont="1" applyFill="1" applyBorder="1" applyAlignment="1">
      <alignment horizontal="right"/>
    </xf>
    <xf numFmtId="43" fontId="10" fillId="0" borderId="13" xfId="1" applyFont="1" applyFill="1" applyBorder="1" applyAlignment="1"/>
    <xf numFmtId="166" fontId="10" fillId="0" borderId="13" xfId="0" applyNumberFormat="1" applyFont="1" applyFill="1" applyBorder="1" applyAlignment="1"/>
    <xf numFmtId="4" fontId="10" fillId="0" borderId="13" xfId="0" applyNumberFormat="1" applyFont="1" applyFill="1" applyBorder="1" applyAlignment="1"/>
    <xf numFmtId="43" fontId="10" fillId="5" borderId="13" xfId="1" applyFont="1" applyFill="1" applyBorder="1" applyAlignment="1"/>
    <xf numFmtId="4" fontId="10" fillId="2" borderId="13" xfId="0" applyNumberFormat="1" applyFont="1" applyFill="1" applyBorder="1" applyAlignment="1"/>
    <xf numFmtId="166" fontId="10" fillId="7" borderId="13" xfId="0" applyNumberFormat="1" applyFont="1" applyFill="1" applyBorder="1" applyAlignment="1">
      <alignment horizontal="left"/>
    </xf>
    <xf numFmtId="10" fontId="10" fillId="6" borderId="13" xfId="0" applyNumberFormat="1" applyFont="1" applyFill="1" applyBorder="1" applyAlignment="1"/>
    <xf numFmtId="10" fontId="10" fillId="4" borderId="13" xfId="0" applyNumberFormat="1" applyFont="1" applyFill="1" applyBorder="1" applyAlignment="1"/>
    <xf numFmtId="10" fontId="11" fillId="8" borderId="13" xfId="0" applyNumberFormat="1" applyFont="1" applyFill="1" applyBorder="1" applyAlignment="1">
      <alignment horizontal="right" vertical="center"/>
    </xf>
    <xf numFmtId="10" fontId="10" fillId="3" borderId="13" xfId="0" applyNumberFormat="1" applyFont="1" applyFill="1" applyBorder="1" applyAlignment="1">
      <alignment horizontal="right" vertical="center"/>
    </xf>
    <xf numFmtId="166" fontId="10" fillId="3" borderId="13" xfId="0" applyNumberFormat="1" applyFont="1" applyFill="1" applyBorder="1" applyAlignment="1">
      <alignment horizontal="right" vertical="center"/>
    </xf>
    <xf numFmtId="165" fontId="10" fillId="0" borderId="13" xfId="0" applyNumberFormat="1" applyFont="1" applyFill="1" applyBorder="1" applyAlignment="1"/>
    <xf numFmtId="49" fontId="6" fillId="0" borderId="13" xfId="0" applyNumberFormat="1" applyFont="1" applyFill="1" applyBorder="1" applyAlignment="1"/>
    <xf numFmtId="4" fontId="10" fillId="15" borderId="13" xfId="0" applyNumberFormat="1" applyFont="1" applyFill="1" applyBorder="1" applyAlignment="1"/>
    <xf numFmtId="165" fontId="10" fillId="15" borderId="13" xfId="0" applyNumberFormat="1" applyFont="1" applyFill="1" applyBorder="1" applyAlignment="1"/>
    <xf numFmtId="10" fontId="10" fillId="11" borderId="13" xfId="0" applyNumberFormat="1" applyFont="1" applyFill="1" applyBorder="1" applyAlignment="1"/>
    <xf numFmtId="10" fontId="10" fillId="9" borderId="13" xfId="0" applyNumberFormat="1" applyFont="1" applyFill="1" applyBorder="1" applyAlignment="1">
      <alignment horizontal="right" vertical="center"/>
    </xf>
    <xf numFmtId="166" fontId="10" fillId="9" borderId="13" xfId="0" applyNumberFormat="1" applyFont="1" applyFill="1" applyBorder="1" applyAlignment="1">
      <alignment horizontal="right" vertical="center"/>
    </xf>
    <xf numFmtId="3" fontId="10" fillId="0" borderId="13" xfId="0" applyNumberFormat="1" applyFont="1" applyBorder="1" applyAlignment="1"/>
    <xf numFmtId="4" fontId="10" fillId="0" borderId="13" xfId="0" applyNumberFormat="1" applyFont="1" applyBorder="1" applyAlignment="1"/>
    <xf numFmtId="165" fontId="10" fillId="2" borderId="13" xfId="0" applyNumberFormat="1" applyFont="1" applyFill="1" applyBorder="1" applyAlignment="1"/>
    <xf numFmtId="166" fontId="10" fillId="2" borderId="13" xfId="0" applyNumberFormat="1" applyFont="1" applyFill="1" applyBorder="1" applyAlignment="1"/>
    <xf numFmtId="49" fontId="6" fillId="0" borderId="13" xfId="0" applyNumberFormat="1" applyFont="1" applyFill="1" applyBorder="1" applyAlignment="1">
      <alignment vertical="center" wrapText="1"/>
    </xf>
    <xf numFmtId="49" fontId="6" fillId="15" borderId="13" xfId="0" applyNumberFormat="1" applyFont="1" applyFill="1" applyBorder="1" applyAlignment="1">
      <alignment vertical="center" wrapText="1"/>
    </xf>
    <xf numFmtId="49" fontId="6" fillId="15" borderId="13" xfId="0" applyNumberFormat="1" applyFont="1" applyFill="1" applyBorder="1" applyAlignment="1"/>
    <xf numFmtId="165" fontId="11" fillId="0" borderId="13" xfId="0" applyNumberFormat="1" applyFont="1" applyFill="1" applyBorder="1" applyAlignment="1">
      <alignment horizontal="center" wrapText="1"/>
    </xf>
    <xf numFmtId="49" fontId="11" fillId="0" borderId="13" xfId="0" applyNumberFormat="1" applyFont="1" applyFill="1" applyBorder="1" applyAlignment="1">
      <alignment vertical="center" wrapText="1"/>
    </xf>
    <xf numFmtId="166" fontId="12" fillId="2" borderId="13" xfId="0" applyNumberFormat="1" applyFont="1" applyFill="1" applyBorder="1" applyAlignment="1"/>
    <xf numFmtId="166" fontId="12" fillId="5" borderId="13" xfId="0" applyNumberFormat="1" applyFont="1" applyFill="1" applyBorder="1" applyAlignment="1"/>
    <xf numFmtId="166" fontId="10" fillId="7" borderId="13" xfId="0" applyNumberFormat="1" applyFont="1" applyFill="1" applyBorder="1" applyAlignment="1"/>
    <xf numFmtId="10" fontId="12" fillId="3" borderId="13" xfId="0" applyNumberFormat="1" applyFont="1" applyFill="1" applyBorder="1" applyAlignment="1">
      <alignment horizontal="right" vertical="center"/>
    </xf>
    <xf numFmtId="166" fontId="12" fillId="3" borderId="13" xfId="0" applyNumberFormat="1" applyFont="1" applyFill="1" applyBorder="1" applyAlignment="1">
      <alignment horizontal="right" vertical="center"/>
    </xf>
    <xf numFmtId="165" fontId="12" fillId="2" borderId="13" xfId="0" applyNumberFormat="1" applyFont="1" applyFill="1" applyBorder="1" applyAlignment="1"/>
    <xf numFmtId="10" fontId="11" fillId="13" borderId="13" xfId="0" applyNumberFormat="1" applyFont="1" applyFill="1" applyBorder="1" applyAlignment="1">
      <alignment horizontal="right" vertical="center"/>
    </xf>
    <xf numFmtId="10" fontId="13" fillId="14" borderId="13" xfId="0" applyNumberFormat="1" applyFont="1" applyFill="1" applyBorder="1" applyAlignment="1">
      <alignment horizontal="right" vertical="center"/>
    </xf>
    <xf numFmtId="166" fontId="13" fillId="14" borderId="13" xfId="0" applyNumberFormat="1" applyFont="1" applyFill="1" applyBorder="1" applyAlignment="1">
      <alignment horizontal="right" vertical="center"/>
    </xf>
    <xf numFmtId="165" fontId="14" fillId="2" borderId="13" xfId="0" applyNumberFormat="1" applyFont="1" applyFill="1" applyBorder="1" applyAlignment="1">
      <alignment horizontal="center"/>
    </xf>
    <xf numFmtId="166" fontId="9" fillId="2" borderId="13" xfId="0" applyNumberFormat="1" applyFont="1" applyFill="1" applyBorder="1" applyAlignment="1"/>
    <xf numFmtId="166" fontId="9" fillId="7" borderId="13" xfId="0" applyNumberFormat="1" applyFont="1" applyFill="1" applyBorder="1" applyAlignment="1">
      <alignment horizontal="left"/>
    </xf>
    <xf numFmtId="10" fontId="14" fillId="6" borderId="13" xfId="0" applyNumberFormat="1" applyFont="1" applyFill="1" applyBorder="1" applyAlignment="1"/>
    <xf numFmtId="10" fontId="9" fillId="4" borderId="13" xfId="0" applyNumberFormat="1" applyFont="1" applyFill="1" applyBorder="1" applyAlignment="1"/>
    <xf numFmtId="10" fontId="14" fillId="8" borderId="13" xfId="0" applyNumberFormat="1" applyFont="1" applyFill="1" applyBorder="1" applyAlignment="1">
      <alignment horizontal="right" vertical="center"/>
    </xf>
    <xf numFmtId="10" fontId="9" fillId="3" borderId="13" xfId="0" applyNumberFormat="1" applyFont="1" applyFill="1" applyBorder="1" applyAlignment="1">
      <alignment horizontal="right" vertical="center"/>
    </xf>
    <xf numFmtId="166" fontId="9" fillId="3" borderId="13" xfId="0" applyNumberFormat="1" applyFont="1" applyFill="1" applyBorder="1" applyAlignment="1">
      <alignment horizontal="right" vertical="center"/>
    </xf>
    <xf numFmtId="165" fontId="9" fillId="2" borderId="13" xfId="0" applyNumberFormat="1" applyFont="1" applyFill="1" applyBorder="1" applyAlignment="1"/>
    <xf numFmtId="4" fontId="16" fillId="0" borderId="13" xfId="0" applyNumberFormat="1" applyFont="1" applyBorder="1" applyAlignment="1"/>
    <xf numFmtId="0" fontId="4" fillId="0" borderId="13" xfId="0" applyNumberFormat="1" applyFont="1" applyBorder="1" applyAlignment="1"/>
    <xf numFmtId="43" fontId="10" fillId="0" borderId="13" xfId="1" applyFont="1" applyFill="1" applyBorder="1" applyAlignment="1">
      <alignment horizontal="right"/>
    </xf>
    <xf numFmtId="49" fontId="6" fillId="15" borderId="13" xfId="0" applyNumberFormat="1" applyFont="1" applyFill="1" applyBorder="1" applyAlignment="1">
      <alignment wrapText="1"/>
    </xf>
    <xf numFmtId="166" fontId="10" fillId="15" borderId="13" xfId="0" applyNumberFormat="1" applyFont="1" applyFill="1" applyBorder="1" applyAlignment="1"/>
    <xf numFmtId="9" fontId="11" fillId="8" borderId="13" xfId="2" applyFont="1" applyFill="1" applyBorder="1" applyAlignment="1">
      <alignment horizontal="right" vertical="center"/>
    </xf>
    <xf numFmtId="49" fontId="6" fillId="0" borderId="13" xfId="0" applyNumberFormat="1" applyFont="1" applyFill="1" applyBorder="1" applyAlignment="1">
      <alignment vertical="top" wrapText="1"/>
    </xf>
    <xf numFmtId="0" fontId="9" fillId="2" borderId="13" xfId="0" applyNumberFormat="1" applyFont="1" applyFill="1" applyBorder="1" applyAlignment="1"/>
    <xf numFmtId="166" fontId="9" fillId="2" borderId="13" xfId="0" applyNumberFormat="1" applyFont="1" applyFill="1" applyBorder="1" applyAlignment="1">
      <alignment horizontal="left"/>
    </xf>
    <xf numFmtId="166" fontId="10" fillId="7" borderId="13" xfId="0" applyNumberFormat="1" applyFont="1" applyFill="1" applyBorder="1"/>
    <xf numFmtId="49" fontId="14" fillId="15" borderId="13" xfId="0" applyNumberFormat="1" applyFont="1" applyFill="1" applyBorder="1" applyAlignment="1">
      <alignment horizontal="center" wrapText="1"/>
    </xf>
    <xf numFmtId="166" fontId="9" fillId="7" borderId="13" xfId="0" applyNumberFormat="1" applyFont="1" applyFill="1" applyBorder="1" applyAlignment="1"/>
    <xf numFmtId="2" fontId="10" fillId="0" borderId="13" xfId="0" applyNumberFormat="1" applyFont="1" applyFill="1" applyBorder="1" applyAlignment="1"/>
    <xf numFmtId="0" fontId="10" fillId="2" borderId="13" xfId="0" applyNumberFormat="1" applyFont="1" applyFill="1" applyBorder="1" applyAlignment="1"/>
    <xf numFmtId="166" fontId="10" fillId="2" borderId="13" xfId="0" applyNumberFormat="1" applyFont="1" applyFill="1" applyBorder="1" applyAlignment="1">
      <alignment horizontal="left"/>
    </xf>
    <xf numFmtId="2" fontId="10" fillId="15" borderId="13" xfId="0" applyNumberFormat="1" applyFont="1" applyFill="1" applyBorder="1" applyAlignment="1"/>
    <xf numFmtId="164" fontId="10" fillId="2" borderId="13" xfId="0" applyNumberFormat="1" applyFont="1" applyFill="1" applyBorder="1" applyAlignment="1"/>
    <xf numFmtId="165" fontId="10" fillId="0" borderId="13" xfId="0" applyNumberFormat="1" applyFont="1" applyFill="1" applyBorder="1" applyAlignment="1">
      <alignment horizontal="right"/>
    </xf>
    <xf numFmtId="166" fontId="10" fillId="10" borderId="13" xfId="0" applyNumberFormat="1" applyFont="1" applyFill="1" applyBorder="1" applyAlignment="1"/>
    <xf numFmtId="1" fontId="10" fillId="0" borderId="13" xfId="0" applyNumberFormat="1" applyFont="1" applyFill="1" applyBorder="1" applyAlignment="1"/>
    <xf numFmtId="166" fontId="9" fillId="7" borderId="13" xfId="0" applyNumberFormat="1" applyFont="1" applyFill="1" applyBorder="1"/>
    <xf numFmtId="165" fontId="6" fillId="0" borderId="13" xfId="0" applyNumberFormat="1" applyFont="1" applyFill="1" applyBorder="1" applyAlignment="1">
      <alignment horizontal="right" wrapText="1"/>
    </xf>
    <xf numFmtId="43" fontId="10" fillId="5" borderId="13" xfId="1" applyFont="1" applyFill="1" applyBorder="1" applyAlignment="1">
      <alignment horizontal="left"/>
    </xf>
    <xf numFmtId="10" fontId="10" fillId="8" borderId="13" xfId="0" applyNumberFormat="1" applyFont="1" applyFill="1" applyBorder="1" applyAlignment="1"/>
    <xf numFmtId="166" fontId="10" fillId="2" borderId="13" xfId="0" applyNumberFormat="1" applyFont="1" applyFill="1" applyBorder="1" applyAlignment="1">
      <alignment horizontal="right"/>
    </xf>
    <xf numFmtId="43" fontId="10" fillId="2" borderId="13" xfId="1" applyFont="1" applyFill="1" applyBorder="1" applyAlignment="1"/>
    <xf numFmtId="43" fontId="10" fillId="10" borderId="13" xfId="1" applyFont="1" applyFill="1" applyBorder="1" applyAlignment="1"/>
    <xf numFmtId="0" fontId="6" fillId="15" borderId="13" xfId="0" applyFont="1" applyFill="1" applyBorder="1" applyAlignment="1">
      <alignment wrapText="1"/>
    </xf>
    <xf numFmtId="4" fontId="6" fillId="15" borderId="13" xfId="0" applyNumberFormat="1" applyFont="1" applyFill="1" applyBorder="1" applyAlignment="1">
      <alignment wrapText="1"/>
    </xf>
    <xf numFmtId="166" fontId="13" fillId="12" borderId="13" xfId="0" applyNumberFormat="1" applyFont="1" applyFill="1" applyBorder="1" applyAlignment="1">
      <alignment horizontal="left"/>
    </xf>
    <xf numFmtId="49" fontId="11" fillId="0" borderId="13" xfId="0" applyNumberFormat="1" applyFont="1" applyFill="1" applyBorder="1" applyAlignment="1"/>
    <xf numFmtId="49" fontId="11" fillId="0" borderId="13" xfId="0" applyNumberFormat="1" applyFont="1" applyFill="1" applyBorder="1" applyAlignment="1">
      <alignment wrapText="1"/>
    </xf>
    <xf numFmtId="166" fontId="10" fillId="0" borderId="13" xfId="0" applyNumberFormat="1" applyFont="1" applyFill="1" applyBorder="1" applyAlignment="1">
      <alignment horizontal="left"/>
    </xf>
    <xf numFmtId="3" fontId="10" fillId="2" borderId="13" xfId="0" applyNumberFormat="1" applyFont="1" applyFill="1" applyBorder="1" applyAlignment="1"/>
    <xf numFmtId="166" fontId="13" fillId="0" borderId="13" xfId="0" applyNumberFormat="1" applyFont="1" applyBorder="1" applyAlignment="1"/>
    <xf numFmtId="3" fontId="10" fillId="0" borderId="13" xfId="0" applyNumberFormat="1" applyFont="1" applyFill="1" applyBorder="1" applyAlignment="1"/>
    <xf numFmtId="165" fontId="14" fillId="0" borderId="13" xfId="0" applyNumberFormat="1" applyFont="1" applyFill="1" applyBorder="1" applyAlignment="1">
      <alignment horizontal="center" wrapText="1"/>
    </xf>
    <xf numFmtId="43" fontId="9" fillId="2" borderId="13" xfId="1" applyFont="1" applyFill="1" applyBorder="1" applyAlignment="1"/>
    <xf numFmtId="168" fontId="9" fillId="2" borderId="13" xfId="1" applyNumberFormat="1" applyFont="1" applyFill="1" applyBorder="1" applyAlignment="1"/>
    <xf numFmtId="49" fontId="10" fillId="2" borderId="13" xfId="0" applyNumberFormat="1" applyFont="1" applyFill="1" applyBorder="1" applyAlignment="1">
      <alignment horizontal="right"/>
    </xf>
    <xf numFmtId="4" fontId="10" fillId="2" borderId="13" xfId="0" applyNumberFormat="1" applyFont="1" applyFill="1" applyBorder="1" applyAlignment="1">
      <alignment horizontal="right"/>
    </xf>
    <xf numFmtId="43" fontId="10" fillId="5" borderId="13" xfId="1" applyFont="1" applyFill="1" applyBorder="1" applyAlignment="1">
      <alignment horizontal="right"/>
    </xf>
    <xf numFmtId="43" fontId="10" fillId="2" borderId="13" xfId="1" applyFont="1" applyFill="1" applyBorder="1" applyAlignment="1">
      <alignment horizontal="right"/>
    </xf>
    <xf numFmtId="2" fontId="10" fillId="2" borderId="13" xfId="0" applyNumberFormat="1" applyFont="1" applyFill="1" applyBorder="1" applyAlignment="1">
      <alignment horizontal="right"/>
    </xf>
    <xf numFmtId="165" fontId="14" fillId="2" borderId="13" xfId="0" applyNumberFormat="1" applyFont="1" applyFill="1" applyBorder="1" applyAlignment="1">
      <alignment horizontal="center" wrapText="1"/>
    </xf>
    <xf numFmtId="0" fontId="6" fillId="0" borderId="13" xfId="0" applyFont="1" applyFill="1" applyBorder="1" applyAlignment="1"/>
    <xf numFmtId="166" fontId="9" fillId="2" borderId="13" xfId="0" applyNumberFormat="1" applyFont="1" applyFill="1" applyBorder="1" applyAlignment="1">
      <alignment wrapText="1"/>
    </xf>
    <xf numFmtId="165" fontId="11" fillId="15" borderId="13" xfId="0" applyNumberFormat="1" applyFont="1" applyFill="1" applyBorder="1" applyAlignment="1">
      <alignment horizontal="center" wrapText="1"/>
    </xf>
    <xf numFmtId="166" fontId="10" fillId="2" borderId="13" xfId="0" applyNumberFormat="1" applyFont="1" applyFill="1" applyBorder="1" applyAlignment="1">
      <alignment horizontal="left" wrapText="1"/>
    </xf>
    <xf numFmtId="165" fontId="10" fillId="2" borderId="13" xfId="0" applyNumberFormat="1" applyFont="1" applyFill="1" applyBorder="1" applyAlignment="1">
      <alignment horizontal="left"/>
    </xf>
    <xf numFmtId="165" fontId="10" fillId="0" borderId="13" xfId="0" applyNumberFormat="1" applyFont="1" applyFill="1" applyBorder="1" applyAlignment="1">
      <alignment horizontal="center"/>
    </xf>
    <xf numFmtId="49" fontId="9" fillId="0" borderId="13" xfId="0" applyNumberFormat="1" applyFont="1" applyFill="1" applyBorder="1" applyAlignment="1">
      <alignment horizontal="right"/>
    </xf>
    <xf numFmtId="4" fontId="4" fillId="2" borderId="4" xfId="0" applyNumberFormat="1" applyFont="1" applyFill="1" applyBorder="1" applyAlignment="1"/>
    <xf numFmtId="43" fontId="4" fillId="2" borderId="4" xfId="1" applyFont="1" applyFill="1" applyBorder="1" applyAlignment="1"/>
    <xf numFmtId="0" fontId="4" fillId="2" borderId="4" xfId="0" applyNumberFormat="1" applyFont="1" applyFill="1" applyBorder="1"/>
    <xf numFmtId="0" fontId="18" fillId="2" borderId="4" xfId="0" applyNumberFormat="1" applyFont="1" applyFill="1" applyBorder="1" applyAlignment="1"/>
    <xf numFmtId="0" fontId="19" fillId="2" borderId="4" xfId="0" applyNumberFormat="1" applyFont="1" applyFill="1" applyBorder="1" applyAlignment="1"/>
    <xf numFmtId="4" fontId="9" fillId="0" borderId="4" xfId="0" applyNumberFormat="1" applyFont="1" applyBorder="1" applyAlignment="1"/>
    <xf numFmtId="49" fontId="20" fillId="16" borderId="13" xfId="0" applyNumberFormat="1" applyFont="1" applyFill="1" applyBorder="1" applyAlignment="1">
      <alignment horizontal="center"/>
    </xf>
    <xf numFmtId="49" fontId="3" fillId="8" borderId="13" xfId="0" applyNumberFormat="1" applyFont="1" applyFill="1" applyBorder="1" applyAlignment="1">
      <alignment horizontal="center" vertical="top" wrapText="1"/>
    </xf>
    <xf numFmtId="43" fontId="3" fillId="8" borderId="13" xfId="1" applyFont="1" applyFill="1" applyBorder="1" applyAlignment="1">
      <alignment horizontal="center" vertical="top" wrapText="1"/>
    </xf>
    <xf numFmtId="49" fontId="17" fillId="2" borderId="13" xfId="0" applyNumberFormat="1" applyFont="1" applyFill="1" applyBorder="1" applyAlignment="1">
      <alignment horizontal="right"/>
    </xf>
    <xf numFmtId="49" fontId="17" fillId="0" borderId="13" xfId="0" applyNumberFormat="1" applyFont="1" applyFill="1" applyBorder="1" applyAlignment="1">
      <alignment horizontal="right"/>
    </xf>
    <xf numFmtId="49" fontId="21" fillId="9" borderId="14" xfId="0" applyNumberFormat="1" applyFont="1" applyFill="1" applyBorder="1" applyAlignment="1">
      <alignment horizontal="center" vertical="top" wrapText="1"/>
    </xf>
    <xf numFmtId="49" fontId="21" fillId="9" borderId="15" xfId="0" applyNumberFormat="1" applyFont="1" applyFill="1" applyBorder="1" applyAlignment="1">
      <alignment horizontal="center" vertical="top" wrapText="1"/>
    </xf>
    <xf numFmtId="49" fontId="21" fillId="9" borderId="16" xfId="0" applyNumberFormat="1" applyFont="1" applyFill="1" applyBorder="1" applyAlignment="1">
      <alignment horizontal="center" vertical="top" wrapText="1"/>
    </xf>
    <xf numFmtId="0" fontId="15" fillId="8" borderId="14" xfId="0" applyFont="1" applyFill="1" applyBorder="1" applyAlignment="1">
      <alignment horizontal="center" wrapText="1"/>
    </xf>
    <xf numFmtId="0" fontId="15" fillId="8" borderId="15" xfId="0" applyFont="1" applyFill="1" applyBorder="1" applyAlignment="1">
      <alignment horizontal="center" wrapText="1"/>
    </xf>
    <xf numFmtId="0" fontId="15" fillId="8" borderId="16" xfId="0" applyFont="1" applyFill="1" applyBorder="1" applyAlignment="1">
      <alignment horizontal="center" wrapText="1"/>
    </xf>
    <xf numFmtId="49" fontId="20" fillId="16" borderId="13" xfId="0" applyNumberFormat="1" applyFont="1" applyFill="1" applyBorder="1" applyAlignment="1">
      <alignment horizontal="center"/>
    </xf>
    <xf numFmtId="0" fontId="20" fillId="16" borderId="13" xfId="0" applyNumberFormat="1" applyFont="1" applyFill="1" applyBorder="1" applyAlignment="1">
      <alignment horizontal="center"/>
    </xf>
    <xf numFmtId="49" fontId="3" fillId="9" borderId="14" xfId="0" applyNumberFormat="1" applyFont="1" applyFill="1" applyBorder="1" applyAlignment="1">
      <alignment horizontal="center" vertical="top" wrapText="1"/>
    </xf>
    <xf numFmtId="49" fontId="3" fillId="9" borderId="15" xfId="0" applyNumberFormat="1" applyFont="1" applyFill="1" applyBorder="1" applyAlignment="1">
      <alignment horizontal="center" vertical="top" wrapText="1"/>
    </xf>
    <xf numFmtId="49" fontId="3" fillId="9" borderId="16" xfId="0" applyNumberFormat="1" applyFont="1" applyFill="1" applyBorder="1" applyAlignment="1">
      <alignment horizontal="center" vertical="top" wrapText="1"/>
    </xf>
    <xf numFmtId="166" fontId="15" fillId="8" borderId="14" xfId="0" applyNumberFormat="1" applyFont="1" applyFill="1" applyBorder="1" applyAlignment="1">
      <alignment horizontal="center" wrapText="1"/>
    </xf>
    <xf numFmtId="166" fontId="15" fillId="8" borderId="15" xfId="0" applyNumberFormat="1" applyFont="1" applyFill="1" applyBorder="1" applyAlignment="1">
      <alignment horizontal="center" wrapText="1"/>
    </xf>
    <xf numFmtId="166" fontId="15" fillId="8" borderId="16" xfId="0" applyNumberFormat="1" applyFont="1" applyFill="1" applyBorder="1" applyAlignment="1">
      <alignment horizontal="center" wrapText="1"/>
    </xf>
    <xf numFmtId="165" fontId="10" fillId="17" borderId="13" xfId="0" applyNumberFormat="1" applyFont="1" applyFill="1" applyBorder="1" applyAlignment="1">
      <alignment horizontal="center" wrapText="1"/>
    </xf>
    <xf numFmtId="49" fontId="9" fillId="17" borderId="13" xfId="0" applyNumberFormat="1" applyFont="1" applyFill="1" applyBorder="1" applyAlignment="1">
      <alignment horizontal="right"/>
    </xf>
    <xf numFmtId="166" fontId="10" fillId="17" borderId="13" xfId="0" applyNumberFormat="1" applyFont="1" applyFill="1" applyBorder="1" applyAlignment="1">
      <alignment wrapText="1"/>
    </xf>
    <xf numFmtId="166" fontId="9" fillId="17" borderId="13" xfId="0" applyNumberFormat="1" applyFont="1" applyFill="1" applyBorder="1" applyAlignment="1"/>
    <xf numFmtId="166" fontId="9" fillId="17" borderId="13" xfId="0" applyNumberFormat="1" applyFont="1" applyFill="1" applyBorder="1"/>
    <xf numFmtId="10" fontId="9" fillId="17" borderId="13" xfId="0" applyNumberFormat="1" applyFont="1" applyFill="1" applyBorder="1" applyAlignment="1"/>
    <xf numFmtId="10" fontId="14" fillId="17" borderId="13" xfId="0" applyNumberFormat="1" applyFont="1" applyFill="1" applyBorder="1" applyAlignment="1">
      <alignment horizontal="right" vertical="center"/>
    </xf>
    <xf numFmtId="10" fontId="9" fillId="17" borderId="13" xfId="0" applyNumberFormat="1" applyFont="1" applyFill="1" applyBorder="1" applyAlignment="1">
      <alignment horizontal="right" vertical="center"/>
    </xf>
    <xf numFmtId="166" fontId="9" fillId="17" borderId="13" xfId="0" applyNumberFormat="1" applyFont="1" applyFill="1" applyBorder="1" applyAlignment="1">
      <alignment horizontal="right" vertical="center"/>
    </xf>
    <xf numFmtId="165" fontId="9" fillId="17" borderId="13" xfId="0" applyNumberFormat="1" applyFont="1" applyFill="1" applyBorder="1" applyAlignment="1"/>
  </cellXfs>
  <cellStyles count="3">
    <cellStyle name="Comma" xfId="1" builtinId="3"/>
    <cellStyle name="Normal" xfId="0" builtinId="0"/>
    <cellStyle name="Percent" xfId="2" builtin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0000"/>
      <rgbColor rgb="FFFFFFFF"/>
      <rgbColor rgb="FFAAAAAA"/>
      <rgbColor rgb="FF92D050"/>
      <rgbColor rgb="FFDBE5F1"/>
      <rgbColor rgb="FFB6DDE8"/>
      <rgbColor rgb="FFFFFF00"/>
      <rgbColor rgb="FF95B3D7"/>
      <rgbColor rgb="FFFDE9D9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71438</xdr:rowOff>
    </xdr:from>
    <xdr:to>
      <xdr:col>12</xdr:col>
      <xdr:colOff>476250</xdr:colOff>
      <xdr:row>26</xdr:row>
      <xdr:rowOff>71437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438"/>
          <a:ext cx="8477250" cy="433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11906</xdr:rowOff>
    </xdr:from>
    <xdr:to>
      <xdr:col>14</xdr:col>
      <xdr:colOff>0</xdr:colOff>
      <xdr:row>23</xdr:row>
      <xdr:rowOff>154781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906"/>
          <a:ext cx="9334500" cy="3976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11906</xdr:colOff>
      <xdr:row>22</xdr:row>
      <xdr:rowOff>11906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441531" cy="4202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G157"/>
  <sheetViews>
    <sheetView showGridLines="0" tabSelected="1" view="pageBreakPreview" zoomScale="120" zoomScaleNormal="160" zoomScaleSheetLayoutView="120" workbookViewId="0">
      <pane ySplit="2" topLeftCell="A3" activePane="bottomLeft" state="frozen"/>
      <selection pane="bottomLeft" activeCell="A3" sqref="A3:AE3"/>
    </sheetView>
  </sheetViews>
  <sheetFormatPr defaultColWidth="8.85546875" defaultRowHeight="15.75" customHeight="1" x14ac:dyDescent="0.25"/>
  <cols>
    <col min="1" max="1" width="6.42578125" style="1" customWidth="1"/>
    <col min="2" max="2" width="42" style="17" customWidth="1"/>
    <col min="3" max="3" width="40.28515625" style="1" customWidth="1"/>
    <col min="4" max="4" width="0.28515625" style="1" customWidth="1"/>
    <col min="5" max="5" width="17.42578125" style="1" hidden="1" customWidth="1"/>
    <col min="6" max="6" width="21.140625" style="1" hidden="1" customWidth="1"/>
    <col min="7" max="7" width="19.85546875" style="1" hidden="1" customWidth="1"/>
    <col min="8" max="8" width="17.85546875" style="1" hidden="1" customWidth="1"/>
    <col min="9" max="9" width="18" style="1" hidden="1" customWidth="1"/>
    <col min="10" max="10" width="21.5703125" style="1" customWidth="1"/>
    <col min="11" max="11" width="19" style="17" customWidth="1"/>
    <col min="12" max="12" width="19.7109375" style="1" customWidth="1"/>
    <col min="13" max="13" width="17.7109375" style="32" customWidth="1"/>
    <col min="14" max="14" width="22.42578125" style="1" customWidth="1"/>
    <col min="15" max="15" width="19.42578125" style="1" customWidth="1"/>
    <col min="16" max="16" width="21.7109375" style="36" customWidth="1"/>
    <col min="17" max="17" width="9.28515625" style="1" customWidth="1"/>
    <col min="18" max="18" width="20.42578125" style="1" customWidth="1"/>
    <col min="19" max="19" width="9.140625" style="1" customWidth="1"/>
    <col min="20" max="20" width="10.140625" style="1" customWidth="1"/>
    <col min="21" max="21" width="11.28515625" style="1" customWidth="1"/>
    <col min="22" max="22" width="10.140625" style="1" customWidth="1"/>
    <col min="23" max="23" width="11.42578125" style="1" customWidth="1"/>
    <col min="24" max="24" width="11" style="1" customWidth="1"/>
    <col min="25" max="25" width="15" style="1" customWidth="1"/>
    <col min="26" max="26" width="14.42578125" style="1" customWidth="1"/>
    <col min="27" max="27" width="14.28515625" style="1" customWidth="1"/>
    <col min="28" max="28" width="20.140625" style="17" customWidth="1"/>
    <col min="29" max="29" width="18.140625" style="17" customWidth="1"/>
    <col min="30" max="30" width="19" style="17" customWidth="1"/>
    <col min="31" max="31" width="21.85546875" style="1" customWidth="1"/>
    <col min="32" max="32" width="8.85546875" style="1" customWidth="1"/>
    <col min="33" max="33" width="20.28515625" style="1" customWidth="1"/>
    <col min="34" max="241" width="8.85546875" style="1" customWidth="1"/>
  </cols>
  <sheetData>
    <row r="1" spans="1:241" ht="36.75" customHeight="1" x14ac:dyDescent="0.65">
      <c r="A1" s="158" t="s">
        <v>210</v>
      </c>
      <c r="B1" s="158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47"/>
      <c r="AF1" s="38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  <c r="HL1" s="17"/>
      <c r="HM1" s="17"/>
      <c r="HN1" s="17"/>
      <c r="HO1" s="17"/>
      <c r="HP1" s="17"/>
      <c r="HQ1" s="17"/>
      <c r="HR1" s="17"/>
      <c r="HS1" s="17"/>
      <c r="HT1" s="17"/>
      <c r="HU1" s="17"/>
      <c r="HV1" s="17"/>
      <c r="HW1" s="17"/>
      <c r="HX1" s="17"/>
      <c r="HY1" s="17"/>
      <c r="HZ1" s="17"/>
      <c r="IA1" s="17"/>
      <c r="IB1" s="17"/>
      <c r="IC1" s="17"/>
      <c r="ID1" s="17"/>
      <c r="IE1" s="17"/>
      <c r="IF1" s="17"/>
      <c r="IG1" s="17"/>
    </row>
    <row r="2" spans="1:241" ht="54" customHeight="1" x14ac:dyDescent="0.25">
      <c r="A2" s="148" t="s">
        <v>186</v>
      </c>
      <c r="B2" s="148" t="s">
        <v>1</v>
      </c>
      <c r="C2" s="148" t="s">
        <v>0</v>
      </c>
      <c r="D2" s="148" t="s">
        <v>2</v>
      </c>
      <c r="E2" s="148" t="s">
        <v>3</v>
      </c>
      <c r="F2" s="148" t="s">
        <v>4</v>
      </c>
      <c r="G2" s="148" t="s">
        <v>5</v>
      </c>
      <c r="H2" s="148" t="s">
        <v>6</v>
      </c>
      <c r="I2" s="148" t="s">
        <v>7</v>
      </c>
      <c r="J2" s="148" t="s">
        <v>8</v>
      </c>
      <c r="K2" s="148" t="s">
        <v>163</v>
      </c>
      <c r="L2" s="148" t="s">
        <v>9</v>
      </c>
      <c r="M2" s="149" t="s">
        <v>10</v>
      </c>
      <c r="N2" s="148" t="s">
        <v>11</v>
      </c>
      <c r="O2" s="148" t="s">
        <v>12</v>
      </c>
      <c r="P2" s="148" t="s">
        <v>220</v>
      </c>
      <c r="Q2" s="148" t="s">
        <v>13</v>
      </c>
      <c r="R2" s="148" t="s">
        <v>194</v>
      </c>
      <c r="S2" s="148" t="s">
        <v>13</v>
      </c>
      <c r="T2" s="148" t="s">
        <v>14</v>
      </c>
      <c r="U2" s="148" t="s">
        <v>15</v>
      </c>
      <c r="V2" s="148" t="s">
        <v>16</v>
      </c>
      <c r="W2" s="148" t="s">
        <v>17</v>
      </c>
      <c r="X2" s="148" t="s">
        <v>18</v>
      </c>
      <c r="Y2" s="148" t="s">
        <v>19</v>
      </c>
      <c r="Z2" s="148" t="s">
        <v>20</v>
      </c>
      <c r="AA2" s="148" t="s">
        <v>21</v>
      </c>
      <c r="AB2" s="148" t="s">
        <v>197</v>
      </c>
      <c r="AC2" s="148" t="s">
        <v>199</v>
      </c>
      <c r="AD2" s="148" t="s">
        <v>200</v>
      </c>
      <c r="AE2" s="148" t="s">
        <v>196</v>
      </c>
      <c r="AF2" s="5"/>
    </row>
    <row r="3" spans="1:241" ht="18" customHeight="1" x14ac:dyDescent="0.25">
      <c r="A3" s="160" t="s">
        <v>22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2"/>
      <c r="AF3" s="5"/>
    </row>
    <row r="4" spans="1:241" ht="18" customHeight="1" x14ac:dyDescent="0.25">
      <c r="A4" s="41">
        <v>1</v>
      </c>
      <c r="B4" s="42" t="s">
        <v>32</v>
      </c>
      <c r="C4" s="42" t="s">
        <v>31</v>
      </c>
      <c r="D4" s="43">
        <v>352055884.85000002</v>
      </c>
      <c r="E4" s="44"/>
      <c r="F4" s="45">
        <v>65527205.880000003</v>
      </c>
      <c r="G4" s="45"/>
      <c r="H4" s="45"/>
      <c r="I4" s="45"/>
      <c r="J4" s="46">
        <v>417583090.73000002</v>
      </c>
      <c r="K4" s="46">
        <v>2358892.19</v>
      </c>
      <c r="L4" s="46">
        <v>885943.67</v>
      </c>
      <c r="M4" s="47">
        <v>1472948.52</v>
      </c>
      <c r="N4" s="48">
        <v>420984611.73000002</v>
      </c>
      <c r="O4" s="48">
        <v>8332675.9400000004</v>
      </c>
      <c r="P4" s="49">
        <v>411582005.41000003</v>
      </c>
      <c r="Q4" s="50">
        <f t="shared" ref="Q4:Q19" si="0">(P4/$P$20)</f>
        <v>2.7336559241982181E-2</v>
      </c>
      <c r="R4" s="49">
        <v>412651935.79000002</v>
      </c>
      <c r="S4" s="50">
        <f t="shared" ref="S4:S19" si="1">(R4/$R$20)</f>
        <v>2.6386398916490295E-2</v>
      </c>
      <c r="T4" s="59">
        <f t="shared" ref="T4:T20" si="2">((R4-P4)/P4)</f>
        <v>2.5995557773090135E-3</v>
      </c>
      <c r="U4" s="52">
        <f t="shared" ref="U4:U10" si="3">(L4/R4)</f>
        <v>2.1469514454207231E-3</v>
      </c>
      <c r="V4" s="60">
        <f t="shared" ref="V4:V10" si="4">M4/R4</f>
        <v>3.5694695510881803E-3</v>
      </c>
      <c r="W4" s="61">
        <f>R4/AE4</f>
        <v>191.15928161675762</v>
      </c>
      <c r="X4" s="61">
        <f>M4/AE4</f>
        <v>0.68233723513890698</v>
      </c>
      <c r="Y4" s="45">
        <v>191.1593</v>
      </c>
      <c r="Z4" s="45">
        <v>195.01939999999999</v>
      </c>
      <c r="AA4" s="55">
        <v>1714</v>
      </c>
      <c r="AB4" s="45">
        <v>2145694.6066999999</v>
      </c>
      <c r="AC4" s="45">
        <v>16983.862400000002</v>
      </c>
      <c r="AD4" s="45">
        <v>3997.33</v>
      </c>
      <c r="AE4" s="45">
        <v>2158681.1390999998</v>
      </c>
      <c r="AF4" s="5"/>
    </row>
    <row r="5" spans="1:241" ht="18" customHeight="1" x14ac:dyDescent="0.25">
      <c r="A5" s="41">
        <v>2</v>
      </c>
      <c r="B5" s="42" t="s">
        <v>51</v>
      </c>
      <c r="C5" s="42" t="s">
        <v>50</v>
      </c>
      <c r="D5" s="43">
        <v>320914943.60000002</v>
      </c>
      <c r="E5" s="44"/>
      <c r="F5" s="45">
        <v>58203254.060000002</v>
      </c>
      <c r="G5" s="45">
        <v>40144298.770000003</v>
      </c>
      <c r="H5" s="45"/>
      <c r="I5" s="45"/>
      <c r="J5" s="46">
        <v>419262496.43000001</v>
      </c>
      <c r="K5" s="46">
        <v>3189069.39</v>
      </c>
      <c r="L5" s="46">
        <v>3524014.8</v>
      </c>
      <c r="M5" s="47">
        <v>-334945.40999999997</v>
      </c>
      <c r="N5" s="48">
        <v>424252278.56</v>
      </c>
      <c r="O5" s="48">
        <v>3524014.8</v>
      </c>
      <c r="P5" s="49">
        <v>420268511.05000001</v>
      </c>
      <c r="Q5" s="50">
        <f t="shared" si="0"/>
        <v>2.7913501802425574E-2</v>
      </c>
      <c r="R5" s="49">
        <v>420728263.75999999</v>
      </c>
      <c r="S5" s="50">
        <f t="shared" si="1"/>
        <v>2.6902827395588177E-2</v>
      </c>
      <c r="T5" s="51">
        <f t="shared" si="2"/>
        <v>1.0939499341773931E-3</v>
      </c>
      <c r="U5" s="52">
        <f t="shared" si="3"/>
        <v>8.3759877896157631E-3</v>
      </c>
      <c r="V5" s="53">
        <f t="shared" si="4"/>
        <v>-7.9610864981266398E-4</v>
      </c>
      <c r="W5" s="54">
        <f>R5/AE5</f>
        <v>138.72208173941834</v>
      </c>
      <c r="X5" s="54">
        <f>M5/AE5</f>
        <v>-0.11043784919277036</v>
      </c>
      <c r="Y5" s="45">
        <v>138.38999999999999</v>
      </c>
      <c r="Z5" s="45">
        <v>139.96</v>
      </c>
      <c r="AA5" s="55">
        <v>294</v>
      </c>
      <c r="AB5" s="55">
        <v>3031690.38</v>
      </c>
      <c r="AC5" s="55">
        <v>4712.7700000000004</v>
      </c>
      <c r="AD5" s="55">
        <v>3517.12</v>
      </c>
      <c r="AE5" s="45">
        <v>3032886.03</v>
      </c>
      <c r="AF5" s="5"/>
    </row>
    <row r="6" spans="1:241" ht="18" customHeight="1" x14ac:dyDescent="0.25">
      <c r="A6" s="41">
        <v>3</v>
      </c>
      <c r="B6" s="42" t="s">
        <v>36</v>
      </c>
      <c r="C6" s="56" t="s">
        <v>35</v>
      </c>
      <c r="D6" s="43">
        <v>1842917881.8599999</v>
      </c>
      <c r="E6" s="44"/>
      <c r="F6" s="45"/>
      <c r="G6" s="45">
        <v>25972146.870000001</v>
      </c>
      <c r="H6" s="45">
        <v>1177776</v>
      </c>
      <c r="I6" s="45"/>
      <c r="J6" s="46">
        <v>1870067805.3299999</v>
      </c>
      <c r="K6" s="46">
        <v>35677484.469999999</v>
      </c>
      <c r="L6" s="46">
        <v>6096412.9199999999</v>
      </c>
      <c r="M6" s="47">
        <v>-43003144.549999997</v>
      </c>
      <c r="N6" s="48">
        <v>2337402969</v>
      </c>
      <c r="O6" s="48">
        <v>73293138</v>
      </c>
      <c r="P6" s="49">
        <v>1334374588</v>
      </c>
      <c r="Q6" s="50">
        <f t="shared" si="0"/>
        <v>8.8626833769179389E-2</v>
      </c>
      <c r="R6" s="49">
        <v>2264109831</v>
      </c>
      <c r="S6" s="50">
        <f t="shared" si="1"/>
        <v>0.14477505134476379</v>
      </c>
      <c r="T6" s="51">
        <f t="shared" si="2"/>
        <v>0.69675730590277096</v>
      </c>
      <c r="U6" s="52">
        <f t="shared" si="3"/>
        <v>2.6926312657312075E-3</v>
      </c>
      <c r="V6" s="53">
        <f t="shared" si="4"/>
        <v>-1.8993400391272803E-2</v>
      </c>
      <c r="W6" s="54">
        <f>R6/AE6</f>
        <v>21.1838795708459</v>
      </c>
      <c r="X6" s="54">
        <f>M6/AE6</f>
        <v>-0.40235390652958042</v>
      </c>
      <c r="Y6" s="45">
        <v>21.077999999999999</v>
      </c>
      <c r="Z6" s="45">
        <v>21.7135</v>
      </c>
      <c r="AA6" s="55">
        <v>722</v>
      </c>
      <c r="AB6" s="55">
        <v>108081262</v>
      </c>
      <c r="AC6" s="55">
        <v>240185</v>
      </c>
      <c r="AD6" s="55">
        <v>1442543</v>
      </c>
      <c r="AE6" s="45">
        <v>106878904</v>
      </c>
      <c r="AF6" s="5"/>
    </row>
    <row r="7" spans="1:241" s="19" customFormat="1" ht="15" x14ac:dyDescent="0.25">
      <c r="A7" s="41">
        <v>4</v>
      </c>
      <c r="B7" s="67" t="s">
        <v>43</v>
      </c>
      <c r="C7" s="66" t="s">
        <v>42</v>
      </c>
      <c r="D7" s="43">
        <v>190960076.21000001</v>
      </c>
      <c r="E7" s="44"/>
      <c r="F7" s="45"/>
      <c r="G7" s="45"/>
      <c r="H7" s="45"/>
      <c r="I7" s="45"/>
      <c r="J7" s="46">
        <v>190960076.21000001</v>
      </c>
      <c r="K7" s="46">
        <v>1457067.98</v>
      </c>
      <c r="L7" s="46">
        <v>501416.5</v>
      </c>
      <c r="M7" s="47">
        <v>955651.47</v>
      </c>
      <c r="N7" s="48">
        <v>255900019.05000001</v>
      </c>
      <c r="O7" s="48">
        <v>1459236.66</v>
      </c>
      <c r="P7" s="49">
        <v>280252168.39999998</v>
      </c>
      <c r="Q7" s="50">
        <f t="shared" si="0"/>
        <v>1.8613860429901163E-2</v>
      </c>
      <c r="R7" s="49">
        <v>254440782.38999999</v>
      </c>
      <c r="S7" s="50">
        <f t="shared" si="1"/>
        <v>1.6269827916627299E-2</v>
      </c>
      <c r="T7" s="51">
        <f t="shared" si="2"/>
        <v>-9.2100575554369166E-2</v>
      </c>
      <c r="U7" s="52">
        <f t="shared" si="3"/>
        <v>1.9706608951997415E-3</v>
      </c>
      <c r="V7" s="53">
        <f t="shared" si="4"/>
        <v>3.7558895277063058E-3</v>
      </c>
      <c r="W7" s="54">
        <f>R7/AE7</f>
        <v>143.26097840427343</v>
      </c>
      <c r="X7" s="54">
        <f>M7/AE7</f>
        <v>0.53807240851756977</v>
      </c>
      <c r="Y7" s="45">
        <v>141.83000000000001</v>
      </c>
      <c r="Z7" s="45">
        <v>144.69</v>
      </c>
      <c r="AA7" s="55">
        <v>598</v>
      </c>
      <c r="AB7" s="55">
        <v>1885999.21</v>
      </c>
      <c r="AC7" s="45">
        <v>149748.39000000001</v>
      </c>
      <c r="AD7" s="55">
        <v>259682.79</v>
      </c>
      <c r="AE7" s="45">
        <v>1776064.81</v>
      </c>
      <c r="AF7" s="26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8"/>
      <c r="EK7" s="18"/>
      <c r="EL7" s="18"/>
      <c r="EM7" s="18"/>
      <c r="EN7" s="18"/>
      <c r="EO7" s="18"/>
      <c r="EP7" s="18"/>
      <c r="EQ7" s="18"/>
      <c r="ER7" s="18"/>
      <c r="ES7" s="18"/>
      <c r="ET7" s="18"/>
      <c r="EU7" s="18"/>
      <c r="EV7" s="18"/>
      <c r="EW7" s="18"/>
      <c r="EX7" s="18"/>
      <c r="EY7" s="18"/>
      <c r="EZ7" s="18"/>
      <c r="FA7" s="18"/>
      <c r="FB7" s="18"/>
      <c r="FC7" s="18"/>
      <c r="FD7" s="18"/>
      <c r="FE7" s="18"/>
      <c r="FF7" s="18"/>
      <c r="FG7" s="18"/>
      <c r="FH7" s="18"/>
      <c r="FI7" s="18"/>
      <c r="FJ7" s="18"/>
      <c r="FK7" s="18"/>
      <c r="FL7" s="18"/>
      <c r="FM7" s="18"/>
      <c r="FN7" s="18"/>
      <c r="FO7" s="18"/>
      <c r="FP7" s="18"/>
      <c r="FQ7" s="18"/>
      <c r="FR7" s="18"/>
      <c r="FS7" s="18"/>
      <c r="FT7" s="18"/>
      <c r="FU7" s="18"/>
      <c r="FV7" s="18"/>
      <c r="FW7" s="18"/>
      <c r="FX7" s="18"/>
      <c r="FY7" s="18"/>
      <c r="FZ7" s="18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18"/>
      <c r="HF7" s="18"/>
      <c r="HG7" s="18"/>
      <c r="HH7" s="18"/>
      <c r="HI7" s="18"/>
      <c r="HJ7" s="18"/>
      <c r="HK7" s="18"/>
      <c r="HL7" s="18"/>
      <c r="HM7" s="18"/>
      <c r="HN7" s="18"/>
      <c r="HO7" s="18"/>
      <c r="HP7" s="18"/>
      <c r="HQ7" s="18"/>
      <c r="HR7" s="18"/>
      <c r="HS7" s="18"/>
      <c r="HT7" s="18"/>
      <c r="HU7" s="18"/>
      <c r="HV7" s="18"/>
      <c r="HW7" s="18"/>
      <c r="HX7" s="18"/>
      <c r="HY7" s="18"/>
      <c r="HZ7" s="18"/>
      <c r="IA7" s="18"/>
      <c r="IB7" s="18"/>
      <c r="IC7" s="18"/>
      <c r="ID7" s="18"/>
      <c r="IE7" s="18"/>
      <c r="IF7" s="18"/>
      <c r="IG7" s="18"/>
    </row>
    <row r="8" spans="1:241" s="19" customFormat="1" ht="15" x14ac:dyDescent="0.25">
      <c r="A8" s="41">
        <v>5</v>
      </c>
      <c r="B8" s="70" t="s">
        <v>49</v>
      </c>
      <c r="C8" s="70" t="s">
        <v>48</v>
      </c>
      <c r="D8" s="71">
        <v>3621932.74</v>
      </c>
      <c r="E8" s="71"/>
      <c r="F8" s="65"/>
      <c r="G8" s="71"/>
      <c r="H8" s="71"/>
      <c r="I8" s="71">
        <v>1882545.57</v>
      </c>
      <c r="J8" s="71">
        <v>3621932.74</v>
      </c>
      <c r="K8" s="71">
        <v>0</v>
      </c>
      <c r="L8" s="71">
        <v>0</v>
      </c>
      <c r="M8" s="72">
        <v>0</v>
      </c>
      <c r="N8" s="71">
        <v>5504478.3099999996</v>
      </c>
      <c r="O8" s="71">
        <v>0</v>
      </c>
      <c r="P8" s="73">
        <v>5504478.3099999996</v>
      </c>
      <c r="Q8" s="50">
        <f t="shared" si="0"/>
        <v>3.6559785277207589E-4</v>
      </c>
      <c r="R8" s="73">
        <v>5504478.3099999996</v>
      </c>
      <c r="S8" s="50">
        <f t="shared" si="1"/>
        <v>3.5197547355925445E-4</v>
      </c>
      <c r="T8" s="51">
        <f t="shared" si="2"/>
        <v>0</v>
      </c>
      <c r="U8" s="52">
        <f t="shared" si="3"/>
        <v>0</v>
      </c>
      <c r="V8" s="74">
        <f t="shared" si="4"/>
        <v>0</v>
      </c>
      <c r="W8" s="75">
        <f>R8/AB8</f>
        <v>1.3927630965032134</v>
      </c>
      <c r="X8" s="75">
        <f>M8/AB8</f>
        <v>0</v>
      </c>
      <c r="Y8" s="71">
        <v>1.39</v>
      </c>
      <c r="Z8" s="71">
        <v>1.45</v>
      </c>
      <c r="AA8" s="76">
        <v>2420</v>
      </c>
      <c r="AB8" s="71">
        <v>3952200</v>
      </c>
      <c r="AC8" s="76">
        <v>0</v>
      </c>
      <c r="AD8" s="76">
        <v>0</v>
      </c>
      <c r="AE8" s="71">
        <v>3952200</v>
      </c>
      <c r="AF8" s="26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  <c r="HQ8" s="18"/>
      <c r="HR8" s="18"/>
      <c r="HS8" s="18"/>
      <c r="HT8" s="18"/>
      <c r="HU8" s="18"/>
      <c r="HV8" s="18"/>
      <c r="HW8" s="18"/>
      <c r="HX8" s="18"/>
      <c r="HY8" s="18"/>
      <c r="HZ8" s="18"/>
      <c r="IA8" s="18"/>
      <c r="IB8" s="18"/>
      <c r="IC8" s="18"/>
      <c r="ID8" s="18"/>
      <c r="IE8" s="18"/>
      <c r="IF8" s="18"/>
      <c r="IG8" s="18"/>
    </row>
    <row r="9" spans="1:241" ht="15" x14ac:dyDescent="0.25">
      <c r="A9" s="41">
        <v>6</v>
      </c>
      <c r="B9" s="42" t="s">
        <v>38</v>
      </c>
      <c r="C9" s="42" t="s">
        <v>37</v>
      </c>
      <c r="D9" s="43">
        <v>287936486.56</v>
      </c>
      <c r="E9" s="43"/>
      <c r="F9" s="45">
        <v>94652289.519999996</v>
      </c>
      <c r="G9" s="45"/>
      <c r="H9" s="45"/>
      <c r="I9" s="45"/>
      <c r="J9" s="46">
        <v>375829505</v>
      </c>
      <c r="K9" s="46">
        <v>956812.9</v>
      </c>
      <c r="L9" s="46">
        <v>723759.33</v>
      </c>
      <c r="M9" s="47">
        <v>678509.36</v>
      </c>
      <c r="N9" s="48">
        <v>381456421.16000003</v>
      </c>
      <c r="O9" s="48">
        <v>5626916.1600000001</v>
      </c>
      <c r="P9" s="49">
        <v>380240948.02999997</v>
      </c>
      <c r="Q9" s="50">
        <f t="shared" si="0"/>
        <v>2.5254940851204208E-2</v>
      </c>
      <c r="R9" s="49">
        <v>375829505</v>
      </c>
      <c r="S9" s="50">
        <f t="shared" si="1"/>
        <v>2.4031844718071967E-2</v>
      </c>
      <c r="T9" s="51">
        <f t="shared" si="2"/>
        <v>-1.1601704268978207E-2</v>
      </c>
      <c r="U9" s="52">
        <f t="shared" si="3"/>
        <v>1.9257650620059751E-3</v>
      </c>
      <c r="V9" s="53">
        <f t="shared" si="4"/>
        <v>1.8053648023190728E-3</v>
      </c>
      <c r="W9" s="54">
        <f>R9/AE9</f>
        <v>158.16169143132248</v>
      </c>
      <c r="X9" s="54">
        <f>M9/AE9</f>
        <v>0.2855395507853597</v>
      </c>
      <c r="Y9" s="45">
        <v>158.16</v>
      </c>
      <c r="Z9" s="45">
        <v>160.30000000000001</v>
      </c>
      <c r="AA9" s="55">
        <v>1449</v>
      </c>
      <c r="AB9" s="55">
        <v>2402199</v>
      </c>
      <c r="AC9" s="55">
        <v>2313.09</v>
      </c>
      <c r="AD9" s="55">
        <v>28276</v>
      </c>
      <c r="AE9" s="45">
        <v>2376236</v>
      </c>
      <c r="AF9" s="5"/>
    </row>
    <row r="10" spans="1:241" ht="18" customHeight="1" x14ac:dyDescent="0.25">
      <c r="A10" s="41">
        <v>7</v>
      </c>
      <c r="B10" s="42" t="s">
        <v>28</v>
      </c>
      <c r="C10" s="56" t="s">
        <v>27</v>
      </c>
      <c r="D10" s="43">
        <v>122016978.09999999</v>
      </c>
      <c r="E10" s="44"/>
      <c r="F10" s="45">
        <v>102300047.88</v>
      </c>
      <c r="G10" s="45"/>
      <c r="H10" s="45"/>
      <c r="I10" s="45"/>
      <c r="J10" s="46">
        <v>224317025.97999999</v>
      </c>
      <c r="K10" s="46">
        <v>1033781.66</v>
      </c>
      <c r="L10" s="46">
        <v>655194.92000000004</v>
      </c>
      <c r="M10" s="47">
        <v>378586.74</v>
      </c>
      <c r="N10" s="48">
        <v>256087876.97999999</v>
      </c>
      <c r="O10" s="48">
        <v>8842395.8000000007</v>
      </c>
      <c r="P10" s="49">
        <v>243221362</v>
      </c>
      <c r="Q10" s="50">
        <f t="shared" si="0"/>
        <v>1.6154338828796255E-2</v>
      </c>
      <c r="R10" s="49">
        <v>247245481.18000001</v>
      </c>
      <c r="S10" s="50">
        <f t="shared" si="1"/>
        <v>1.5809735350508856E-2</v>
      </c>
      <c r="T10" s="51">
        <f t="shared" si="2"/>
        <v>1.6545089407072753E-2</v>
      </c>
      <c r="U10" s="52">
        <f t="shared" si="3"/>
        <v>2.6499773297090274E-3</v>
      </c>
      <c r="V10" s="53">
        <f t="shared" si="4"/>
        <v>1.5312180355861822E-3</v>
      </c>
      <c r="W10" s="54">
        <f>R10/AE10</f>
        <v>124.21799321347899</v>
      </c>
      <c r="X10" s="54">
        <f>M10/AE10</f>
        <v>0.19020483155280102</v>
      </c>
      <c r="Y10" s="45">
        <v>124.22</v>
      </c>
      <c r="Z10" s="45">
        <v>126.7</v>
      </c>
      <c r="AA10" s="55">
        <v>2470</v>
      </c>
      <c r="AB10" s="55">
        <v>1990416</v>
      </c>
      <c r="AC10" s="55">
        <v>0</v>
      </c>
      <c r="AD10" s="55">
        <v>0</v>
      </c>
      <c r="AE10" s="55">
        <v>1990416</v>
      </c>
      <c r="AF10" s="5"/>
    </row>
    <row r="11" spans="1:241" ht="15" customHeight="1" x14ac:dyDescent="0.25">
      <c r="A11" s="41">
        <v>8</v>
      </c>
      <c r="B11" s="42" t="s">
        <v>169</v>
      </c>
      <c r="C11" s="42" t="s">
        <v>168</v>
      </c>
      <c r="D11" s="43">
        <v>17401268.399999999</v>
      </c>
      <c r="E11" s="44"/>
      <c r="F11" s="45">
        <v>5739434.8899999997</v>
      </c>
      <c r="G11" s="45"/>
      <c r="H11" s="45"/>
      <c r="I11" s="45">
        <v>0</v>
      </c>
      <c r="J11" s="43">
        <v>23140703.289999999</v>
      </c>
      <c r="K11" s="46">
        <v>30047.45</v>
      </c>
      <c r="L11" s="46">
        <v>26384.959999999999</v>
      </c>
      <c r="M11" s="47">
        <v>3662.49</v>
      </c>
      <c r="N11" s="48">
        <v>24051127.949999999</v>
      </c>
      <c r="O11" s="48">
        <v>546943.73</v>
      </c>
      <c r="P11" s="49">
        <v>23665753.969999999</v>
      </c>
      <c r="Q11" s="50">
        <f t="shared" si="0"/>
        <v>1.5718381195082283E-3</v>
      </c>
      <c r="R11" s="49">
        <v>23477799.260000002</v>
      </c>
      <c r="S11" s="50">
        <f t="shared" si="1"/>
        <v>1.5012520800845185E-3</v>
      </c>
      <c r="T11" s="51">
        <f t="shared" si="2"/>
        <v>-7.9420545923978934E-3</v>
      </c>
      <c r="U11" s="77">
        <f>(L10/R11)</f>
        <v>2.7906998979937613E-2</v>
      </c>
      <c r="V11" s="78" t="e">
        <v>#DIV/0!</v>
      </c>
      <c r="W11" s="79" t="e">
        <v>#DIV/0!</v>
      </c>
      <c r="X11" s="79" t="e">
        <v>#DIV/0!</v>
      </c>
      <c r="Y11" s="45">
        <v>91.3</v>
      </c>
      <c r="Z11" s="45">
        <v>94.07</v>
      </c>
      <c r="AA11" s="55">
        <v>3</v>
      </c>
      <c r="AB11" s="45">
        <v>253000</v>
      </c>
      <c r="AC11" s="55"/>
      <c r="AD11" s="55"/>
      <c r="AE11" s="45">
        <v>253000</v>
      </c>
      <c r="AF11" s="5"/>
    </row>
    <row r="12" spans="1:241" ht="16.5" customHeight="1" x14ac:dyDescent="0.25">
      <c r="A12" s="41">
        <v>9</v>
      </c>
      <c r="B12" s="42" t="s">
        <v>26</v>
      </c>
      <c r="C12" s="56" t="s">
        <v>25</v>
      </c>
      <c r="D12" s="43">
        <v>668258990.35000002</v>
      </c>
      <c r="E12" s="44"/>
      <c r="F12" s="45">
        <v>6946838.3499999996</v>
      </c>
      <c r="G12" s="45"/>
      <c r="H12" s="45"/>
      <c r="I12" s="45"/>
      <c r="J12" s="46">
        <v>935832025.54999995</v>
      </c>
      <c r="K12" s="57">
        <v>7656370.4900000002</v>
      </c>
      <c r="L12" s="46">
        <v>1490056.51</v>
      </c>
      <c r="M12" s="47">
        <v>6166313.9800000004</v>
      </c>
      <c r="N12" s="48">
        <v>935832025.54999995</v>
      </c>
      <c r="O12" s="48">
        <v>3895953.78</v>
      </c>
      <c r="P12" s="49">
        <v>946678743.72000003</v>
      </c>
      <c r="Q12" s="50">
        <f t="shared" si="0"/>
        <v>6.2876751706011966E-2</v>
      </c>
      <c r="R12" s="49">
        <v>931936071.76999998</v>
      </c>
      <c r="S12" s="50">
        <f t="shared" si="1"/>
        <v>5.9591231305659756E-2</v>
      </c>
      <c r="T12" s="51">
        <f t="shared" si="2"/>
        <v>-1.5573046345234621E-2</v>
      </c>
      <c r="U12" s="52">
        <f t="shared" ref="U12:U19" si="5">(L12/R12)</f>
        <v>1.5988827507985367E-3</v>
      </c>
      <c r="V12" s="53">
        <f t="shared" ref="V12:V19" si="6">M12/R12</f>
        <v>6.6166705708563178E-3</v>
      </c>
      <c r="W12" s="54">
        <f t="shared" ref="W12:W19" si="7">R12/AE12</f>
        <v>1.8969675345158397</v>
      </c>
      <c r="X12" s="54">
        <f t="shared" ref="X12:X19" si="8">M12/AE12</f>
        <v>1.2551609259500822E-2</v>
      </c>
      <c r="Y12" s="45">
        <v>1.88</v>
      </c>
      <c r="Z12" s="45">
        <v>1.91</v>
      </c>
      <c r="AA12" s="58">
        <v>3685</v>
      </c>
      <c r="AB12" s="58">
        <v>491156764</v>
      </c>
      <c r="AC12" s="58">
        <v>120000</v>
      </c>
      <c r="AD12" s="58"/>
      <c r="AE12" s="45">
        <v>491276764</v>
      </c>
      <c r="AF12" s="5"/>
    </row>
    <row r="13" spans="1:241" ht="16.5" customHeight="1" x14ac:dyDescent="0.25">
      <c r="A13" s="41">
        <v>10</v>
      </c>
      <c r="B13" s="42" t="s">
        <v>40</v>
      </c>
      <c r="C13" s="42" t="s">
        <v>39</v>
      </c>
      <c r="D13" s="63">
        <v>213647850.44999999</v>
      </c>
      <c r="E13" s="43"/>
      <c r="F13" s="45">
        <v>61143132.600000001</v>
      </c>
      <c r="G13" s="45"/>
      <c r="H13" s="45"/>
      <c r="I13" s="45"/>
      <c r="J13" s="46">
        <v>274790983.05000001</v>
      </c>
      <c r="K13" s="46">
        <v>10081292.289999999</v>
      </c>
      <c r="L13" s="46">
        <v>535448.89</v>
      </c>
      <c r="M13" s="47">
        <v>-3886832.76</v>
      </c>
      <c r="N13" s="48">
        <v>277783999.66000003</v>
      </c>
      <c r="O13" s="48">
        <v>2016810.02</v>
      </c>
      <c r="P13" s="49">
        <v>279847338.50999999</v>
      </c>
      <c r="Q13" s="50">
        <f t="shared" si="0"/>
        <v>1.8586972334392989E-2</v>
      </c>
      <c r="R13" s="49">
        <v>275767189.63999999</v>
      </c>
      <c r="S13" s="50">
        <f t="shared" si="1"/>
        <v>1.7633512514584462E-2</v>
      </c>
      <c r="T13" s="51">
        <f t="shared" si="2"/>
        <v>-1.4579909502531166E-2</v>
      </c>
      <c r="U13" s="52">
        <f t="shared" si="5"/>
        <v>1.9416700394960012E-3</v>
      </c>
      <c r="V13" s="53">
        <f t="shared" si="6"/>
        <v>-1.4094616422911158E-2</v>
      </c>
      <c r="W13" s="54">
        <f t="shared" si="7"/>
        <v>11.982360301599599</v>
      </c>
      <c r="X13" s="54">
        <f t="shared" si="8"/>
        <v>-0.16888677229216442</v>
      </c>
      <c r="Y13" s="45">
        <v>12.07</v>
      </c>
      <c r="Z13" s="45">
        <v>12.14</v>
      </c>
      <c r="AA13" s="64">
        <v>178</v>
      </c>
      <c r="AB13" s="64">
        <v>22958566.210000001</v>
      </c>
      <c r="AC13" s="65">
        <v>281421.98</v>
      </c>
      <c r="AD13" s="65">
        <v>225558.42</v>
      </c>
      <c r="AE13" s="45">
        <v>23014429.77</v>
      </c>
      <c r="AF13" s="5"/>
    </row>
    <row r="14" spans="1:241" ht="16.5" customHeight="1" x14ac:dyDescent="0.25">
      <c r="A14" s="41">
        <v>11</v>
      </c>
      <c r="B14" s="66" t="s">
        <v>47</v>
      </c>
      <c r="C14" s="66" t="s">
        <v>46</v>
      </c>
      <c r="D14" s="43">
        <v>202599635.19999999</v>
      </c>
      <c r="E14" s="44"/>
      <c r="F14" s="45">
        <v>69276686.870000005</v>
      </c>
      <c r="G14" s="45">
        <v>6704452.1600000001</v>
      </c>
      <c r="H14" s="45"/>
      <c r="I14" s="45"/>
      <c r="J14" s="46">
        <v>278580774.23000002</v>
      </c>
      <c r="K14" s="46">
        <v>550103.07999999996</v>
      </c>
      <c r="L14" s="46">
        <v>364459.64</v>
      </c>
      <c r="M14" s="47">
        <v>320761.76</v>
      </c>
      <c r="N14" s="48">
        <v>283635798.82999998</v>
      </c>
      <c r="O14" s="48">
        <v>3118993.48</v>
      </c>
      <c r="P14" s="49">
        <v>280256334.79000002</v>
      </c>
      <c r="Q14" s="50">
        <f t="shared" si="0"/>
        <v>1.8614137154261228E-2</v>
      </c>
      <c r="R14" s="49">
        <v>280516805.33999997</v>
      </c>
      <c r="S14" s="50">
        <f t="shared" si="1"/>
        <v>1.7937219449389689E-2</v>
      </c>
      <c r="T14" s="51">
        <f t="shared" si="2"/>
        <v>9.2940111485839032E-4</v>
      </c>
      <c r="U14" s="52">
        <f t="shared" si="5"/>
        <v>1.2992435143351117E-3</v>
      </c>
      <c r="V14" s="53">
        <f t="shared" si="6"/>
        <v>1.1434671787710587E-3</v>
      </c>
      <c r="W14" s="54">
        <f t="shared" si="7"/>
        <v>1.4265183150393361</v>
      </c>
      <c r="X14" s="54">
        <f t="shared" si="8"/>
        <v>1.6311768731632739E-3</v>
      </c>
      <c r="Y14" s="45">
        <v>1.4265000000000001</v>
      </c>
      <c r="Z14" s="45">
        <v>1.4423999999999999</v>
      </c>
      <c r="AA14" s="55">
        <v>12</v>
      </c>
      <c r="AB14" s="55">
        <v>196644377</v>
      </c>
      <c r="AC14" s="55"/>
      <c r="AD14" s="55"/>
      <c r="AE14" s="45">
        <v>196644377</v>
      </c>
      <c r="AF14" s="5"/>
    </row>
    <row r="15" spans="1:241" ht="16.5" customHeight="1" x14ac:dyDescent="0.25">
      <c r="A15" s="41">
        <v>12</v>
      </c>
      <c r="B15" s="42" t="s">
        <v>30</v>
      </c>
      <c r="C15" s="42" t="s">
        <v>29</v>
      </c>
      <c r="D15" s="43">
        <v>593511600.5</v>
      </c>
      <c r="E15" s="44"/>
      <c r="F15" s="45">
        <v>105105460.61</v>
      </c>
      <c r="G15" s="45">
        <v>10415760.4</v>
      </c>
      <c r="H15" s="45"/>
      <c r="I15" s="45"/>
      <c r="J15" s="45">
        <v>715493602.63</v>
      </c>
      <c r="K15" s="46">
        <v>5715846.6399999997</v>
      </c>
      <c r="L15" s="46">
        <v>1226104.3400000001</v>
      </c>
      <c r="M15" s="47">
        <v>4489742.3</v>
      </c>
      <c r="N15" s="48">
        <v>715493602.63</v>
      </c>
      <c r="O15" s="48">
        <v>3574411.06</v>
      </c>
      <c r="P15" s="49">
        <v>709885435.66999996</v>
      </c>
      <c r="Q15" s="50">
        <f t="shared" si="0"/>
        <v>4.7149353013822962E-2</v>
      </c>
      <c r="R15" s="49">
        <v>711919191.57000005</v>
      </c>
      <c r="S15" s="50">
        <f t="shared" si="1"/>
        <v>4.5522587332853415E-2</v>
      </c>
      <c r="T15" s="59">
        <f t="shared" si="2"/>
        <v>2.8649072058797879E-3</v>
      </c>
      <c r="U15" s="52">
        <f t="shared" si="5"/>
        <v>1.7222521242840274E-3</v>
      </c>
      <c r="V15" s="60">
        <f t="shared" si="6"/>
        <v>6.3065335970206703E-3</v>
      </c>
      <c r="W15" s="61">
        <f t="shared" si="7"/>
        <v>19.574354737634739</v>
      </c>
      <c r="X15" s="61">
        <f t="shared" si="8"/>
        <v>0.12344632579289419</v>
      </c>
      <c r="Y15" s="45">
        <v>19.25</v>
      </c>
      <c r="Z15" s="45">
        <v>19.61</v>
      </c>
      <c r="AA15" s="55">
        <v>8818</v>
      </c>
      <c r="AB15" s="55">
        <v>36226206.149999999</v>
      </c>
      <c r="AC15" s="55">
        <v>143789.24</v>
      </c>
      <c r="AD15" s="55"/>
      <c r="AE15" s="45">
        <v>36369995.390000001</v>
      </c>
      <c r="AF15" s="5"/>
    </row>
    <row r="16" spans="1:241" ht="16.5" customHeight="1" x14ac:dyDescent="0.25">
      <c r="A16" s="41">
        <v>13</v>
      </c>
      <c r="B16" s="56" t="s">
        <v>41</v>
      </c>
      <c r="C16" s="42" t="s">
        <v>23</v>
      </c>
      <c r="D16" s="43">
        <v>246988647.53</v>
      </c>
      <c r="E16" s="43"/>
      <c r="F16" s="45">
        <v>96692648.920000002</v>
      </c>
      <c r="G16" s="45">
        <v>0</v>
      </c>
      <c r="H16" s="45"/>
      <c r="I16" s="45"/>
      <c r="J16" s="46">
        <v>343681296.44999999</v>
      </c>
      <c r="K16" s="44">
        <v>3222822.85</v>
      </c>
      <c r="L16" s="46">
        <v>384961.03</v>
      </c>
      <c r="M16" s="47">
        <v>-3847219.86</v>
      </c>
      <c r="N16" s="48">
        <v>344422214.92000002</v>
      </c>
      <c r="O16" s="48">
        <v>4532806.1900000004</v>
      </c>
      <c r="P16" s="49">
        <v>343033928.66000003</v>
      </c>
      <c r="Q16" s="50">
        <f t="shared" si="0"/>
        <v>2.2783715491843857E-2</v>
      </c>
      <c r="R16" s="49">
        <v>339889408.73000002</v>
      </c>
      <c r="S16" s="50">
        <f t="shared" si="1"/>
        <v>2.1733710055352504E-2</v>
      </c>
      <c r="T16" s="51">
        <f t="shared" si="2"/>
        <v>-9.1667898341237126E-3</v>
      </c>
      <c r="U16" s="52">
        <f t="shared" si="5"/>
        <v>1.1326067247532383E-3</v>
      </c>
      <c r="V16" s="53">
        <f t="shared" si="6"/>
        <v>-1.1319034254039198E-2</v>
      </c>
      <c r="W16" s="54">
        <f t="shared" si="7"/>
        <v>3125.9021735031852</v>
      </c>
      <c r="X16" s="54">
        <f t="shared" si="8"/>
        <v>-35.382193776658134</v>
      </c>
      <c r="Y16" s="45">
        <v>3097.04</v>
      </c>
      <c r="Z16" s="45">
        <v>3141.85</v>
      </c>
      <c r="AA16" s="55">
        <v>21</v>
      </c>
      <c r="AB16" s="55">
        <v>108733.22</v>
      </c>
      <c r="AC16" s="55"/>
      <c r="AD16" s="55">
        <v>0</v>
      </c>
      <c r="AE16" s="45">
        <v>108733.22</v>
      </c>
      <c r="AF16" s="5"/>
    </row>
    <row r="17" spans="1:241" ht="15.95" customHeight="1" x14ac:dyDescent="0.25">
      <c r="A17" s="41">
        <v>14</v>
      </c>
      <c r="B17" s="42" t="s">
        <v>24</v>
      </c>
      <c r="C17" s="42" t="s">
        <v>23</v>
      </c>
      <c r="D17" s="43">
        <f>4856976736.7+42297937.38</f>
        <v>4899274674.0799999</v>
      </c>
      <c r="E17" s="44"/>
      <c r="F17" s="45">
        <v>1985258628.6800001</v>
      </c>
      <c r="G17" s="45">
        <v>55667686.810000002</v>
      </c>
      <c r="H17" s="45"/>
      <c r="I17" s="45"/>
      <c r="J17" s="46">
        <v>6940200989.5699997</v>
      </c>
      <c r="K17" s="44">
        <v>118390262.09</v>
      </c>
      <c r="L17" s="46">
        <v>22519198.289999999</v>
      </c>
      <c r="M17" s="47">
        <v>-211369666.68000001</v>
      </c>
      <c r="N17" s="48">
        <v>7015293701.1599998</v>
      </c>
      <c r="O17" s="48">
        <v>44933608.789999999</v>
      </c>
      <c r="P17" s="49">
        <v>7213974431.8900003</v>
      </c>
      <c r="Q17" s="50">
        <f t="shared" si="0"/>
        <v>0.47913960483053308</v>
      </c>
      <c r="R17" s="49">
        <v>6970360092.3699999</v>
      </c>
      <c r="S17" s="50">
        <f t="shared" si="1"/>
        <v>0.44570904929053295</v>
      </c>
      <c r="T17" s="51">
        <f t="shared" si="2"/>
        <v>-3.3769781390280799E-2</v>
      </c>
      <c r="U17" s="52">
        <f t="shared" si="5"/>
        <v>3.2307080253501253E-3</v>
      </c>
      <c r="V17" s="53">
        <f t="shared" si="6"/>
        <v>-3.0324067032257436E-2</v>
      </c>
      <c r="W17" s="54">
        <f t="shared" si="7"/>
        <v>11697.731813479853</v>
      </c>
      <c r="X17" s="54">
        <f t="shared" si="8"/>
        <v>-354.72280363733341</v>
      </c>
      <c r="Y17" s="45">
        <v>11594.43</v>
      </c>
      <c r="Z17" s="45">
        <v>11754.88</v>
      </c>
      <c r="AA17" s="55">
        <v>17474</v>
      </c>
      <c r="AB17" s="45">
        <v>598294.14</v>
      </c>
      <c r="AC17" s="45">
        <v>1249.6099999999999</v>
      </c>
      <c r="AD17" s="45">
        <v>3670.96</v>
      </c>
      <c r="AE17" s="45">
        <v>595872.79</v>
      </c>
      <c r="AF17" s="5"/>
    </row>
    <row r="18" spans="1:241" ht="16.5" customHeight="1" x14ac:dyDescent="0.25">
      <c r="A18" s="41">
        <v>15</v>
      </c>
      <c r="B18" s="42" t="s">
        <v>34</v>
      </c>
      <c r="C18" s="42" t="s">
        <v>33</v>
      </c>
      <c r="D18" s="62">
        <v>1383488200</v>
      </c>
      <c r="E18" s="44"/>
      <c r="F18" s="45">
        <f>9753744+462714971</f>
        <v>472468715</v>
      </c>
      <c r="G18" s="45"/>
      <c r="H18" s="45"/>
      <c r="I18" s="45"/>
      <c r="J18" s="62">
        <f>D18+F18</f>
        <v>1855956915</v>
      </c>
      <c r="K18" s="44">
        <v>31400284</v>
      </c>
      <c r="L18" s="62">
        <v>3349708</v>
      </c>
      <c r="M18" s="47">
        <v>-37162463</v>
      </c>
      <c r="N18" s="62">
        <v>1856531403</v>
      </c>
      <c r="O18" s="63">
        <v>52216327.539999999</v>
      </c>
      <c r="P18" s="49">
        <v>1868521224</v>
      </c>
      <c r="Q18" s="50">
        <f t="shared" si="0"/>
        <v>0.12410392209419953</v>
      </c>
      <c r="R18" s="49">
        <v>1804315075</v>
      </c>
      <c r="S18" s="50">
        <f t="shared" si="1"/>
        <v>0.11537417666257037</v>
      </c>
      <c r="T18" s="51">
        <f t="shared" si="2"/>
        <v>-3.4362012149132537E-2</v>
      </c>
      <c r="U18" s="52">
        <f t="shared" si="5"/>
        <v>1.8564983723809989E-3</v>
      </c>
      <c r="V18" s="53">
        <f t="shared" si="6"/>
        <v>-2.0596437681484205E-2</v>
      </c>
      <c r="W18" s="54">
        <f t="shared" si="7"/>
        <v>0.9435173360556578</v>
      </c>
      <c r="X18" s="54">
        <f t="shared" si="8"/>
        <v>-1.9433096013470347E-2</v>
      </c>
      <c r="Y18" s="45">
        <v>0.95</v>
      </c>
      <c r="Z18" s="45">
        <v>0.98</v>
      </c>
      <c r="AA18" s="55">
        <v>2762</v>
      </c>
      <c r="AB18" s="55">
        <v>1911808990</v>
      </c>
      <c r="AC18" s="55">
        <v>914722</v>
      </c>
      <c r="AD18" s="55">
        <v>395231</v>
      </c>
      <c r="AE18" s="45">
        <v>1912328482</v>
      </c>
      <c r="AF18" s="5"/>
    </row>
    <row r="19" spans="1:241" ht="16.5" customHeight="1" x14ac:dyDescent="0.25">
      <c r="A19" s="41">
        <v>16</v>
      </c>
      <c r="B19" s="68" t="s">
        <v>45</v>
      </c>
      <c r="C19" s="42" t="s">
        <v>44</v>
      </c>
      <c r="D19" s="43">
        <v>235940231.5</v>
      </c>
      <c r="E19" s="44"/>
      <c r="F19" s="45">
        <v>89044836.870000005</v>
      </c>
      <c r="G19" s="45"/>
      <c r="H19" s="45"/>
      <c r="I19" s="45"/>
      <c r="J19" s="46">
        <v>324985068.37</v>
      </c>
      <c r="K19" s="46">
        <v>1163176.1399999999</v>
      </c>
      <c r="L19" s="46">
        <v>763553.53</v>
      </c>
      <c r="M19" s="47">
        <v>4597322.6100000003</v>
      </c>
      <c r="N19" s="48">
        <v>328617172.91000003</v>
      </c>
      <c r="O19" s="48">
        <v>8496940.8300000001</v>
      </c>
      <c r="P19" s="49">
        <v>314794057.44</v>
      </c>
      <c r="Q19" s="50">
        <f t="shared" si="0"/>
        <v>2.0908072479165339E-2</v>
      </c>
      <c r="R19" s="49">
        <v>320120232.06999999</v>
      </c>
      <c r="S19" s="50">
        <f t="shared" si="1"/>
        <v>2.0469600193362681E-2</v>
      </c>
      <c r="T19" s="51">
        <f t="shared" si="2"/>
        <v>1.6919552653928891E-2</v>
      </c>
      <c r="U19" s="52">
        <f t="shared" si="5"/>
        <v>2.3852085982276668E-3</v>
      </c>
      <c r="V19" s="53">
        <f t="shared" si="6"/>
        <v>1.4361237277232493E-2</v>
      </c>
      <c r="W19" s="54">
        <f t="shared" si="7"/>
        <v>1.2417739628768705</v>
      </c>
      <c r="X19" s="54">
        <f t="shared" si="8"/>
        <v>1.7833410525564027E-2</v>
      </c>
      <c r="Y19" s="45">
        <v>1.25</v>
      </c>
      <c r="Z19" s="45">
        <v>1.28</v>
      </c>
      <c r="AA19" s="55">
        <v>126</v>
      </c>
      <c r="AB19" s="55">
        <v>253866175.34999999</v>
      </c>
      <c r="AC19" s="55">
        <v>3966500</v>
      </c>
      <c r="AD19" s="55">
        <v>40000</v>
      </c>
      <c r="AE19" s="45">
        <v>257792675.34999999</v>
      </c>
      <c r="AF19" s="24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  <c r="DC19" s="25"/>
      <c r="DD19" s="25"/>
      <c r="DE19" s="25"/>
      <c r="DF19" s="25"/>
      <c r="DG19" s="25"/>
      <c r="DH19" s="25"/>
      <c r="DI19" s="25"/>
      <c r="DJ19" s="25"/>
      <c r="DK19" s="25"/>
      <c r="DL19" s="25"/>
      <c r="DM19" s="25"/>
      <c r="DN19" s="25"/>
      <c r="DO19" s="25"/>
      <c r="DP19" s="25"/>
      <c r="DQ19" s="25"/>
      <c r="DR19" s="25"/>
      <c r="DS19" s="25"/>
      <c r="DT19" s="25"/>
      <c r="DU19" s="25"/>
      <c r="DV19" s="25"/>
      <c r="DW19" s="25"/>
      <c r="DX19" s="25"/>
      <c r="DY19" s="25"/>
      <c r="DZ19" s="25"/>
      <c r="EA19" s="25"/>
      <c r="EB19" s="25"/>
      <c r="EC19" s="25"/>
      <c r="ED19" s="25"/>
      <c r="EE19" s="25"/>
      <c r="EF19" s="25"/>
      <c r="EG19" s="25"/>
      <c r="EH19" s="25"/>
      <c r="EI19" s="25"/>
      <c r="EJ19" s="25"/>
      <c r="EK19" s="25"/>
      <c r="EL19" s="25"/>
      <c r="EM19" s="25"/>
      <c r="EN19" s="25"/>
      <c r="EO19" s="25"/>
      <c r="EP19" s="25"/>
      <c r="EQ19" s="25"/>
      <c r="ER19" s="25"/>
      <c r="ES19" s="25"/>
      <c r="ET19" s="25"/>
      <c r="EU19" s="25"/>
      <c r="EV19" s="25"/>
      <c r="EW19" s="25"/>
      <c r="EX19" s="25"/>
      <c r="EY19" s="25"/>
      <c r="EZ19" s="25"/>
      <c r="FA19" s="25"/>
      <c r="FB19" s="25"/>
      <c r="FC19" s="25"/>
      <c r="FD19" s="25"/>
      <c r="FE19" s="25"/>
      <c r="FF19" s="25"/>
      <c r="FG19" s="25"/>
      <c r="FH19" s="25"/>
      <c r="FI19" s="25"/>
      <c r="FJ19" s="25"/>
      <c r="FK19" s="25"/>
      <c r="FL19" s="25"/>
      <c r="FM19" s="25"/>
      <c r="FN19" s="25"/>
      <c r="FO19" s="25"/>
      <c r="FP19" s="25"/>
      <c r="FQ19" s="25"/>
      <c r="FR19" s="25"/>
      <c r="FS19" s="25"/>
      <c r="FT19" s="25"/>
      <c r="FU19" s="25"/>
      <c r="FV19" s="25"/>
      <c r="FW19" s="25"/>
      <c r="FX19" s="25"/>
      <c r="FY19" s="25"/>
      <c r="FZ19" s="25"/>
      <c r="GA19" s="25"/>
      <c r="GB19" s="25"/>
      <c r="GC19" s="25"/>
      <c r="GD19" s="25"/>
      <c r="GE19" s="25"/>
      <c r="GF19" s="25"/>
      <c r="GG19" s="25"/>
      <c r="GH19" s="25"/>
      <c r="GI19" s="25"/>
      <c r="GJ19" s="25"/>
      <c r="GK19" s="25"/>
      <c r="GL19" s="25"/>
      <c r="GM19" s="25"/>
      <c r="GN19" s="25"/>
      <c r="GO19" s="25"/>
      <c r="GP19" s="25"/>
      <c r="GQ19" s="25"/>
      <c r="GR19" s="25"/>
      <c r="GS19" s="25"/>
      <c r="GT19" s="25"/>
      <c r="GU19" s="25"/>
      <c r="GV19" s="25"/>
      <c r="GW19" s="25"/>
      <c r="GX19" s="25"/>
      <c r="GY19" s="25"/>
      <c r="GZ19" s="25"/>
      <c r="HA19" s="25"/>
      <c r="HB19" s="25"/>
      <c r="HC19" s="25"/>
      <c r="HD19" s="25"/>
      <c r="HE19" s="25"/>
      <c r="HF19" s="25"/>
      <c r="HG19" s="25"/>
      <c r="HH19" s="25"/>
      <c r="HI19" s="25"/>
      <c r="HJ19" s="25"/>
      <c r="HK19" s="25"/>
      <c r="HL19" s="25"/>
      <c r="HM19" s="25"/>
      <c r="HN19" s="25"/>
      <c r="HO19" s="25"/>
      <c r="HP19" s="25"/>
      <c r="HQ19" s="25"/>
      <c r="HR19" s="25"/>
      <c r="HS19" s="25"/>
      <c r="HT19" s="25"/>
      <c r="HU19" s="25"/>
      <c r="HV19" s="25"/>
      <c r="HW19" s="25"/>
      <c r="HX19" s="25"/>
      <c r="HY19" s="25"/>
      <c r="HZ19" s="25"/>
      <c r="IA19" s="25"/>
      <c r="IB19" s="25"/>
      <c r="IC19" s="25"/>
      <c r="ID19" s="25"/>
      <c r="IE19" s="25"/>
      <c r="IF19" s="25"/>
      <c r="IG19" s="25"/>
    </row>
    <row r="20" spans="1:241" ht="16.5" customHeight="1" x14ac:dyDescent="0.25">
      <c r="A20" s="80"/>
      <c r="C20" s="150" t="s">
        <v>52</v>
      </c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2">
        <f>SUM(P4:P19)</f>
        <v>15056101309.85</v>
      </c>
      <c r="Q20" s="83">
        <f>(P20/$P$152)</f>
        <v>1.1073455134872191E-2</v>
      </c>
      <c r="R20" s="82">
        <f>SUM(R4:R19)</f>
        <v>15638812143.18</v>
      </c>
      <c r="S20" s="83">
        <f>(R20/$R$152)</f>
        <v>1.1529211857583337E-2</v>
      </c>
      <c r="T20" s="84">
        <f t="shared" si="2"/>
        <v>3.87026376442339E-2</v>
      </c>
      <c r="U20" s="85"/>
      <c r="V20" s="86"/>
      <c r="W20" s="87"/>
      <c r="X20" s="87"/>
      <c r="Y20" s="81"/>
      <c r="Z20" s="81"/>
      <c r="AA20" s="88">
        <f>SUM(AA4:AA19)</f>
        <v>42746</v>
      </c>
      <c r="AB20" s="88"/>
      <c r="AC20" s="88"/>
      <c r="AD20" s="88"/>
      <c r="AE20" s="81"/>
      <c r="AF20" s="5"/>
    </row>
    <row r="21" spans="1:241" ht="15.75" customHeight="1" x14ac:dyDescent="0.25">
      <c r="A21" s="152" t="s">
        <v>53</v>
      </c>
      <c r="B21" s="153"/>
      <c r="C21" s="153"/>
      <c r="D21" s="153"/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  <c r="AC21" s="153"/>
      <c r="AD21" s="153"/>
      <c r="AE21" s="154"/>
      <c r="AF21" s="5"/>
    </row>
    <row r="22" spans="1:241" ht="18" customHeight="1" x14ac:dyDescent="0.25">
      <c r="A22" s="41">
        <v>17</v>
      </c>
      <c r="B22" s="92" t="s">
        <v>69</v>
      </c>
      <c r="C22" s="42" t="s">
        <v>44</v>
      </c>
      <c r="D22" s="45"/>
      <c r="E22" s="45"/>
      <c r="F22" s="45">
        <v>12260569203.6</v>
      </c>
      <c r="G22" s="45"/>
      <c r="H22" s="45"/>
      <c r="I22" s="45"/>
      <c r="J22" s="45">
        <v>12260569203.6</v>
      </c>
      <c r="K22" s="45">
        <v>81778036.349999994</v>
      </c>
      <c r="L22" s="45">
        <v>17354904.710000001</v>
      </c>
      <c r="M22" s="47">
        <v>64423131.649999999</v>
      </c>
      <c r="N22" s="65">
        <v>12343382448.639999</v>
      </c>
      <c r="O22" s="65">
        <v>253222942.34</v>
      </c>
      <c r="P22" s="73">
        <v>12642110771.129999</v>
      </c>
      <c r="Q22" s="50">
        <f t="shared" ref="Q22:Q50" si="9">(P22/$P$51)</f>
        <v>2.2650282918293869E-2</v>
      </c>
      <c r="R22" s="73">
        <v>12090159506.299999</v>
      </c>
      <c r="S22" s="50">
        <f t="shared" ref="S22:S50" si="10">(R22/$R$51)</f>
        <v>2.2165015755681437E-2</v>
      </c>
      <c r="T22" s="51">
        <f t="shared" ref="T22:T30" si="11">((R22-P22)/P22)</f>
        <v>-4.3659739644937828E-2</v>
      </c>
      <c r="U22" s="52">
        <f t="shared" ref="U22:U30" si="12">(L22/R22)</f>
        <v>1.4354570509145575E-3</v>
      </c>
      <c r="V22" s="53">
        <f t="shared" ref="V22:V30" si="13">M22/R22</f>
        <v>5.3285592813254517E-3</v>
      </c>
      <c r="W22" s="54">
        <f t="shared" ref="W22:W30" si="14">R22/AE22</f>
        <v>100.00000000248134</v>
      </c>
      <c r="X22" s="54">
        <f t="shared" ref="X22:X30" si="15">M22/AE22</f>
        <v>0.53285592814576721</v>
      </c>
      <c r="Y22" s="65">
        <v>100</v>
      </c>
      <c r="Z22" s="65">
        <v>100</v>
      </c>
      <c r="AA22" s="55">
        <v>5672</v>
      </c>
      <c r="AB22" s="55">
        <v>126421107.70999999</v>
      </c>
      <c r="AC22" s="55">
        <v>2698561.88</v>
      </c>
      <c r="AD22" s="55">
        <v>8218074.5199999996</v>
      </c>
      <c r="AE22" s="45">
        <v>120901595.06</v>
      </c>
      <c r="AF22" s="5"/>
    </row>
    <row r="23" spans="1:241" ht="18" customHeight="1" x14ac:dyDescent="0.25">
      <c r="A23" s="41">
        <v>18</v>
      </c>
      <c r="B23" s="42" t="s">
        <v>76</v>
      </c>
      <c r="C23" s="42" t="s">
        <v>31</v>
      </c>
      <c r="D23" s="45"/>
      <c r="E23" s="45"/>
      <c r="F23" s="45">
        <v>588164959.79999995</v>
      </c>
      <c r="G23" s="45"/>
      <c r="H23" s="45"/>
      <c r="I23" s="45"/>
      <c r="J23" s="45">
        <v>588164959.79999995</v>
      </c>
      <c r="K23" s="45">
        <v>4744678.0199999996</v>
      </c>
      <c r="L23" s="45">
        <v>1325822.6399999999</v>
      </c>
      <c r="M23" s="47">
        <v>3418855.38</v>
      </c>
      <c r="N23" s="65">
        <v>600313800.49000001</v>
      </c>
      <c r="O23" s="65">
        <v>20264243.620000001</v>
      </c>
      <c r="P23" s="73">
        <v>587965661.03999996</v>
      </c>
      <c r="Q23" s="50">
        <f t="shared" si="9"/>
        <v>1.0534307767030662E-3</v>
      </c>
      <c r="R23" s="73">
        <v>580049556.87</v>
      </c>
      <c r="S23" s="50">
        <f t="shared" si="10"/>
        <v>1.0634109136773669E-3</v>
      </c>
      <c r="T23" s="51">
        <f t="shared" si="11"/>
        <v>-1.3463548459612194E-2</v>
      </c>
      <c r="U23" s="52">
        <f t="shared" si="12"/>
        <v>2.2857058061629409E-3</v>
      </c>
      <c r="V23" s="53">
        <f t="shared" si="13"/>
        <v>5.8940746346716538E-3</v>
      </c>
      <c r="W23" s="54">
        <f t="shared" si="14"/>
        <v>101.20256000886319</v>
      </c>
      <c r="X23" s="54">
        <f t="shared" si="15"/>
        <v>0.59649544191207637</v>
      </c>
      <c r="Y23" s="65">
        <v>100</v>
      </c>
      <c r="Z23" s="65">
        <v>100</v>
      </c>
      <c r="AA23" s="55">
        <v>640</v>
      </c>
      <c r="AB23" s="55">
        <v>5816120</v>
      </c>
      <c r="AC23" s="55">
        <v>49550</v>
      </c>
      <c r="AD23" s="55">
        <v>134100</v>
      </c>
      <c r="AE23" s="45">
        <v>5731570</v>
      </c>
      <c r="AF23" s="5"/>
    </row>
    <row r="24" spans="1:241" ht="18" customHeight="1" x14ac:dyDescent="0.25">
      <c r="A24" s="41">
        <v>19</v>
      </c>
      <c r="B24" s="42" t="s">
        <v>59</v>
      </c>
      <c r="C24" s="42" t="s">
        <v>58</v>
      </c>
      <c r="D24" s="45"/>
      <c r="E24" s="45"/>
      <c r="F24" s="45">
        <v>1003353249.6</v>
      </c>
      <c r="G24" s="45"/>
      <c r="H24" s="45"/>
      <c r="I24" s="45"/>
      <c r="J24" s="45">
        <v>1007948227.66</v>
      </c>
      <c r="K24" s="45">
        <v>9396471.3499999996</v>
      </c>
      <c r="L24" s="45">
        <v>2036038.54</v>
      </c>
      <c r="M24" s="47">
        <v>6979077.0300000003</v>
      </c>
      <c r="N24" s="65">
        <v>1007948227.66</v>
      </c>
      <c r="O24" s="65">
        <v>15896898.470000001</v>
      </c>
      <c r="P24" s="73">
        <v>1034094075.13</v>
      </c>
      <c r="Q24" s="50">
        <f t="shared" si="9"/>
        <v>1.8527383432926797E-3</v>
      </c>
      <c r="R24" s="73">
        <v>992051329.19000006</v>
      </c>
      <c r="S24" s="50">
        <f t="shared" si="10"/>
        <v>1.8187380679703204E-3</v>
      </c>
      <c r="T24" s="51">
        <f t="shared" si="11"/>
        <v>-4.0656596871725216E-2</v>
      </c>
      <c r="U24" s="52">
        <f t="shared" si="12"/>
        <v>2.0523520105178478E-3</v>
      </c>
      <c r="V24" s="53">
        <f t="shared" si="13"/>
        <v>7.0349958965312273E-3</v>
      </c>
      <c r="W24" s="54">
        <f t="shared" si="14"/>
        <v>101.98013748768857</v>
      </c>
      <c r="X24" s="54">
        <f t="shared" si="15"/>
        <v>0.71742984875357951</v>
      </c>
      <c r="Y24" s="65">
        <v>100</v>
      </c>
      <c r="Z24" s="65">
        <v>100</v>
      </c>
      <c r="AA24" s="55">
        <v>865</v>
      </c>
      <c r="AB24" s="55">
        <v>10021790.550000001</v>
      </c>
      <c r="AC24" s="55">
        <v>355318.95</v>
      </c>
      <c r="AD24" s="55">
        <v>866272.65</v>
      </c>
      <c r="AE24" s="45">
        <v>9727887.7400000002</v>
      </c>
      <c r="AF24" s="5"/>
    </row>
    <row r="25" spans="1:241" ht="18" customHeight="1" x14ac:dyDescent="0.25">
      <c r="A25" s="41">
        <v>20</v>
      </c>
      <c r="B25" s="42" t="s">
        <v>84</v>
      </c>
      <c r="C25" s="42" t="s">
        <v>50</v>
      </c>
      <c r="D25" s="45"/>
      <c r="E25" s="45"/>
      <c r="F25" s="45">
        <v>476138020.05000001</v>
      </c>
      <c r="G25" s="45"/>
      <c r="H25" s="45"/>
      <c r="I25" s="45"/>
      <c r="J25" s="45">
        <v>476138020.05000001</v>
      </c>
      <c r="K25" s="45">
        <v>2795234.54</v>
      </c>
      <c r="L25" s="45">
        <v>696098</v>
      </c>
      <c r="M25" s="47">
        <v>2099136.54</v>
      </c>
      <c r="N25" s="65">
        <v>489518749.60000002</v>
      </c>
      <c r="O25" s="65">
        <v>696098</v>
      </c>
      <c r="P25" s="73">
        <v>450428176.99000001</v>
      </c>
      <c r="Q25" s="50">
        <f t="shared" si="9"/>
        <v>8.0701125214732814E-4</v>
      </c>
      <c r="R25" s="73">
        <v>488822651.60000002</v>
      </c>
      <c r="S25" s="50">
        <f t="shared" si="10"/>
        <v>8.961636749955324E-4</v>
      </c>
      <c r="T25" s="51">
        <f t="shared" si="11"/>
        <v>8.5239948500940285E-2</v>
      </c>
      <c r="U25" s="52">
        <f t="shared" si="12"/>
        <v>1.4240297533707825E-3</v>
      </c>
      <c r="V25" s="53">
        <f t="shared" si="13"/>
        <v>4.2942701880307049E-3</v>
      </c>
      <c r="W25" s="54">
        <f t="shared" si="14"/>
        <v>101.83304201884718</v>
      </c>
      <c r="X25" s="54">
        <f t="shared" si="15"/>
        <v>0.43729859649801356</v>
      </c>
      <c r="Y25" s="65">
        <v>100</v>
      </c>
      <c r="Z25" s="65">
        <v>100</v>
      </c>
      <c r="AA25" s="55">
        <v>973</v>
      </c>
      <c r="AB25" s="55">
        <v>4520013.18</v>
      </c>
      <c r="AC25" s="55">
        <v>571660.19999999995</v>
      </c>
      <c r="AD25" s="55">
        <v>291437.21000000002</v>
      </c>
      <c r="AE25" s="45">
        <v>4800236.17</v>
      </c>
      <c r="AF25" s="5"/>
    </row>
    <row r="26" spans="1:241" ht="18" customHeight="1" x14ac:dyDescent="0.25">
      <c r="A26" s="41">
        <v>21</v>
      </c>
      <c r="B26" s="42" t="s">
        <v>60</v>
      </c>
      <c r="C26" s="56" t="s">
        <v>35</v>
      </c>
      <c r="D26" s="45"/>
      <c r="E26" s="45"/>
      <c r="F26" s="45">
        <f>19730585774.65+33587439944.28</f>
        <v>53318025718.93</v>
      </c>
      <c r="G26" s="45"/>
      <c r="H26" s="45"/>
      <c r="I26" s="90"/>
      <c r="J26" s="45">
        <f>19730585774.65+33587439944.28</f>
        <v>53318025718.93</v>
      </c>
      <c r="K26" s="45">
        <v>567308733.13</v>
      </c>
      <c r="L26" s="45">
        <v>122394426.98</v>
      </c>
      <c r="M26" s="47">
        <v>444914306.14999998</v>
      </c>
      <c r="N26" s="65">
        <v>67138267443</v>
      </c>
      <c r="O26" s="65">
        <v>1740573319</v>
      </c>
      <c r="P26" s="73">
        <v>65710165127</v>
      </c>
      <c r="Q26" s="50">
        <f t="shared" si="9"/>
        <v>0.11772985205391638</v>
      </c>
      <c r="R26" s="73">
        <v>65397394124</v>
      </c>
      <c r="S26" s="50">
        <f t="shared" si="10"/>
        <v>0.11989372599953196</v>
      </c>
      <c r="T26" s="51">
        <f t="shared" si="11"/>
        <v>-4.7598572061947819E-3</v>
      </c>
      <c r="U26" s="52">
        <f t="shared" si="12"/>
        <v>1.871548990895997E-3</v>
      </c>
      <c r="V26" s="53">
        <f t="shared" si="13"/>
        <v>6.8032421185834704E-3</v>
      </c>
      <c r="W26" s="54">
        <f t="shared" si="14"/>
        <v>0.99999541268229686</v>
      </c>
      <c r="X26" s="54">
        <f t="shared" si="15"/>
        <v>6.803210909950461E-3</v>
      </c>
      <c r="Y26" s="65">
        <v>1</v>
      </c>
      <c r="Z26" s="65">
        <v>1</v>
      </c>
      <c r="AA26" s="55">
        <v>26900</v>
      </c>
      <c r="AB26" s="55">
        <v>65710165127</v>
      </c>
      <c r="AC26" s="55">
        <v>5327927905</v>
      </c>
      <c r="AD26" s="55">
        <v>5640398908</v>
      </c>
      <c r="AE26" s="45">
        <v>65397694124</v>
      </c>
      <c r="AF26" s="5"/>
    </row>
    <row r="27" spans="1:241" ht="18" customHeight="1" x14ac:dyDescent="0.25">
      <c r="A27" s="41">
        <v>22</v>
      </c>
      <c r="B27" s="92" t="s">
        <v>62</v>
      </c>
      <c r="C27" s="42" t="s">
        <v>191</v>
      </c>
      <c r="D27" s="45"/>
      <c r="E27" s="45"/>
      <c r="F27" s="45">
        <f>11131217650.37+19314464646.98</f>
        <v>30445682297.349998</v>
      </c>
      <c r="G27" s="45"/>
      <c r="H27" s="45"/>
      <c r="I27" s="45"/>
      <c r="J27" s="45">
        <f>11131217650.37+19314464646.98</f>
        <v>30445682297.349998</v>
      </c>
      <c r="K27" s="45">
        <v>285516573.45999998</v>
      </c>
      <c r="L27" s="45">
        <v>41007967.280000001</v>
      </c>
      <c r="M27" s="47">
        <v>244508606.18000001</v>
      </c>
      <c r="N27" s="65">
        <v>31100209499.869999</v>
      </c>
      <c r="O27" s="65">
        <v>88888892.590000004</v>
      </c>
      <c r="P27" s="73">
        <v>31676039701.900002</v>
      </c>
      <c r="Q27" s="50">
        <f t="shared" si="9"/>
        <v>5.6752489672657232E-2</v>
      </c>
      <c r="R27" s="73">
        <v>31011320607.290001</v>
      </c>
      <c r="S27" s="50">
        <f t="shared" si="10"/>
        <v>5.6853378113572044E-2</v>
      </c>
      <c r="T27" s="51">
        <f t="shared" si="11"/>
        <v>-2.0984917965301365E-2</v>
      </c>
      <c r="U27" s="52">
        <f t="shared" si="12"/>
        <v>1.322354755519829E-3</v>
      </c>
      <c r="V27" s="53">
        <f t="shared" si="13"/>
        <v>7.8844951260322021E-3</v>
      </c>
      <c r="W27" s="54">
        <f t="shared" si="14"/>
        <v>1.0140283345841383</v>
      </c>
      <c r="X27" s="54">
        <f t="shared" si="15"/>
        <v>7.9951014616871895E-3</v>
      </c>
      <c r="Y27" s="65">
        <v>1</v>
      </c>
      <c r="Z27" s="65">
        <v>1</v>
      </c>
      <c r="AA27" s="64">
        <v>20835</v>
      </c>
      <c r="AB27" s="65">
        <v>31485063510.990002</v>
      </c>
      <c r="AC27" s="65">
        <v>5611642840.9700003</v>
      </c>
      <c r="AD27" s="65">
        <v>6514404507.3000002</v>
      </c>
      <c r="AE27" s="45">
        <v>30582301844.66</v>
      </c>
      <c r="AF27" s="5"/>
    </row>
    <row r="28" spans="1:241" ht="18" customHeight="1" x14ac:dyDescent="0.25">
      <c r="A28" s="41">
        <v>23</v>
      </c>
      <c r="B28" s="56" t="s">
        <v>68</v>
      </c>
      <c r="C28" s="56" t="s">
        <v>29</v>
      </c>
      <c r="D28" s="45"/>
      <c r="E28" s="45"/>
      <c r="F28" s="45">
        <v>3741768103.4299998</v>
      </c>
      <c r="G28" s="45"/>
      <c r="H28" s="45"/>
      <c r="I28" s="45">
        <v>9635428.1099999994</v>
      </c>
      <c r="J28" s="45">
        <v>3751403531.54</v>
      </c>
      <c r="K28" s="45">
        <v>27186001.41</v>
      </c>
      <c r="L28" s="45">
        <v>5972714.2199999997</v>
      </c>
      <c r="M28" s="47">
        <v>21166732.690000001</v>
      </c>
      <c r="N28" s="65">
        <v>3751403531.54</v>
      </c>
      <c r="O28" s="65">
        <v>46650262.600000001</v>
      </c>
      <c r="P28" s="73">
        <v>3413126853.46</v>
      </c>
      <c r="Q28" s="50">
        <f t="shared" si="9"/>
        <v>6.1151409180371418E-3</v>
      </c>
      <c r="R28" s="73">
        <v>3704753268.9400001</v>
      </c>
      <c r="S28" s="50">
        <f t="shared" si="10"/>
        <v>6.791962879743485E-3</v>
      </c>
      <c r="T28" s="51">
        <f t="shared" si="11"/>
        <v>8.5442595016463757E-2</v>
      </c>
      <c r="U28" s="52">
        <f t="shared" si="12"/>
        <v>1.6121759767578007E-3</v>
      </c>
      <c r="V28" s="53">
        <f t="shared" si="13"/>
        <v>5.7133987484289887E-3</v>
      </c>
      <c r="W28" s="54">
        <f t="shared" si="14"/>
        <v>99.99999999838046</v>
      </c>
      <c r="X28" s="54">
        <f t="shared" si="15"/>
        <v>0.57133987483364579</v>
      </c>
      <c r="Y28" s="65">
        <v>100</v>
      </c>
      <c r="Z28" s="65">
        <v>100</v>
      </c>
      <c r="AA28" s="55">
        <v>1457</v>
      </c>
      <c r="AB28" s="55">
        <v>34131268.530000001</v>
      </c>
      <c r="AC28" s="55">
        <v>3478756.93</v>
      </c>
      <c r="AD28" s="55">
        <v>562492.77</v>
      </c>
      <c r="AE28" s="45">
        <v>37047532.689999998</v>
      </c>
      <c r="AF28" s="5"/>
    </row>
    <row r="29" spans="1:241" ht="16.5" customHeight="1" x14ac:dyDescent="0.25">
      <c r="A29" s="41">
        <v>24</v>
      </c>
      <c r="B29" s="42" t="s">
        <v>148</v>
      </c>
      <c r="C29" s="42" t="s">
        <v>82</v>
      </c>
      <c r="D29" s="45"/>
      <c r="E29" s="45"/>
      <c r="F29" s="45">
        <v>6984630898.9700003</v>
      </c>
      <c r="G29" s="45"/>
      <c r="H29" s="45"/>
      <c r="I29" s="45"/>
      <c r="J29" s="45">
        <v>6984630898.9700003</v>
      </c>
      <c r="K29" s="45">
        <v>67496952.180000007</v>
      </c>
      <c r="L29" s="45">
        <v>12875034.140000001</v>
      </c>
      <c r="M29" s="47">
        <v>55772319.539999999</v>
      </c>
      <c r="N29" s="65">
        <v>6988088937.3299999</v>
      </c>
      <c r="O29" s="65">
        <v>163597191.00999999</v>
      </c>
      <c r="P29" s="73">
        <v>5853667366.3800001</v>
      </c>
      <c r="Q29" s="50">
        <f t="shared" si="9"/>
        <v>1.0487744045153628E-2</v>
      </c>
      <c r="R29" s="73">
        <v>6824491746.3199997</v>
      </c>
      <c r="S29" s="50">
        <f t="shared" si="10"/>
        <v>1.2511412029169578E-2</v>
      </c>
      <c r="T29" s="51">
        <f t="shared" si="11"/>
        <v>0.16584891473605762</v>
      </c>
      <c r="U29" s="52">
        <f t="shared" si="12"/>
        <v>1.8865923820543355E-3</v>
      </c>
      <c r="V29" s="53">
        <f t="shared" si="13"/>
        <v>8.1723770228126283E-3</v>
      </c>
      <c r="W29" s="54">
        <f t="shared" si="14"/>
        <v>117.16888003157966</v>
      </c>
      <c r="X29" s="54">
        <f t="shared" si="15"/>
        <v>0.95754826295877116</v>
      </c>
      <c r="Y29" s="65">
        <v>100</v>
      </c>
      <c r="Z29" s="65">
        <v>100</v>
      </c>
      <c r="AA29" s="55">
        <v>1151</v>
      </c>
      <c r="AB29" s="55">
        <v>58536673.670000002</v>
      </c>
      <c r="AC29" s="55">
        <v>12811789.289999999</v>
      </c>
      <c r="AD29" s="55">
        <v>3103545.49</v>
      </c>
      <c r="AE29" s="45">
        <v>58244917.460000001</v>
      </c>
      <c r="AF29" s="5"/>
    </row>
    <row r="30" spans="1:241" ht="18" customHeight="1" x14ac:dyDescent="0.25">
      <c r="A30" s="41">
        <v>25</v>
      </c>
      <c r="B30" s="42" t="s">
        <v>66</v>
      </c>
      <c r="C30" s="42" t="s">
        <v>65</v>
      </c>
      <c r="D30" s="45"/>
      <c r="E30" s="45"/>
      <c r="F30" s="45">
        <v>2747103013.9099998</v>
      </c>
      <c r="G30" s="45"/>
      <c r="H30" s="45"/>
      <c r="I30" s="45"/>
      <c r="J30" s="45">
        <v>2747103013.9099998</v>
      </c>
      <c r="K30" s="45">
        <v>41757725.210000001</v>
      </c>
      <c r="L30" s="45">
        <v>5970231.0499999998</v>
      </c>
      <c r="M30" s="47">
        <v>35787484.159999996</v>
      </c>
      <c r="N30" s="65">
        <v>4689021343.04</v>
      </c>
      <c r="O30" s="65">
        <v>77354943.040000007</v>
      </c>
      <c r="P30" s="73">
        <v>5146556899.8699999</v>
      </c>
      <c r="Q30" s="50">
        <f t="shared" si="9"/>
        <v>9.2208470521678056E-3</v>
      </c>
      <c r="R30" s="73">
        <v>4611666400</v>
      </c>
      <c r="S30" s="50">
        <f t="shared" si="10"/>
        <v>8.4546161994539949E-3</v>
      </c>
      <c r="T30" s="51">
        <f t="shared" si="11"/>
        <v>-0.10393171789930293</v>
      </c>
      <c r="U30" s="52">
        <f t="shared" si="12"/>
        <v>1.2945930022171595E-3</v>
      </c>
      <c r="V30" s="53">
        <f t="shared" si="13"/>
        <v>7.7602066272616762E-3</v>
      </c>
      <c r="W30" s="54">
        <f t="shared" si="14"/>
        <v>100</v>
      </c>
      <c r="X30" s="54">
        <f t="shared" si="15"/>
        <v>0.77602066272616765</v>
      </c>
      <c r="Y30" s="65">
        <v>100</v>
      </c>
      <c r="Z30" s="65">
        <v>100</v>
      </c>
      <c r="AA30" s="55">
        <v>5234</v>
      </c>
      <c r="AB30" s="55">
        <v>51465569</v>
      </c>
      <c r="AC30" s="55">
        <v>3364941</v>
      </c>
      <c r="AD30" s="55">
        <v>8713846</v>
      </c>
      <c r="AE30" s="45">
        <v>46116664</v>
      </c>
      <c r="AF30" s="5"/>
    </row>
    <row r="31" spans="1:241" ht="18" customHeight="1" x14ac:dyDescent="0.25">
      <c r="A31" s="41">
        <v>26</v>
      </c>
      <c r="B31" s="42" t="s">
        <v>153</v>
      </c>
      <c r="C31" s="56" t="s">
        <v>152</v>
      </c>
      <c r="D31" s="45"/>
      <c r="E31" s="45"/>
      <c r="F31" s="65">
        <v>2474494.7200000002</v>
      </c>
      <c r="G31" s="65"/>
      <c r="H31" s="96"/>
      <c r="I31" s="97"/>
      <c r="J31" s="65">
        <v>2474494.7200000002</v>
      </c>
      <c r="K31" s="63">
        <v>37338.94</v>
      </c>
      <c r="L31" s="63">
        <v>11675.7</v>
      </c>
      <c r="M31" s="47">
        <v>25663.24</v>
      </c>
      <c r="N31" s="63">
        <v>16392019.68</v>
      </c>
      <c r="O31" s="89">
        <v>290142.5</v>
      </c>
      <c r="P31" s="98">
        <v>10095371.970000001</v>
      </c>
      <c r="Q31" s="50">
        <f t="shared" si="9"/>
        <v>1.8087409248785991E-5</v>
      </c>
      <c r="R31" s="98">
        <v>16101877.109999999</v>
      </c>
      <c r="S31" s="50">
        <f t="shared" si="10"/>
        <v>2.9519739557879445E-5</v>
      </c>
      <c r="T31" s="51" t="e">
        <f>((#REF!-P31)/P31)</f>
        <v>#REF!</v>
      </c>
      <c r="U31" s="52" t="e">
        <f>(#REF!/#REF!)</f>
        <v>#REF!</v>
      </c>
      <c r="V31" s="53" t="e">
        <f>#REF!/#REF!</f>
        <v>#REF!</v>
      </c>
      <c r="W31" s="54" t="e">
        <f>#REF!/AE31</f>
        <v>#REF!</v>
      </c>
      <c r="X31" s="54" t="e">
        <f>#REF!/AE31</f>
        <v>#REF!</v>
      </c>
      <c r="Y31" s="65">
        <v>100</v>
      </c>
      <c r="Z31" s="65">
        <v>100</v>
      </c>
      <c r="AA31" s="55">
        <v>72</v>
      </c>
      <c r="AB31" s="45">
        <v>98885</v>
      </c>
      <c r="AC31" s="55">
        <v>100100</v>
      </c>
      <c r="AD31" s="55">
        <v>40000</v>
      </c>
      <c r="AE31" s="45">
        <v>159975</v>
      </c>
      <c r="AF31" s="5"/>
    </row>
    <row r="32" spans="1:241" ht="18" customHeight="1" x14ac:dyDescent="0.25">
      <c r="A32" s="41">
        <v>27</v>
      </c>
      <c r="B32" s="42" t="s">
        <v>73</v>
      </c>
      <c r="C32" s="42" t="s">
        <v>72</v>
      </c>
      <c r="D32" s="45"/>
      <c r="E32" s="45"/>
      <c r="F32" s="45">
        <f>1903771266.69+2778334105.56</f>
        <v>4682105372.25</v>
      </c>
      <c r="G32" s="45"/>
      <c r="H32" s="45"/>
      <c r="I32" s="45"/>
      <c r="J32" s="45">
        <f>1903771266.69+2778334105.56</f>
        <v>4682105372.25</v>
      </c>
      <c r="K32" s="45">
        <v>34416061.789999999</v>
      </c>
      <c r="L32" s="45">
        <v>6365486.0899999999</v>
      </c>
      <c r="M32" s="47">
        <v>42527672.549999997</v>
      </c>
      <c r="N32" s="65">
        <v>4728098830.6800003</v>
      </c>
      <c r="O32" s="65">
        <v>25178794.379999999</v>
      </c>
      <c r="P32" s="73">
        <v>5081998247.9499998</v>
      </c>
      <c r="Q32" s="50">
        <f t="shared" si="9"/>
        <v>9.1051803128641955E-3</v>
      </c>
      <c r="R32" s="73">
        <v>4702920036.3000002</v>
      </c>
      <c r="S32" s="50">
        <f t="shared" si="10"/>
        <v>8.6219124444124485E-3</v>
      </c>
      <c r="T32" s="51">
        <f t="shared" ref="T32:T50" si="16">((R32-P32)/P32)</f>
        <v>-7.459235386452838E-2</v>
      </c>
      <c r="U32" s="52">
        <f t="shared" ref="U32:U50" si="17">(L32/R32)</f>
        <v>1.3535178231539773E-3</v>
      </c>
      <c r="V32" s="53">
        <f t="shared" ref="V32:V50" si="18">M32/R32</f>
        <v>9.0428228040760911E-3</v>
      </c>
      <c r="W32" s="54">
        <f t="shared" ref="W32:W50" si="19">R32/AE32</f>
        <v>1.01351182318191</v>
      </c>
      <c r="X32" s="54">
        <f t="shared" ref="X32:X50" si="20">M32/AE32</f>
        <v>9.1650078268701116E-3</v>
      </c>
      <c r="Y32" s="65">
        <v>1</v>
      </c>
      <c r="Z32" s="65">
        <v>1</v>
      </c>
      <c r="AA32" s="55">
        <v>1641</v>
      </c>
      <c r="AB32" s="45">
        <v>5059986410.1999998</v>
      </c>
      <c r="AC32" s="45">
        <v>653027101.70000005</v>
      </c>
      <c r="AD32" s="45">
        <v>1072791337.15</v>
      </c>
      <c r="AE32" s="45">
        <v>4640222174.75</v>
      </c>
      <c r="AF32" s="5"/>
    </row>
    <row r="33" spans="1:241" ht="16.5" customHeight="1" x14ac:dyDescent="0.25">
      <c r="A33" s="41">
        <v>28</v>
      </c>
      <c r="B33" s="42" t="s">
        <v>166</v>
      </c>
      <c r="C33" s="42" t="s">
        <v>70</v>
      </c>
      <c r="D33" s="45"/>
      <c r="E33" s="45"/>
      <c r="F33" s="45">
        <f>4676786569.12 +5927082126.89</f>
        <v>10603868696.01</v>
      </c>
      <c r="G33" s="45"/>
      <c r="H33" s="45"/>
      <c r="I33" s="45">
        <v>0</v>
      </c>
      <c r="J33" s="45">
        <v>10847938448.23</v>
      </c>
      <c r="K33" s="45">
        <v>93573191.659999996</v>
      </c>
      <c r="L33" s="45">
        <v>17051656.98</v>
      </c>
      <c r="M33" s="47">
        <v>76521534.680000007</v>
      </c>
      <c r="N33" s="65">
        <v>10847938448.23</v>
      </c>
      <c r="O33" s="65">
        <v>138836843.83000001</v>
      </c>
      <c r="P33" s="73">
        <v>11242727200.379999</v>
      </c>
      <c r="Q33" s="50">
        <f t="shared" si="9"/>
        <v>2.0143072345429489E-2</v>
      </c>
      <c r="R33" s="73">
        <v>10709101604.389999</v>
      </c>
      <c r="S33" s="50">
        <f t="shared" si="10"/>
        <v>1.9633107873126832E-2</v>
      </c>
      <c r="T33" s="51">
        <f t="shared" si="16"/>
        <v>-4.746407045898645E-2</v>
      </c>
      <c r="U33" s="52">
        <f t="shared" si="17"/>
        <v>1.5922583994356714E-3</v>
      </c>
      <c r="V33" s="53">
        <f t="shared" si="18"/>
        <v>7.1454672396264697E-3</v>
      </c>
      <c r="W33" s="54">
        <f t="shared" si="19"/>
        <v>100.00000004099316</v>
      </c>
      <c r="X33" s="54">
        <f t="shared" si="20"/>
        <v>0.71454672425556232</v>
      </c>
      <c r="Y33" s="65">
        <v>100</v>
      </c>
      <c r="Z33" s="65">
        <v>100</v>
      </c>
      <c r="AA33" s="55">
        <v>1856</v>
      </c>
      <c r="AB33" s="55">
        <v>112427272</v>
      </c>
      <c r="AC33" s="55">
        <v>7949082</v>
      </c>
      <c r="AD33" s="55">
        <v>13285338</v>
      </c>
      <c r="AE33" s="45">
        <v>107091016</v>
      </c>
      <c r="AF33" s="5"/>
    </row>
    <row r="34" spans="1:241" ht="16.5" customHeight="1" x14ac:dyDescent="0.25">
      <c r="A34" s="41">
        <v>29</v>
      </c>
      <c r="B34" s="42" t="s">
        <v>71</v>
      </c>
      <c r="C34" s="42" t="s">
        <v>70</v>
      </c>
      <c r="D34" s="45"/>
      <c r="E34" s="45"/>
      <c r="F34" s="45">
        <f>197046395.94+196868437.57</f>
        <v>393914833.50999999</v>
      </c>
      <c r="G34" s="45"/>
      <c r="H34" s="45"/>
      <c r="I34" s="45">
        <v>0</v>
      </c>
      <c r="J34" s="45">
        <v>394082065.04000002</v>
      </c>
      <c r="K34" s="45">
        <v>3311227.94</v>
      </c>
      <c r="L34" s="45">
        <v>358785.01</v>
      </c>
      <c r="M34" s="47">
        <v>2952442.93</v>
      </c>
      <c r="N34" s="65">
        <v>394082065.04000002</v>
      </c>
      <c r="O34" s="65">
        <v>2863455.91</v>
      </c>
      <c r="P34" s="73">
        <v>390273297.13</v>
      </c>
      <c r="Q34" s="50">
        <f t="shared" si="9"/>
        <v>6.9923454678444744E-4</v>
      </c>
      <c r="R34" s="73">
        <v>391218609.12</v>
      </c>
      <c r="S34" s="50">
        <f t="shared" si="10"/>
        <v>7.1722516403047122E-4</v>
      </c>
      <c r="T34" s="51">
        <f t="shared" si="16"/>
        <v>2.4221795263771944E-3</v>
      </c>
      <c r="U34" s="52">
        <f t="shared" si="17"/>
        <v>9.1709597047810287E-4</v>
      </c>
      <c r="V34" s="53">
        <f t="shared" si="18"/>
        <v>7.5467855085962583E-3</v>
      </c>
      <c r="W34" s="54">
        <f t="shared" si="19"/>
        <v>1000559.1026086956</v>
      </c>
      <c r="X34" s="54">
        <f t="shared" si="20"/>
        <v>7551.0049360613812</v>
      </c>
      <c r="Y34" s="65">
        <v>1000000</v>
      </c>
      <c r="Z34" s="65">
        <v>1000000</v>
      </c>
      <c r="AA34" s="55">
        <v>10</v>
      </c>
      <c r="AB34" s="55">
        <v>391</v>
      </c>
      <c r="AC34" s="55">
        <v>0</v>
      </c>
      <c r="AD34" s="55">
        <v>0</v>
      </c>
      <c r="AE34" s="45">
        <v>391</v>
      </c>
      <c r="AF34" s="5"/>
    </row>
    <row r="35" spans="1:241" ht="16.5" customHeight="1" x14ac:dyDescent="0.25">
      <c r="A35" s="41">
        <v>30</v>
      </c>
      <c r="B35" s="56" t="s">
        <v>157</v>
      </c>
      <c r="C35" s="56" t="s">
        <v>156</v>
      </c>
      <c r="D35" s="45"/>
      <c r="E35" s="45"/>
      <c r="F35" s="45">
        <v>410269180.76999998</v>
      </c>
      <c r="G35" s="45"/>
      <c r="H35" s="45"/>
      <c r="I35" s="45">
        <v>1954769.9</v>
      </c>
      <c r="J35" s="45">
        <v>412223950.67000002</v>
      </c>
      <c r="K35" s="45">
        <v>10148797.33</v>
      </c>
      <c r="L35" s="45">
        <v>2031147.06</v>
      </c>
      <c r="M35" s="47">
        <v>8117650.2699999996</v>
      </c>
      <c r="N35" s="65">
        <v>1026108636.39</v>
      </c>
      <c r="O35" s="65">
        <f>N35-R35</f>
        <v>20913389.639999986</v>
      </c>
      <c r="P35" s="73">
        <v>1092408926.6900001</v>
      </c>
      <c r="Q35" s="50">
        <f t="shared" si="9"/>
        <v>1.9572183553796369E-3</v>
      </c>
      <c r="R35" s="73">
        <v>1005195246.75</v>
      </c>
      <c r="S35" s="50">
        <f t="shared" si="10"/>
        <v>1.8428349493768037E-3</v>
      </c>
      <c r="T35" s="51">
        <f t="shared" si="16"/>
        <v>-7.9836110644259911E-2</v>
      </c>
      <c r="U35" s="52">
        <f t="shared" si="17"/>
        <v>2.0206492883518006E-3</v>
      </c>
      <c r="V35" s="53">
        <f t="shared" si="18"/>
        <v>8.075695041581234E-3</v>
      </c>
      <c r="W35" s="54">
        <f t="shared" si="19"/>
        <v>1.0002920855456701</v>
      </c>
      <c r="X35" s="54">
        <f t="shared" si="20"/>
        <v>8.0780538353741188E-3</v>
      </c>
      <c r="Y35" s="65">
        <v>1</v>
      </c>
      <c r="Z35" s="65">
        <v>1</v>
      </c>
      <c r="AA35" s="55">
        <v>261</v>
      </c>
      <c r="AB35" s="55">
        <v>1091620970.21</v>
      </c>
      <c r="AC35" s="55">
        <v>13208500</v>
      </c>
      <c r="AD35" s="55">
        <v>99927740.730000004</v>
      </c>
      <c r="AE35" s="45">
        <v>1004901729.48</v>
      </c>
      <c r="AF35" s="5"/>
    </row>
    <row r="36" spans="1:241" ht="16.5" customHeight="1" x14ac:dyDescent="0.25">
      <c r="A36" s="41">
        <v>31</v>
      </c>
      <c r="B36" s="42" t="s">
        <v>83</v>
      </c>
      <c r="C36" s="42" t="s">
        <v>170</v>
      </c>
      <c r="D36" s="45"/>
      <c r="E36" s="45"/>
      <c r="F36" s="45">
        <v>208999803.40000001</v>
      </c>
      <c r="G36" s="45"/>
      <c r="H36" s="45"/>
      <c r="I36" s="45"/>
      <c r="J36" s="45">
        <v>208999803.40000001</v>
      </c>
      <c r="K36" s="45">
        <v>1935458.32</v>
      </c>
      <c r="L36" s="45">
        <v>671036.99</v>
      </c>
      <c r="M36" s="47">
        <v>1264421.33</v>
      </c>
      <c r="N36" s="65">
        <v>297065937.50999999</v>
      </c>
      <c r="O36" s="65">
        <v>2830888.13</v>
      </c>
      <c r="P36" s="73">
        <v>307791750.38999999</v>
      </c>
      <c r="Q36" s="50">
        <f t="shared" si="9"/>
        <v>5.5145618895943607E-4</v>
      </c>
      <c r="R36" s="73">
        <v>294235049.38</v>
      </c>
      <c r="S36" s="50">
        <f t="shared" si="10"/>
        <v>5.3942419055621506E-4</v>
      </c>
      <c r="T36" s="51">
        <f t="shared" si="16"/>
        <v>-4.4045043419202838E-2</v>
      </c>
      <c r="U36" s="52">
        <f t="shared" si="17"/>
        <v>2.2806154175513136E-3</v>
      </c>
      <c r="V36" s="53">
        <f t="shared" si="18"/>
        <v>4.2973171709636115E-3</v>
      </c>
      <c r="W36" s="54">
        <f t="shared" si="19"/>
        <v>1.0293530516019442</v>
      </c>
      <c r="X36" s="54">
        <f t="shared" si="20"/>
        <v>4.4234565436328272E-3</v>
      </c>
      <c r="Y36" s="65">
        <v>1</v>
      </c>
      <c r="Z36" s="65">
        <v>1</v>
      </c>
      <c r="AA36" s="55">
        <v>272</v>
      </c>
      <c r="AB36" s="55">
        <v>306482820</v>
      </c>
      <c r="AC36" s="55">
        <v>573560</v>
      </c>
      <c r="AD36" s="55">
        <v>21211743</v>
      </c>
      <c r="AE36" s="45">
        <v>285844637</v>
      </c>
      <c r="AF36" s="5"/>
    </row>
    <row r="37" spans="1:241" s="22" customFormat="1" ht="16.5" customHeight="1" x14ac:dyDescent="0.3">
      <c r="A37" s="41">
        <v>32</v>
      </c>
      <c r="B37" s="42" t="s">
        <v>56</v>
      </c>
      <c r="C37" s="42" t="s">
        <v>55</v>
      </c>
      <c r="D37" s="45"/>
      <c r="E37" s="45"/>
      <c r="F37" s="45">
        <v>141596765443.73001</v>
      </c>
      <c r="G37" s="45"/>
      <c r="H37" s="45"/>
      <c r="I37" s="45"/>
      <c r="J37" s="45">
        <v>142191351032.76999</v>
      </c>
      <c r="K37" s="45">
        <v>1251187285.5599999</v>
      </c>
      <c r="L37" s="45">
        <v>201889897.44999999</v>
      </c>
      <c r="M37" s="47">
        <v>1049297388.11</v>
      </c>
      <c r="N37" s="65">
        <v>144437624244.17999</v>
      </c>
      <c r="O37" s="65">
        <v>2246273211.4099998</v>
      </c>
      <c r="P37" s="73">
        <v>148860079827.62</v>
      </c>
      <c r="Q37" s="50">
        <f t="shared" si="9"/>
        <v>0.26670569372285496</v>
      </c>
      <c r="R37" s="73">
        <v>142191351032.76999</v>
      </c>
      <c r="S37" s="50">
        <f t="shared" si="10"/>
        <v>0.26068088963761704</v>
      </c>
      <c r="T37" s="51">
        <f t="shared" si="16"/>
        <v>-4.4798637771606704E-2</v>
      </c>
      <c r="U37" s="52">
        <f t="shared" si="17"/>
        <v>1.4198465376664973E-3</v>
      </c>
      <c r="V37" s="53">
        <f t="shared" si="18"/>
        <v>7.3794740713039198E-3</v>
      </c>
      <c r="W37" s="54">
        <f t="shared" si="19"/>
        <v>1.0165357714095655</v>
      </c>
      <c r="X37" s="54">
        <f t="shared" si="20"/>
        <v>7.5014993676698173E-3</v>
      </c>
      <c r="Y37" s="65">
        <v>100</v>
      </c>
      <c r="Z37" s="65">
        <v>100</v>
      </c>
      <c r="AA37" s="55">
        <v>23314</v>
      </c>
      <c r="AB37" s="55">
        <v>139945077821</v>
      </c>
      <c r="AC37" s="55">
        <v>65783653</v>
      </c>
      <c r="AD37" s="55">
        <v>132506936.69</v>
      </c>
      <c r="AE37" s="45">
        <v>139878354537</v>
      </c>
      <c r="AF37" s="20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  <c r="CH37" s="21"/>
      <c r="CI37" s="21"/>
      <c r="CJ37" s="21"/>
      <c r="CK37" s="21"/>
      <c r="CL37" s="21"/>
      <c r="CM37" s="21"/>
      <c r="CN37" s="21"/>
      <c r="CO37" s="21"/>
      <c r="CP37" s="21"/>
      <c r="CQ37" s="21"/>
      <c r="CR37" s="21"/>
      <c r="CS37" s="21"/>
      <c r="CT37" s="21"/>
      <c r="CU37" s="21"/>
      <c r="CV37" s="21"/>
      <c r="CW37" s="21"/>
      <c r="CX37" s="21"/>
      <c r="CY37" s="21"/>
      <c r="CZ37" s="21"/>
      <c r="DA37" s="21"/>
      <c r="DB37" s="21"/>
      <c r="DC37" s="21"/>
      <c r="DD37" s="21"/>
      <c r="DE37" s="21"/>
      <c r="DF37" s="21"/>
      <c r="DG37" s="21"/>
      <c r="DH37" s="21"/>
      <c r="DI37" s="21"/>
      <c r="DJ37" s="21"/>
      <c r="DK37" s="21"/>
      <c r="DL37" s="21"/>
      <c r="DM37" s="21"/>
      <c r="DN37" s="21"/>
      <c r="DO37" s="21"/>
      <c r="DP37" s="21"/>
      <c r="DQ37" s="21"/>
      <c r="DR37" s="21"/>
      <c r="DS37" s="21"/>
      <c r="DT37" s="21"/>
      <c r="DU37" s="21"/>
      <c r="DV37" s="21"/>
      <c r="DW37" s="21"/>
      <c r="DX37" s="21"/>
      <c r="DY37" s="21"/>
      <c r="DZ37" s="21"/>
      <c r="EA37" s="21"/>
      <c r="EB37" s="21"/>
      <c r="EC37" s="21"/>
      <c r="ED37" s="21"/>
      <c r="EE37" s="21"/>
      <c r="EF37" s="21"/>
      <c r="EG37" s="21"/>
      <c r="EH37" s="21"/>
      <c r="EI37" s="21"/>
      <c r="EJ37" s="21"/>
      <c r="EK37" s="21"/>
      <c r="EL37" s="21"/>
      <c r="EM37" s="21"/>
      <c r="EN37" s="21"/>
      <c r="EO37" s="21"/>
      <c r="EP37" s="21"/>
      <c r="EQ37" s="21"/>
      <c r="ER37" s="21"/>
      <c r="ES37" s="21"/>
      <c r="ET37" s="21"/>
      <c r="EU37" s="21"/>
      <c r="EV37" s="21"/>
      <c r="EW37" s="21"/>
      <c r="EX37" s="21"/>
      <c r="EY37" s="21"/>
      <c r="EZ37" s="21"/>
      <c r="FA37" s="21"/>
      <c r="FB37" s="21"/>
      <c r="FC37" s="21"/>
      <c r="FD37" s="21"/>
      <c r="FE37" s="21"/>
      <c r="FF37" s="21"/>
      <c r="FG37" s="21"/>
      <c r="FH37" s="21"/>
      <c r="FI37" s="21"/>
      <c r="FJ37" s="21"/>
      <c r="FK37" s="21"/>
      <c r="FL37" s="21"/>
      <c r="FM37" s="21"/>
      <c r="FN37" s="21"/>
      <c r="FO37" s="21"/>
      <c r="FP37" s="21"/>
      <c r="FQ37" s="21"/>
      <c r="FR37" s="21"/>
      <c r="FS37" s="21"/>
      <c r="FT37" s="21"/>
      <c r="FU37" s="21"/>
      <c r="FV37" s="21"/>
      <c r="FW37" s="21"/>
      <c r="FX37" s="21"/>
      <c r="FY37" s="21"/>
      <c r="FZ37" s="21"/>
      <c r="GA37" s="21"/>
      <c r="GB37" s="21"/>
      <c r="GC37" s="21"/>
      <c r="GD37" s="21"/>
      <c r="GE37" s="21"/>
      <c r="GF37" s="21"/>
      <c r="GG37" s="21"/>
      <c r="GH37" s="21"/>
      <c r="GI37" s="21"/>
      <c r="GJ37" s="21"/>
      <c r="GK37" s="21"/>
      <c r="GL37" s="21"/>
      <c r="GM37" s="21"/>
      <c r="GN37" s="21"/>
      <c r="GO37" s="21"/>
      <c r="GP37" s="21"/>
      <c r="GQ37" s="21"/>
      <c r="GR37" s="21"/>
      <c r="GS37" s="21"/>
      <c r="GT37" s="21"/>
      <c r="GU37" s="21"/>
      <c r="GV37" s="21"/>
      <c r="GW37" s="21"/>
      <c r="GX37" s="21"/>
      <c r="GY37" s="21"/>
      <c r="GZ37" s="21"/>
      <c r="HA37" s="21"/>
      <c r="HB37" s="21"/>
      <c r="HC37" s="21"/>
      <c r="HD37" s="21"/>
      <c r="HE37" s="21"/>
      <c r="HF37" s="21"/>
      <c r="HG37" s="21"/>
      <c r="HH37" s="21"/>
      <c r="HI37" s="21"/>
      <c r="HJ37" s="21"/>
      <c r="HK37" s="21"/>
      <c r="HL37" s="21"/>
      <c r="HM37" s="21"/>
      <c r="HN37" s="21"/>
      <c r="HO37" s="21"/>
      <c r="HP37" s="21"/>
      <c r="HQ37" s="21"/>
      <c r="HR37" s="21"/>
      <c r="HS37" s="21"/>
      <c r="HT37" s="21"/>
      <c r="HU37" s="21"/>
      <c r="HV37" s="21"/>
      <c r="HW37" s="21"/>
      <c r="HX37" s="21"/>
      <c r="HY37" s="21"/>
      <c r="HZ37" s="21"/>
      <c r="IA37" s="21"/>
      <c r="IB37" s="21"/>
      <c r="IC37" s="21"/>
      <c r="ID37" s="21"/>
      <c r="IE37" s="21"/>
      <c r="IF37" s="21"/>
      <c r="IG37" s="21"/>
    </row>
    <row r="38" spans="1:241" ht="16.5" customHeight="1" x14ac:dyDescent="0.25">
      <c r="A38" s="41">
        <v>33</v>
      </c>
      <c r="B38" s="42" t="s">
        <v>79</v>
      </c>
      <c r="C38" s="42" t="s">
        <v>78</v>
      </c>
      <c r="D38" s="45"/>
      <c r="E38" s="45"/>
      <c r="F38" s="45">
        <v>202435961.09999999</v>
      </c>
      <c r="G38" s="45"/>
      <c r="H38" s="45"/>
      <c r="I38" s="45">
        <v>381540809.47000003</v>
      </c>
      <c r="J38" s="45">
        <v>599130682.35000002</v>
      </c>
      <c r="K38" s="45">
        <v>4075946.21</v>
      </c>
      <c r="L38" s="45">
        <v>1385974.13</v>
      </c>
      <c r="M38" s="47">
        <v>2689972.08</v>
      </c>
      <c r="N38" s="65">
        <v>602159692.51999998</v>
      </c>
      <c r="O38" s="65">
        <v>8781753.2599999998</v>
      </c>
      <c r="P38" s="73">
        <v>626114699.84000003</v>
      </c>
      <c r="Q38" s="50">
        <f t="shared" si="9"/>
        <v>1.1217806383301476E-3</v>
      </c>
      <c r="R38" s="73">
        <v>593377939.25999999</v>
      </c>
      <c r="S38" s="50">
        <f t="shared" si="10"/>
        <v>1.0878459763842036E-3</v>
      </c>
      <c r="T38" s="51">
        <f t="shared" si="16"/>
        <v>-5.2285564591225429E-2</v>
      </c>
      <c r="U38" s="52">
        <f t="shared" si="17"/>
        <v>2.335735857872378E-3</v>
      </c>
      <c r="V38" s="53">
        <f t="shared" si="18"/>
        <v>4.5333200006637542E-3</v>
      </c>
      <c r="W38" s="54">
        <f t="shared" si="19"/>
        <v>9.9493529806210788</v>
      </c>
      <c r="X38" s="54">
        <f t="shared" si="20"/>
        <v>4.5103600860713071E-2</v>
      </c>
      <c r="Y38" s="65">
        <v>10</v>
      </c>
      <c r="Z38" s="65">
        <v>10</v>
      </c>
      <c r="AA38" s="55">
        <v>278</v>
      </c>
      <c r="AB38" s="55">
        <v>62734495</v>
      </c>
      <c r="AC38" s="55">
        <v>1861800</v>
      </c>
      <c r="AD38" s="55">
        <v>4956443</v>
      </c>
      <c r="AE38" s="45">
        <v>59639852</v>
      </c>
      <c r="AF38" s="5"/>
    </row>
    <row r="39" spans="1:241" ht="16.5" customHeight="1" x14ac:dyDescent="0.25">
      <c r="A39" s="41">
        <v>34</v>
      </c>
      <c r="B39" s="42" t="s">
        <v>64</v>
      </c>
      <c r="C39" s="42" t="s">
        <v>63</v>
      </c>
      <c r="D39" s="45"/>
      <c r="E39" s="45"/>
      <c r="F39" s="43">
        <v>1164606496.0699999</v>
      </c>
      <c r="G39" s="43"/>
      <c r="H39" s="43"/>
      <c r="I39" s="43"/>
      <c r="J39" s="43">
        <v>1164606496.0699999</v>
      </c>
      <c r="K39" s="45">
        <v>16304490.59</v>
      </c>
      <c r="L39" s="45">
        <v>3590800.02</v>
      </c>
      <c r="M39" s="47">
        <v>12713690.57</v>
      </c>
      <c r="N39" s="65">
        <v>2093851002.9200001</v>
      </c>
      <c r="O39" s="65">
        <v>3590800.02</v>
      </c>
      <c r="P39" s="73">
        <v>2286003397.3200002</v>
      </c>
      <c r="Q39" s="50">
        <f t="shared" si="9"/>
        <v>4.095726151974761E-3</v>
      </c>
      <c r="R39" s="73">
        <v>2093734662.6500001</v>
      </c>
      <c r="S39" s="50">
        <f t="shared" si="10"/>
        <v>3.8384656349381729E-3</v>
      </c>
      <c r="T39" s="51">
        <f t="shared" si="16"/>
        <v>-8.4106933041047383E-2</v>
      </c>
      <c r="U39" s="52">
        <f t="shared" si="17"/>
        <v>1.7150215278258769E-3</v>
      </c>
      <c r="V39" s="53">
        <f t="shared" si="18"/>
        <v>6.0722549025904382E-3</v>
      </c>
      <c r="W39" s="54">
        <f t="shared" si="19"/>
        <v>99.999998216106377</v>
      </c>
      <c r="X39" s="54">
        <f t="shared" si="20"/>
        <v>0.60722547942678695</v>
      </c>
      <c r="Y39" s="65">
        <v>100</v>
      </c>
      <c r="Z39" s="65">
        <v>100</v>
      </c>
      <c r="AA39" s="55">
        <v>539</v>
      </c>
      <c r="AB39" s="55">
        <v>22860034</v>
      </c>
      <c r="AC39" s="55">
        <v>726281</v>
      </c>
      <c r="AD39" s="55">
        <v>2648968</v>
      </c>
      <c r="AE39" s="45">
        <v>20937347</v>
      </c>
      <c r="AF39" s="5"/>
    </row>
    <row r="40" spans="1:241" ht="16.5" customHeight="1" x14ac:dyDescent="0.25">
      <c r="A40" s="41">
        <v>35</v>
      </c>
      <c r="B40" s="42" t="s">
        <v>77</v>
      </c>
      <c r="C40" s="42" t="s">
        <v>25</v>
      </c>
      <c r="D40" s="45"/>
      <c r="E40" s="45"/>
      <c r="F40" s="45">
        <v>3869195153.4699998</v>
      </c>
      <c r="G40" s="45"/>
      <c r="H40" s="45"/>
      <c r="I40" s="45"/>
      <c r="J40" s="45">
        <v>3896788292.52</v>
      </c>
      <c r="K40" s="93">
        <v>34323708.420000002</v>
      </c>
      <c r="L40" s="45">
        <v>4660386.84</v>
      </c>
      <c r="M40" s="47">
        <v>29663321.579999998</v>
      </c>
      <c r="N40" s="65">
        <v>3896788292.52</v>
      </c>
      <c r="O40" s="65">
        <v>13964483.050000001</v>
      </c>
      <c r="P40" s="73">
        <v>4131326367.9099998</v>
      </c>
      <c r="Q40" s="50">
        <f t="shared" si="9"/>
        <v>7.4019056433726202E-3</v>
      </c>
      <c r="R40" s="73">
        <v>3882823809.4699998</v>
      </c>
      <c r="S40" s="50">
        <f t="shared" si="10"/>
        <v>7.1184214623960518E-3</v>
      </c>
      <c r="T40" s="51">
        <f t="shared" si="16"/>
        <v>-6.0150793307020965E-2</v>
      </c>
      <c r="U40" s="52">
        <f t="shared" si="17"/>
        <v>1.2002570986181669E-3</v>
      </c>
      <c r="V40" s="53">
        <f t="shared" si="18"/>
        <v>7.63962596182004E-3</v>
      </c>
      <c r="W40" s="54">
        <f t="shared" si="19"/>
        <v>0.98761516392472959</v>
      </c>
      <c r="X40" s="54">
        <f t="shared" si="20"/>
        <v>7.5450104466065187E-3</v>
      </c>
      <c r="Y40" s="65">
        <v>0.99</v>
      </c>
      <c r="Z40" s="65">
        <v>0.99</v>
      </c>
      <c r="AA40" s="58">
        <v>813</v>
      </c>
      <c r="AB40" s="58">
        <v>4179518668</v>
      </c>
      <c r="AC40" s="58">
        <v>219700244</v>
      </c>
      <c r="AD40" s="58">
        <v>467703934</v>
      </c>
      <c r="AE40" s="45">
        <v>3931514978</v>
      </c>
      <c r="AF40" s="5"/>
    </row>
    <row r="41" spans="1:241" ht="16.5" customHeight="1" x14ac:dyDescent="0.25">
      <c r="A41" s="41">
        <v>36</v>
      </c>
      <c r="B41" s="42" t="s">
        <v>61</v>
      </c>
      <c r="C41" s="42" t="s">
        <v>39</v>
      </c>
      <c r="D41" s="45"/>
      <c r="E41" s="45"/>
      <c r="F41" s="91">
        <f>1749955867.78+181868003.49</f>
        <v>1931823871.27</v>
      </c>
      <c r="G41" s="45"/>
      <c r="H41" s="45"/>
      <c r="I41" s="45"/>
      <c r="J41" s="91">
        <f>1749955867.78+181868003.49</f>
        <v>1931823871.27</v>
      </c>
      <c r="K41" s="45">
        <v>17101728.98</v>
      </c>
      <c r="L41" s="45">
        <v>3121278.73</v>
      </c>
      <c r="M41" s="47">
        <v>13980450.25</v>
      </c>
      <c r="N41" s="65">
        <v>1950587370.1700001</v>
      </c>
      <c r="O41" s="65">
        <v>8700876.9100000001</v>
      </c>
      <c r="P41" s="73">
        <v>2010431535.1400001</v>
      </c>
      <c r="Q41" s="50">
        <f t="shared" si="9"/>
        <v>3.6019968408100424E-3</v>
      </c>
      <c r="R41" s="73">
        <v>1941886493.26</v>
      </c>
      <c r="S41" s="50">
        <f t="shared" si="10"/>
        <v>3.5600807992999901E-3</v>
      </c>
      <c r="T41" s="51">
        <f t="shared" si="16"/>
        <v>-3.4094690956599449E-2</v>
      </c>
      <c r="U41" s="52">
        <f t="shared" si="17"/>
        <v>1.6073435501165983E-3</v>
      </c>
      <c r="V41" s="53">
        <f t="shared" si="18"/>
        <v>7.1994168034661497E-3</v>
      </c>
      <c r="W41" s="54">
        <f t="shared" si="19"/>
        <v>10.092661081384518</v>
      </c>
      <c r="X41" s="54">
        <f t="shared" si="20"/>
        <v>7.2661273781008534E-2</v>
      </c>
      <c r="Y41" s="65">
        <v>10</v>
      </c>
      <c r="Z41" s="65">
        <v>10</v>
      </c>
      <c r="AA41" s="55">
        <v>1458</v>
      </c>
      <c r="AB41" s="45">
        <v>199478161.56</v>
      </c>
      <c r="AC41" s="45">
        <v>16796080.609999999</v>
      </c>
      <c r="AD41" s="45">
        <v>23868445.760000002</v>
      </c>
      <c r="AE41" s="45">
        <v>192405796.41</v>
      </c>
      <c r="AF41" s="5"/>
    </row>
    <row r="42" spans="1:241" ht="16.5" customHeight="1" x14ac:dyDescent="0.25">
      <c r="A42" s="41">
        <v>37</v>
      </c>
      <c r="B42" s="42" t="s">
        <v>167</v>
      </c>
      <c r="C42" s="42" t="s">
        <v>150</v>
      </c>
      <c r="D42" s="45"/>
      <c r="E42" s="45"/>
      <c r="F42" s="45">
        <v>1120020506.4400001</v>
      </c>
      <c r="G42" s="45"/>
      <c r="H42" s="45"/>
      <c r="I42" s="45"/>
      <c r="J42" s="45">
        <v>1120020506.4400001</v>
      </c>
      <c r="K42" s="45">
        <v>12355869.83</v>
      </c>
      <c r="L42" s="45">
        <v>2011650.56</v>
      </c>
      <c r="M42" s="47">
        <v>10344219.27</v>
      </c>
      <c r="N42" s="65">
        <v>1480317991.8</v>
      </c>
      <c r="O42" s="65">
        <v>25482887.219999999</v>
      </c>
      <c r="P42" s="73">
        <v>1456915004.5799999</v>
      </c>
      <c r="Q42" s="50">
        <f t="shared" si="9"/>
        <v>2.6102869717771651E-3</v>
      </c>
      <c r="R42" s="73">
        <v>1454835104.5799999</v>
      </c>
      <c r="S42" s="50">
        <f t="shared" si="10"/>
        <v>2.6671643991240165E-3</v>
      </c>
      <c r="T42" s="51">
        <f t="shared" si="16"/>
        <v>-1.4276055867786155E-3</v>
      </c>
      <c r="U42" s="52">
        <f t="shared" si="17"/>
        <v>1.382734410014631E-3</v>
      </c>
      <c r="V42" s="53">
        <f t="shared" si="18"/>
        <v>7.1102348557820225E-3</v>
      </c>
      <c r="W42" s="54">
        <f t="shared" si="19"/>
        <v>99.862716417252713</v>
      </c>
      <c r="X42" s="54">
        <f t="shared" si="20"/>
        <v>0.71004736706302585</v>
      </c>
      <c r="Y42" s="65">
        <v>100</v>
      </c>
      <c r="Z42" s="65">
        <v>100</v>
      </c>
      <c r="AA42" s="55">
        <v>742</v>
      </c>
      <c r="AB42" s="55">
        <v>14589150</v>
      </c>
      <c r="AC42" s="55">
        <v>1190646</v>
      </c>
      <c r="AD42" s="55">
        <v>1169847</v>
      </c>
      <c r="AE42" s="45">
        <v>14568351</v>
      </c>
      <c r="AF42" s="5"/>
    </row>
    <row r="43" spans="1:241" ht="16.5" customHeight="1" x14ac:dyDescent="0.25">
      <c r="A43" s="41">
        <v>38</v>
      </c>
      <c r="B43" s="42" t="s">
        <v>90</v>
      </c>
      <c r="C43" s="56" t="s">
        <v>89</v>
      </c>
      <c r="D43" s="45"/>
      <c r="E43" s="45"/>
      <c r="F43" s="45">
        <v>64643374.859999999</v>
      </c>
      <c r="G43" s="45"/>
      <c r="H43" s="45"/>
      <c r="I43" s="45">
        <v>7211412.6299999999</v>
      </c>
      <c r="J43" s="45">
        <f>F43+I43</f>
        <v>71854787.489999995</v>
      </c>
      <c r="K43" s="45">
        <v>477181.77</v>
      </c>
      <c r="L43" s="45">
        <v>58609.52</v>
      </c>
      <c r="M43" s="47">
        <v>418572.25</v>
      </c>
      <c r="N43" s="65">
        <v>157547844.94</v>
      </c>
      <c r="O43" s="65">
        <v>4221978.8899999997</v>
      </c>
      <c r="P43" s="73">
        <v>151442836.59</v>
      </c>
      <c r="Q43" s="50">
        <f t="shared" si="9"/>
        <v>2.7133309910128568E-4</v>
      </c>
      <c r="R43" s="73">
        <v>150618202.88</v>
      </c>
      <c r="S43" s="50">
        <f t="shared" si="10"/>
        <v>2.7612992518320415E-4</v>
      </c>
      <c r="T43" s="51">
        <f t="shared" si="16"/>
        <v>-5.4451813540216014E-3</v>
      </c>
      <c r="U43" s="52">
        <f t="shared" si="17"/>
        <v>3.8912640623321715E-4</v>
      </c>
      <c r="V43" s="53">
        <f t="shared" si="18"/>
        <v>2.779028311295703E-3</v>
      </c>
      <c r="W43" s="54">
        <f t="shared" si="19"/>
        <v>0.81625215297745013</v>
      </c>
      <c r="X43" s="54">
        <f t="shared" si="20"/>
        <v>2.2683878422804053E-3</v>
      </c>
      <c r="Y43" s="65">
        <v>1</v>
      </c>
      <c r="Z43" s="65">
        <v>1</v>
      </c>
      <c r="AA43" s="55">
        <v>45</v>
      </c>
      <c r="AB43" s="55">
        <v>132429285</v>
      </c>
      <c r="AC43" s="45">
        <v>715000</v>
      </c>
      <c r="AD43" s="55">
        <v>180000</v>
      </c>
      <c r="AE43" s="45">
        <v>184524111</v>
      </c>
      <c r="AF43" s="5"/>
    </row>
    <row r="44" spans="1:241" ht="16.5" customHeight="1" x14ac:dyDescent="0.25">
      <c r="A44" s="41">
        <v>39</v>
      </c>
      <c r="B44" s="56" t="s">
        <v>67</v>
      </c>
      <c r="C44" s="56" t="s">
        <v>46</v>
      </c>
      <c r="D44" s="45"/>
      <c r="E44" s="45"/>
      <c r="F44" s="45">
        <v>671161399.45000005</v>
      </c>
      <c r="G44" s="45"/>
      <c r="H44" s="45"/>
      <c r="I44" s="45"/>
      <c r="J44" s="45">
        <v>671161399.45000005</v>
      </c>
      <c r="K44" s="45">
        <v>4931829.83</v>
      </c>
      <c r="L44" s="45">
        <v>888529.89</v>
      </c>
      <c r="M44" s="47">
        <v>4043299.94</v>
      </c>
      <c r="N44" s="65">
        <v>709111039.70000005</v>
      </c>
      <c r="O44" s="65">
        <v>5674255.6200000001</v>
      </c>
      <c r="P44" s="73">
        <v>706161972.52999997</v>
      </c>
      <c r="Q44" s="50">
        <f t="shared" si="9"/>
        <v>1.2651976203587156E-3</v>
      </c>
      <c r="R44" s="73">
        <v>703436784.08000004</v>
      </c>
      <c r="S44" s="50">
        <f t="shared" si="10"/>
        <v>1.289618006622203E-3</v>
      </c>
      <c r="T44" s="51">
        <f t="shared" si="16"/>
        <v>-3.8591549191416617E-3</v>
      </c>
      <c r="U44" s="52">
        <f t="shared" si="17"/>
        <v>1.2631268510674724E-3</v>
      </c>
      <c r="V44" s="53">
        <f t="shared" si="18"/>
        <v>5.7479222461874636E-3</v>
      </c>
      <c r="W44" s="54">
        <f t="shared" si="19"/>
        <v>10.441930546979959</v>
      </c>
      <c r="X44" s="54">
        <f t="shared" si="20"/>
        <v>6.0019404884130545E-2</v>
      </c>
      <c r="Y44" s="65">
        <v>10</v>
      </c>
      <c r="Z44" s="65">
        <v>10</v>
      </c>
      <c r="AA44" s="55">
        <v>521</v>
      </c>
      <c r="AB44" s="55">
        <v>70073039</v>
      </c>
      <c r="AC44" s="55">
        <v>3075543</v>
      </c>
      <c r="AD44" s="55">
        <v>5782037</v>
      </c>
      <c r="AE44" s="45">
        <v>67366545</v>
      </c>
      <c r="AF44" s="5"/>
    </row>
    <row r="45" spans="1:241" ht="16.5" customHeight="1" x14ac:dyDescent="0.25">
      <c r="A45" s="41">
        <v>40</v>
      </c>
      <c r="B45" s="42" t="s">
        <v>54</v>
      </c>
      <c r="C45" s="42" t="s">
        <v>23</v>
      </c>
      <c r="D45" s="45"/>
      <c r="E45" s="45"/>
      <c r="F45" s="45">
        <v>195957608344.29999</v>
      </c>
      <c r="G45" s="45">
        <v>9886626100.2000008</v>
      </c>
      <c r="H45" s="45"/>
      <c r="I45" s="45"/>
      <c r="J45" s="45">
        <v>205844234444.5</v>
      </c>
      <c r="K45" s="45">
        <v>1760935832.8399999</v>
      </c>
      <c r="L45" s="45">
        <v>377051370.63999999</v>
      </c>
      <c r="M45" s="47">
        <v>1383884462.2</v>
      </c>
      <c r="N45" s="65">
        <v>212848143614.07001</v>
      </c>
      <c r="O45" s="65">
        <v>936249533.50999999</v>
      </c>
      <c r="P45" s="73">
        <v>214446168820.20001</v>
      </c>
      <c r="Q45" s="50">
        <f t="shared" si="9"/>
        <v>0.38421324432736159</v>
      </c>
      <c r="R45" s="73">
        <v>211911894080.56</v>
      </c>
      <c r="S45" s="50">
        <f t="shared" si="10"/>
        <v>0.38850028973268358</v>
      </c>
      <c r="T45" s="51">
        <f t="shared" si="16"/>
        <v>-1.1817766451984735E-2</v>
      </c>
      <c r="U45" s="52">
        <f t="shared" si="17"/>
        <v>1.7792836606739069E-3</v>
      </c>
      <c r="V45" s="53">
        <f t="shared" si="18"/>
        <v>6.530470921438253E-3</v>
      </c>
      <c r="W45" s="54">
        <f t="shared" si="19"/>
        <v>1</v>
      </c>
      <c r="X45" s="54">
        <f t="shared" si="20"/>
        <v>6.530470921438253E-3</v>
      </c>
      <c r="Y45" s="65">
        <v>100</v>
      </c>
      <c r="Z45" s="65">
        <v>100</v>
      </c>
      <c r="AA45" s="55">
        <v>105503</v>
      </c>
      <c r="AB45" s="55">
        <v>214446168820.20001</v>
      </c>
      <c r="AC45" s="55">
        <v>15003790235.5</v>
      </c>
      <c r="AD45" s="55">
        <v>17538064975.139999</v>
      </c>
      <c r="AE45" s="45">
        <v>211911894080.56</v>
      </c>
      <c r="AF45" s="5"/>
    </row>
    <row r="46" spans="1:241" ht="16.5" customHeight="1" x14ac:dyDescent="0.25">
      <c r="A46" s="41">
        <v>41</v>
      </c>
      <c r="B46" s="42" t="s">
        <v>86</v>
      </c>
      <c r="C46" s="42" t="s">
        <v>85</v>
      </c>
      <c r="D46" s="45"/>
      <c r="E46" s="45"/>
      <c r="F46" s="45">
        <v>240441625.09999999</v>
      </c>
      <c r="G46" s="45"/>
      <c r="H46" s="45"/>
      <c r="I46" s="45"/>
      <c r="J46" s="45">
        <v>240441625.09999999</v>
      </c>
      <c r="K46" s="45">
        <v>1984824.03</v>
      </c>
      <c r="L46" s="45">
        <v>241012.88</v>
      </c>
      <c r="M46" s="47">
        <v>1743811.15</v>
      </c>
      <c r="N46" s="65">
        <v>241948670.53999999</v>
      </c>
      <c r="O46" s="65">
        <v>3339092.7</v>
      </c>
      <c r="P46" s="73">
        <v>158641666.75999999</v>
      </c>
      <c r="Q46" s="50">
        <f t="shared" si="9"/>
        <v>2.8423090888820901E-4</v>
      </c>
      <c r="R46" s="73">
        <v>238609577.84</v>
      </c>
      <c r="S46" s="50">
        <f t="shared" si="10"/>
        <v>4.3744543233893571E-4</v>
      </c>
      <c r="T46" s="51">
        <f t="shared" si="16"/>
        <v>0.50407886347398845</v>
      </c>
      <c r="U46" s="94">
        <f t="shared" si="17"/>
        <v>1.0100721110265388E-3</v>
      </c>
      <c r="V46" s="53">
        <f t="shared" si="18"/>
        <v>7.3082194176183283E-3</v>
      </c>
      <c r="W46" s="54">
        <f t="shared" si="19"/>
        <v>0.99242210135206888</v>
      </c>
      <c r="X46" s="54">
        <f t="shared" si="20"/>
        <v>7.2528384715747742E-3</v>
      </c>
      <c r="Y46" s="65">
        <v>1</v>
      </c>
      <c r="Z46" s="65">
        <v>1</v>
      </c>
      <c r="AA46" s="55">
        <v>111</v>
      </c>
      <c r="AB46" s="55">
        <v>161309124.30000001</v>
      </c>
      <c r="AC46" s="55">
        <v>85076862</v>
      </c>
      <c r="AD46" s="55">
        <v>5954442.5800000001</v>
      </c>
      <c r="AE46" s="55">
        <v>240431543.71000001</v>
      </c>
      <c r="AF46" s="5"/>
    </row>
    <row r="47" spans="1:241" ht="16.5" customHeight="1" x14ac:dyDescent="0.25">
      <c r="A47" s="41">
        <v>42</v>
      </c>
      <c r="B47" s="42" t="s">
        <v>57</v>
      </c>
      <c r="C47" s="42" t="s">
        <v>33</v>
      </c>
      <c r="D47" s="45"/>
      <c r="E47" s="45"/>
      <c r="F47" s="45">
        <f>8506871569+11674935003</f>
        <v>20181806572</v>
      </c>
      <c r="G47" s="45"/>
      <c r="H47" s="45"/>
      <c r="I47" s="45"/>
      <c r="J47" s="45">
        <f>8506871569+11674935003</f>
        <v>20181806572</v>
      </c>
      <c r="K47" s="45">
        <v>198729895</v>
      </c>
      <c r="L47" s="45">
        <v>25745234</v>
      </c>
      <c r="M47" s="47">
        <v>172984662</v>
      </c>
      <c r="N47" s="89">
        <v>20330758078.740002</v>
      </c>
      <c r="O47" s="65">
        <v>273862495.88</v>
      </c>
      <c r="P47" s="73">
        <v>20840760358</v>
      </c>
      <c r="Q47" s="50">
        <f t="shared" si="9"/>
        <v>3.7339422734615851E-2</v>
      </c>
      <c r="R47" s="73">
        <v>20056895583</v>
      </c>
      <c r="S47" s="50">
        <f t="shared" si="10"/>
        <v>3.6770516251303238E-2</v>
      </c>
      <c r="T47" s="51">
        <f t="shared" si="16"/>
        <v>-3.7612100592054609E-2</v>
      </c>
      <c r="U47" s="52">
        <f t="shared" si="17"/>
        <v>1.2836101127146203E-3</v>
      </c>
      <c r="V47" s="53">
        <f t="shared" si="18"/>
        <v>8.6246977396950628E-3</v>
      </c>
      <c r="W47" s="54">
        <f t="shared" si="19"/>
        <v>1.0196791544072696</v>
      </c>
      <c r="X47" s="54">
        <f t="shared" si="20"/>
        <v>8.7944244982305509E-3</v>
      </c>
      <c r="Y47" s="65">
        <v>1</v>
      </c>
      <c r="Z47" s="65">
        <v>1</v>
      </c>
      <c r="AA47" s="55">
        <v>3938</v>
      </c>
      <c r="AB47" s="55">
        <v>20433606476</v>
      </c>
      <c r="AC47" s="55">
        <v>2791496839</v>
      </c>
      <c r="AD47" s="55">
        <v>3555292966</v>
      </c>
      <c r="AE47" s="45">
        <v>19669810348</v>
      </c>
      <c r="AF47" s="5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7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7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  <c r="GA47" s="17"/>
      <c r="GB47" s="17"/>
      <c r="GC47" s="17"/>
      <c r="GD47" s="17"/>
      <c r="GE47" s="17"/>
      <c r="GF47" s="17"/>
      <c r="GG47" s="17"/>
      <c r="GH47" s="17"/>
      <c r="GI47" s="17"/>
      <c r="GJ47" s="17"/>
      <c r="GK47" s="17"/>
      <c r="GL47" s="17"/>
      <c r="GM47" s="17"/>
      <c r="GN47" s="17"/>
      <c r="GO47" s="17"/>
      <c r="GP47" s="17"/>
      <c r="GQ47" s="17"/>
      <c r="GR47" s="17"/>
      <c r="GS47" s="17"/>
      <c r="GT47" s="17"/>
      <c r="GU47" s="17"/>
      <c r="GV47" s="17"/>
      <c r="GW47" s="17"/>
      <c r="GX47" s="17"/>
      <c r="GY47" s="17"/>
      <c r="GZ47" s="17"/>
      <c r="HA47" s="17"/>
      <c r="HB47" s="17"/>
      <c r="HC47" s="17"/>
      <c r="HD47" s="17"/>
      <c r="HE47" s="17"/>
      <c r="HF47" s="17"/>
      <c r="HG47" s="17"/>
      <c r="HH47" s="17"/>
      <c r="HI47" s="17"/>
      <c r="HJ47" s="17"/>
      <c r="HK47" s="17"/>
      <c r="HL47" s="17"/>
      <c r="HM47" s="17"/>
      <c r="HN47" s="17"/>
      <c r="HO47" s="17"/>
      <c r="HP47" s="17"/>
      <c r="HQ47" s="17"/>
      <c r="HR47" s="17"/>
      <c r="HS47" s="17"/>
      <c r="HT47" s="17"/>
      <c r="HU47" s="17"/>
      <c r="HV47" s="17"/>
      <c r="HW47" s="17"/>
      <c r="HX47" s="17"/>
      <c r="HY47" s="17"/>
      <c r="HZ47" s="17"/>
      <c r="IA47" s="17"/>
      <c r="IB47" s="17"/>
      <c r="IC47" s="17"/>
      <c r="ID47" s="17"/>
      <c r="IE47" s="17"/>
      <c r="IF47" s="17"/>
      <c r="IG47" s="17"/>
    </row>
    <row r="48" spans="1:241" ht="16.5" customHeight="1" x14ac:dyDescent="0.25">
      <c r="A48" s="41">
        <v>43</v>
      </c>
      <c r="B48" s="95" t="s">
        <v>88</v>
      </c>
      <c r="C48" s="42" t="s">
        <v>87</v>
      </c>
      <c r="D48" s="45"/>
      <c r="E48" s="45"/>
      <c r="F48" s="45">
        <f>660617288.28+110636379.6+778555424.8</f>
        <v>1549809092.6799998</v>
      </c>
      <c r="G48" s="45"/>
      <c r="H48" s="45"/>
      <c r="I48" s="45">
        <v>0</v>
      </c>
      <c r="J48" s="45">
        <f>660617288.28+110636379.6+778555424.8</f>
        <v>1549809092.6799998</v>
      </c>
      <c r="K48" s="45">
        <v>10621167.189999999</v>
      </c>
      <c r="L48" s="45">
        <v>2705597.87</v>
      </c>
      <c r="M48" s="47">
        <v>7915569.3200000003</v>
      </c>
      <c r="N48" s="65">
        <v>1553282502.6500001</v>
      </c>
      <c r="O48" s="65">
        <v>10818089.02</v>
      </c>
      <c r="P48" s="73">
        <v>1604779356.3199999</v>
      </c>
      <c r="Q48" s="50">
        <f t="shared" si="9"/>
        <v>2.8752086657152856E-3</v>
      </c>
      <c r="R48" s="73">
        <v>1542464413.6300001</v>
      </c>
      <c r="S48" s="50">
        <f t="shared" si="10"/>
        <v>2.8278161270636373E-3</v>
      </c>
      <c r="T48" s="51">
        <f t="shared" si="16"/>
        <v>-3.8830847645558789E-2</v>
      </c>
      <c r="U48" s="52">
        <f t="shared" si="17"/>
        <v>1.7540747430488258E-3</v>
      </c>
      <c r="V48" s="53">
        <f t="shared" si="18"/>
        <v>5.1317678709823086E-3</v>
      </c>
      <c r="W48" s="54">
        <f t="shared" si="19"/>
        <v>1.009237127267363</v>
      </c>
      <c r="X48" s="54">
        <f t="shared" si="20"/>
        <v>5.1791706639131366E-3</v>
      </c>
      <c r="Y48" s="65">
        <v>1</v>
      </c>
      <c r="Z48" s="65">
        <v>1</v>
      </c>
      <c r="AA48" s="55">
        <v>44</v>
      </c>
      <c r="AB48" s="55">
        <v>1598577391</v>
      </c>
      <c r="AC48" s="55">
        <v>85405000</v>
      </c>
      <c r="AD48" s="55">
        <v>155635512</v>
      </c>
      <c r="AE48" s="45">
        <v>1528346879</v>
      </c>
      <c r="AF48" s="5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7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  <c r="GA48" s="17"/>
      <c r="GB48" s="17"/>
      <c r="GC48" s="17"/>
      <c r="GD48" s="17"/>
      <c r="GE48" s="17"/>
      <c r="GF48" s="17"/>
      <c r="GG48" s="17"/>
      <c r="GH48" s="17"/>
      <c r="GI48" s="17"/>
      <c r="GJ48" s="17"/>
      <c r="GK48" s="17"/>
      <c r="GL48" s="17"/>
      <c r="GM48" s="17"/>
      <c r="GN48" s="17"/>
      <c r="GO48" s="17"/>
      <c r="GP48" s="17"/>
      <c r="GQ48" s="17"/>
      <c r="GR48" s="17"/>
      <c r="GS48" s="17"/>
      <c r="GT48" s="17"/>
      <c r="GU48" s="17"/>
      <c r="GV48" s="17"/>
      <c r="GW48" s="17"/>
      <c r="GX48" s="17"/>
      <c r="GY48" s="17"/>
      <c r="GZ48" s="17"/>
      <c r="HA48" s="17"/>
      <c r="HB48" s="17"/>
      <c r="HC48" s="17"/>
      <c r="HD48" s="17"/>
      <c r="HE48" s="17"/>
      <c r="HF48" s="17"/>
      <c r="HG48" s="17"/>
      <c r="HH48" s="17"/>
      <c r="HI48" s="17"/>
      <c r="HJ48" s="17"/>
      <c r="HK48" s="17"/>
      <c r="HL48" s="17"/>
      <c r="HM48" s="17"/>
      <c r="HN48" s="17"/>
      <c r="HO48" s="17"/>
      <c r="HP48" s="17"/>
      <c r="HQ48" s="17"/>
      <c r="HR48" s="17"/>
      <c r="HS48" s="17"/>
      <c r="HT48" s="17"/>
      <c r="HU48" s="17"/>
      <c r="HV48" s="17"/>
      <c r="HW48" s="17"/>
      <c r="HX48" s="17"/>
      <c r="HY48" s="17"/>
      <c r="HZ48" s="17"/>
      <c r="IA48" s="17"/>
      <c r="IB48" s="17"/>
      <c r="IC48" s="17"/>
      <c r="ID48" s="17"/>
      <c r="IE48" s="17"/>
      <c r="IF48" s="17"/>
      <c r="IG48" s="17"/>
    </row>
    <row r="49" spans="1:241" ht="16.5" customHeight="1" x14ac:dyDescent="0.25">
      <c r="A49" s="41">
        <v>44</v>
      </c>
      <c r="B49" s="42" t="s">
        <v>81</v>
      </c>
      <c r="C49" s="42" t="s">
        <v>80</v>
      </c>
      <c r="D49" s="45"/>
      <c r="E49" s="45"/>
      <c r="F49" s="45">
        <f>433306560.18+157802172.47</f>
        <v>591108732.64999998</v>
      </c>
      <c r="G49" s="45"/>
      <c r="H49" s="45"/>
      <c r="I49" s="45">
        <v>0</v>
      </c>
      <c r="J49" s="45">
        <v>499147695.56999999</v>
      </c>
      <c r="K49" s="45">
        <v>5395685.5199999996</v>
      </c>
      <c r="L49" s="45">
        <v>1198455.67</v>
      </c>
      <c r="M49" s="47">
        <v>4197229.84</v>
      </c>
      <c r="N49" s="65">
        <v>602557816.01999998</v>
      </c>
      <c r="O49" s="65">
        <v>3308510.56</v>
      </c>
      <c r="P49" s="73">
        <v>601537167.97000003</v>
      </c>
      <c r="Q49" s="50">
        <f t="shared" si="9"/>
        <v>1.0777462155690247E-3</v>
      </c>
      <c r="R49" s="73">
        <v>599249305.46000004</v>
      </c>
      <c r="S49" s="50">
        <f t="shared" si="10"/>
        <v>1.0986100133898826E-3</v>
      </c>
      <c r="T49" s="51">
        <f t="shared" si="16"/>
        <v>-3.8033601775943645E-3</v>
      </c>
      <c r="U49" s="52">
        <f t="shared" si="17"/>
        <v>1.999928342144732E-3</v>
      </c>
      <c r="V49" s="53">
        <f t="shared" si="18"/>
        <v>7.0041463573797423E-3</v>
      </c>
      <c r="W49" s="54">
        <f t="shared" si="19"/>
        <v>1.0120930162623669</v>
      </c>
      <c r="X49" s="54">
        <f t="shared" si="20"/>
        <v>7.088847613183534E-3</v>
      </c>
      <c r="Y49" s="65">
        <v>1</v>
      </c>
      <c r="Z49" s="65">
        <v>1</v>
      </c>
      <c r="AA49" s="55">
        <v>148</v>
      </c>
      <c r="AB49" s="55">
        <v>598322204.11000001</v>
      </c>
      <c r="AC49" s="55">
        <v>1010000</v>
      </c>
      <c r="AD49" s="55">
        <v>7243042.5199999996</v>
      </c>
      <c r="AE49" s="45">
        <v>592089161.60000002</v>
      </c>
      <c r="AF49" s="5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7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  <c r="GA49" s="17"/>
      <c r="GB49" s="17"/>
      <c r="GC49" s="17"/>
      <c r="GD49" s="17"/>
      <c r="GE49" s="17"/>
      <c r="GF49" s="17"/>
      <c r="GG49" s="17"/>
      <c r="GH49" s="17"/>
      <c r="GI49" s="17"/>
      <c r="GJ49" s="17"/>
      <c r="GK49" s="17"/>
      <c r="GL49" s="17"/>
      <c r="GM49" s="17"/>
      <c r="GN49" s="17"/>
      <c r="GO49" s="17"/>
      <c r="GP49" s="17"/>
      <c r="GQ49" s="17"/>
      <c r="GR49" s="17"/>
      <c r="GS49" s="17"/>
      <c r="GT49" s="17"/>
      <c r="GU49" s="17"/>
      <c r="GV49" s="17"/>
      <c r="GW49" s="17"/>
      <c r="GX49" s="17"/>
      <c r="GY49" s="17"/>
      <c r="GZ49" s="17"/>
      <c r="HA49" s="17"/>
      <c r="HB49" s="17"/>
      <c r="HC49" s="17"/>
      <c r="HD49" s="17"/>
      <c r="HE49" s="17"/>
      <c r="HF49" s="17"/>
      <c r="HG49" s="17"/>
      <c r="HH49" s="17"/>
      <c r="HI49" s="17"/>
      <c r="HJ49" s="17"/>
      <c r="HK49" s="17"/>
      <c r="HL49" s="17"/>
      <c r="HM49" s="17"/>
      <c r="HN49" s="17"/>
      <c r="HO49" s="17"/>
      <c r="HP49" s="17"/>
      <c r="HQ49" s="17"/>
      <c r="HR49" s="17"/>
      <c r="HS49" s="17"/>
      <c r="HT49" s="17"/>
      <c r="HU49" s="17"/>
      <c r="HV49" s="17"/>
      <c r="HW49" s="17"/>
      <c r="HX49" s="17"/>
      <c r="HY49" s="17"/>
      <c r="HZ49" s="17"/>
      <c r="IA49" s="17"/>
      <c r="IB49" s="17"/>
      <c r="IC49" s="17"/>
      <c r="ID49" s="17"/>
      <c r="IE49" s="17"/>
      <c r="IF49" s="17"/>
      <c r="IG49" s="17"/>
    </row>
    <row r="50" spans="1:241" ht="16.5" customHeight="1" x14ac:dyDescent="0.25">
      <c r="A50" s="41">
        <v>45</v>
      </c>
      <c r="B50" s="42" t="s">
        <v>75</v>
      </c>
      <c r="C50" s="42" t="s">
        <v>74</v>
      </c>
      <c r="D50" s="45"/>
      <c r="E50" s="45"/>
      <c r="F50" s="45">
        <v>15293942388.860001</v>
      </c>
      <c r="G50" s="45"/>
      <c r="H50" s="45"/>
      <c r="I50" s="45"/>
      <c r="J50" s="45">
        <v>15293942388.860001</v>
      </c>
      <c r="K50" s="63">
        <v>105618291.02</v>
      </c>
      <c r="L50" s="63">
        <v>18822953.93</v>
      </c>
      <c r="M50" s="47">
        <v>86795337.090000004</v>
      </c>
      <c r="N50" s="63">
        <v>15318162668.99</v>
      </c>
      <c r="O50" s="63">
        <v>18644283.109999999</v>
      </c>
      <c r="P50" s="73">
        <v>15623801782.16</v>
      </c>
      <c r="Q50" s="50">
        <f t="shared" si="9"/>
        <v>2.7992440268235091E-2</v>
      </c>
      <c r="R50" s="73">
        <v>15280695431.950001</v>
      </c>
      <c r="S50" s="50">
        <f t="shared" si="10"/>
        <v>2.8014258606799302E-2</v>
      </c>
      <c r="T50" s="51">
        <f t="shared" si="16"/>
        <v>-2.1960490474333478E-2</v>
      </c>
      <c r="U50" s="52">
        <f t="shared" si="17"/>
        <v>1.2318126497465282E-3</v>
      </c>
      <c r="V50" s="53">
        <f t="shared" si="18"/>
        <v>5.6800645936913273E-3</v>
      </c>
      <c r="W50" s="54">
        <f t="shared" si="19"/>
        <v>1.0126136322615054</v>
      </c>
      <c r="X50" s="54">
        <f t="shared" si="20"/>
        <v>5.7517108396977464E-3</v>
      </c>
      <c r="Y50" s="65">
        <v>1</v>
      </c>
      <c r="Z50" s="65">
        <v>1</v>
      </c>
      <c r="AA50" s="55">
        <v>2558</v>
      </c>
      <c r="AB50" s="63">
        <v>15519134038.17</v>
      </c>
      <c r="AC50" s="63">
        <v>1203836287.77</v>
      </c>
      <c r="AD50" s="63">
        <v>1203836287.77</v>
      </c>
      <c r="AE50" s="45">
        <v>15090351290.08</v>
      </c>
      <c r="AF50" s="5"/>
    </row>
    <row r="51" spans="1:241" ht="16.5" customHeight="1" x14ac:dyDescent="0.25">
      <c r="A51" s="99" t="s">
        <v>91</v>
      </c>
      <c r="C51" s="150" t="s">
        <v>52</v>
      </c>
      <c r="D51" s="81"/>
      <c r="E51" s="81"/>
      <c r="F51" s="81">
        <f>SUM(F22:F50)</f>
        <v>512302436808.27997</v>
      </c>
      <c r="G51" s="81"/>
      <c r="H51" s="81"/>
      <c r="I51" s="81">
        <f t="shared" ref="I51:O51" si="21">SUM(I22:I50)</f>
        <v>400342420.11000001</v>
      </c>
      <c r="J51" s="81">
        <f t="shared" si="21"/>
        <v>523383608893.18994</v>
      </c>
      <c r="K51" s="81">
        <f t="shared" si="21"/>
        <v>4655446218.4200001</v>
      </c>
      <c r="L51" s="81">
        <f t="shared" si="21"/>
        <v>879494777.51999974</v>
      </c>
      <c r="M51" s="81">
        <f t="shared" si="21"/>
        <v>3791151019.9700003</v>
      </c>
      <c r="N51" s="81">
        <f t="shared" si="21"/>
        <v>551640680748.46008</v>
      </c>
      <c r="O51" s="81">
        <f t="shared" si="21"/>
        <v>6160970556.2200012</v>
      </c>
      <c r="P51" s="100">
        <f>SUM(P22:P50)</f>
        <v>558143614220.3501</v>
      </c>
      <c r="Q51" s="83">
        <f>(P51/$P$152)</f>
        <v>0.41050323345267359</v>
      </c>
      <c r="R51" s="100">
        <f>SUM(R22:R50)</f>
        <v>545461354034.95007</v>
      </c>
      <c r="S51" s="83">
        <f>(R51/$R$152)</f>
        <v>0.40212386038128178</v>
      </c>
      <c r="T51" s="84">
        <f t="shared" ref="T51" si="22">((R51-P51)/P51)</f>
        <v>-2.272221675977678E-2</v>
      </c>
      <c r="U51" s="85"/>
      <c r="V51" s="86"/>
      <c r="W51" s="87"/>
      <c r="X51" s="87"/>
      <c r="Y51" s="81"/>
      <c r="Z51" s="81"/>
      <c r="AA51" s="88">
        <f>SUM(AA22:AA50)</f>
        <v>207851</v>
      </c>
      <c r="AB51" s="88"/>
      <c r="AC51" s="88"/>
      <c r="AD51" s="88"/>
      <c r="AE51" s="81"/>
      <c r="AF51" s="5"/>
    </row>
    <row r="52" spans="1:241" ht="16.5" customHeight="1" x14ac:dyDescent="0.25">
      <c r="A52" s="152" t="s">
        <v>181</v>
      </c>
      <c r="B52" s="153"/>
      <c r="C52" s="153"/>
      <c r="D52" s="153"/>
      <c r="E52" s="153"/>
      <c r="F52" s="153"/>
      <c r="G52" s="153"/>
      <c r="H52" s="153"/>
      <c r="I52" s="153"/>
      <c r="J52" s="153"/>
      <c r="K52" s="153"/>
      <c r="L52" s="153"/>
      <c r="M52" s="153"/>
      <c r="N52" s="153"/>
      <c r="O52" s="153"/>
      <c r="P52" s="153"/>
      <c r="Q52" s="153"/>
      <c r="R52" s="153"/>
      <c r="S52" s="153"/>
      <c r="T52" s="153"/>
      <c r="U52" s="153"/>
      <c r="V52" s="153"/>
      <c r="W52" s="153"/>
      <c r="X52" s="153"/>
      <c r="Y52" s="153"/>
      <c r="Z52" s="153"/>
      <c r="AA52" s="153"/>
      <c r="AB52" s="153"/>
      <c r="AC52" s="153"/>
      <c r="AD52" s="153"/>
      <c r="AE52" s="154"/>
      <c r="AF52" s="5"/>
    </row>
    <row r="53" spans="1:241" ht="16.5" customHeight="1" x14ac:dyDescent="0.25">
      <c r="A53" s="41">
        <v>46</v>
      </c>
      <c r="B53" s="42" t="s">
        <v>117</v>
      </c>
      <c r="C53" s="42" t="s">
        <v>50</v>
      </c>
      <c r="D53" s="65"/>
      <c r="E53" s="65"/>
      <c r="F53" s="65">
        <v>68286648.25</v>
      </c>
      <c r="G53" s="65">
        <v>353624303.42000002</v>
      </c>
      <c r="H53" s="65"/>
      <c r="I53" s="65"/>
      <c r="J53" s="65">
        <v>421910951.67000002</v>
      </c>
      <c r="K53" s="65">
        <v>4182555.39</v>
      </c>
      <c r="L53" s="65">
        <v>637049.18000000005</v>
      </c>
      <c r="M53" s="47">
        <v>3545506.21</v>
      </c>
      <c r="N53" s="65">
        <v>430650322.57999998</v>
      </c>
      <c r="O53" s="65">
        <v>637049.18000000005</v>
      </c>
      <c r="P53" s="73">
        <v>437628311.92000002</v>
      </c>
      <c r="Q53" s="50">
        <f t="shared" ref="Q53:Q81" si="23">(P53/$P$82)</f>
        <v>1.0889717039255585E-3</v>
      </c>
      <c r="R53" s="73">
        <v>430013273.39999998</v>
      </c>
      <c r="S53" s="50">
        <f t="shared" ref="S53:S81" si="24">(R53/$R$82)</f>
        <v>1.0938156198534977E-3</v>
      </c>
      <c r="T53" s="51">
        <f t="shared" ref="T53:T81" si="25">((R53-P53)/P53)</f>
        <v>-1.7400698978068164E-2</v>
      </c>
      <c r="U53" s="52">
        <f t="shared" ref="U53:U68" si="26">(L53/R53)</f>
        <v>1.4814639905485301E-3</v>
      </c>
      <c r="V53" s="53">
        <f t="shared" ref="V53:V81" si="27">M53/R53</f>
        <v>8.2451087659844314E-3</v>
      </c>
      <c r="W53" s="54">
        <f>R53/AE53</f>
        <v>1.2007678951896048</v>
      </c>
      <c r="X53" s="54">
        <f>M53/AE53</f>
        <v>9.9004618985404861E-3</v>
      </c>
      <c r="Y53" s="101">
        <v>1.18</v>
      </c>
      <c r="Z53" s="101">
        <v>1.18</v>
      </c>
      <c r="AA53" s="55">
        <v>334</v>
      </c>
      <c r="AB53" s="55">
        <v>367594645.38999999</v>
      </c>
      <c r="AC53" s="55">
        <v>401188.47</v>
      </c>
      <c r="AD53" s="55">
        <v>9880601.8300000001</v>
      </c>
      <c r="AE53" s="45">
        <v>358115232.02999997</v>
      </c>
      <c r="AF53" s="5"/>
    </row>
    <row r="54" spans="1:241" ht="16.5" customHeight="1" x14ac:dyDescent="0.25">
      <c r="A54" s="41">
        <v>47</v>
      </c>
      <c r="B54" s="42" t="s">
        <v>119</v>
      </c>
      <c r="C54" s="56" t="s">
        <v>35</v>
      </c>
      <c r="D54" s="65"/>
      <c r="E54" s="65"/>
      <c r="F54" s="65">
        <f>58862263.67+168097985.74</f>
        <v>226960249.41000003</v>
      </c>
      <c r="G54" s="65">
        <f>927217263.66+11098732.24</f>
        <v>938315995.89999998</v>
      </c>
      <c r="H54" s="65"/>
      <c r="I54" s="65"/>
      <c r="J54" s="65">
        <f>F54+G54</f>
        <v>1165276245.3099999</v>
      </c>
      <c r="K54" s="65">
        <v>8275938.9199999999</v>
      </c>
      <c r="L54" s="65">
        <v>3321553.9</v>
      </c>
      <c r="M54" s="47">
        <v>4954385.0199999996</v>
      </c>
      <c r="N54" s="65">
        <v>1200443665</v>
      </c>
      <c r="O54" s="65">
        <v>33641453</v>
      </c>
      <c r="P54" s="73">
        <v>1187669680</v>
      </c>
      <c r="Q54" s="50">
        <f t="shared" si="23"/>
        <v>2.9553359321202914E-3</v>
      </c>
      <c r="R54" s="73">
        <v>1166802212</v>
      </c>
      <c r="S54" s="50">
        <f t="shared" si="24"/>
        <v>2.9679699760756552E-3</v>
      </c>
      <c r="T54" s="51">
        <f t="shared" si="25"/>
        <v>-1.757009406857974E-2</v>
      </c>
      <c r="U54" s="52">
        <f t="shared" si="26"/>
        <v>2.8467154637173415E-3</v>
      </c>
      <c r="V54" s="53">
        <f t="shared" si="27"/>
        <v>4.2461224096479516E-3</v>
      </c>
      <c r="W54" s="54">
        <f>R54/AE54</f>
        <v>1.0577750304850178</v>
      </c>
      <c r="X54" s="54">
        <f>M54/AE54</f>
        <v>4.4914422613084783E-3</v>
      </c>
      <c r="Y54" s="101">
        <v>1.0578000000000001</v>
      </c>
      <c r="Z54" s="101">
        <v>1.0578000000000001</v>
      </c>
      <c r="AA54" s="55">
        <v>246</v>
      </c>
      <c r="AB54" s="55">
        <v>1227634607</v>
      </c>
      <c r="AC54" s="55">
        <v>2526251</v>
      </c>
      <c r="AD54" s="55">
        <v>27088676</v>
      </c>
      <c r="AE54" s="45">
        <v>1103072183</v>
      </c>
      <c r="AF54" s="5"/>
    </row>
    <row r="55" spans="1:241" ht="16.5" customHeight="1" x14ac:dyDescent="0.25">
      <c r="A55" s="41">
        <v>48</v>
      </c>
      <c r="B55" s="42" t="s">
        <v>206</v>
      </c>
      <c r="C55" s="42" t="s">
        <v>205</v>
      </c>
      <c r="D55" s="65"/>
      <c r="E55" s="65"/>
      <c r="F55" s="65">
        <f>122756336.77+118191468.68</f>
        <v>240947805.44999999</v>
      </c>
      <c r="G55" s="65">
        <v>684035653.41999996</v>
      </c>
      <c r="H55" s="65"/>
      <c r="I55" s="105"/>
      <c r="J55" s="65">
        <f>F55+G55</f>
        <v>924983458.86999989</v>
      </c>
      <c r="K55" s="65">
        <v>6482819.4299999997</v>
      </c>
      <c r="L55" s="65">
        <v>1763639.4</v>
      </c>
      <c r="M55" s="107">
        <v>4719180.03</v>
      </c>
      <c r="N55" s="65">
        <v>933133366</v>
      </c>
      <c r="O55" s="65">
        <v>3819412</v>
      </c>
      <c r="P55" s="73">
        <v>929820675</v>
      </c>
      <c r="Q55" s="50">
        <f t="shared" si="23"/>
        <v>2.3137177765250715E-3</v>
      </c>
      <c r="R55" s="73">
        <v>929313954</v>
      </c>
      <c r="S55" s="50">
        <f t="shared" si="24"/>
        <v>2.3638761440916371E-3</v>
      </c>
      <c r="T55" s="51">
        <f t="shared" si="25"/>
        <v>-5.4496637214482247E-4</v>
      </c>
      <c r="U55" s="52">
        <f t="shared" si="26"/>
        <v>1.8977864180440359E-3</v>
      </c>
      <c r="V55" s="53">
        <f t="shared" si="27"/>
        <v>5.0781331859781802E-3</v>
      </c>
      <c r="W55" s="54">
        <f>R55/AE55</f>
        <v>1.0140386197569238</v>
      </c>
      <c r="X55" s="54">
        <f>M55/AE55</f>
        <v>5.1494231668511442E-3</v>
      </c>
      <c r="Y55" s="101" t="s">
        <v>217</v>
      </c>
      <c r="Z55" s="101">
        <v>1.014</v>
      </c>
      <c r="AA55" s="108">
        <v>31</v>
      </c>
      <c r="AB55" s="55">
        <v>921594945</v>
      </c>
      <c r="AC55" s="55">
        <v>4114786</v>
      </c>
      <c r="AD55" s="55">
        <v>9261446</v>
      </c>
      <c r="AE55" s="45">
        <v>916448285</v>
      </c>
      <c r="AF55" s="5"/>
    </row>
    <row r="56" spans="1:241" ht="16.5" customHeight="1" x14ac:dyDescent="0.25">
      <c r="A56" s="41">
        <v>49</v>
      </c>
      <c r="B56" s="42" t="s">
        <v>149</v>
      </c>
      <c r="C56" s="56" t="s">
        <v>120</v>
      </c>
      <c r="D56" s="65"/>
      <c r="E56" s="65"/>
      <c r="F56" s="65"/>
      <c r="G56" s="65">
        <v>240155336.56999999</v>
      </c>
      <c r="H56" s="65"/>
      <c r="I56" s="65"/>
      <c r="J56" s="65">
        <v>240155336.56999999</v>
      </c>
      <c r="K56" s="65">
        <v>2311049.62</v>
      </c>
      <c r="L56" s="65">
        <v>407595.84</v>
      </c>
      <c r="M56" s="47">
        <v>1903453.78</v>
      </c>
      <c r="N56" s="65">
        <v>256905301.22999999</v>
      </c>
      <c r="O56" s="45">
        <v>9530958.7400000002</v>
      </c>
      <c r="P56" s="73">
        <v>255065802.56</v>
      </c>
      <c r="Q56" s="50">
        <f t="shared" si="23"/>
        <v>6.346925782938803E-4</v>
      </c>
      <c r="R56" s="73">
        <v>247374342.49000001</v>
      </c>
      <c r="S56" s="50">
        <f t="shared" si="24"/>
        <v>6.2924085488601754E-4</v>
      </c>
      <c r="T56" s="51">
        <f t="shared" si="25"/>
        <v>-3.0154807084304076E-2</v>
      </c>
      <c r="U56" s="52">
        <f t="shared" si="26"/>
        <v>1.6476884219165813E-3</v>
      </c>
      <c r="V56" s="53">
        <f t="shared" si="27"/>
        <v>7.6946289612753443E-3</v>
      </c>
      <c r="W56" s="54">
        <f>R56/AE56</f>
        <v>1093.4639194182912</v>
      </c>
      <c r="X56" s="54">
        <f>M56/AE56</f>
        <v>8.4137991424656331</v>
      </c>
      <c r="Y56" s="44">
        <v>1093.46</v>
      </c>
      <c r="Z56" s="44">
        <v>1093.46</v>
      </c>
      <c r="AA56" s="55">
        <v>108</v>
      </c>
      <c r="AB56" s="55">
        <v>233690</v>
      </c>
      <c r="AC56" s="55">
        <v>320</v>
      </c>
      <c r="AD56" s="55">
        <v>7780</v>
      </c>
      <c r="AE56" s="45">
        <v>226230</v>
      </c>
      <c r="AF56" s="5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  <c r="BW56" s="17"/>
      <c r="BX56" s="17"/>
      <c r="BY56" s="17"/>
      <c r="BZ56" s="17"/>
      <c r="CA56" s="17"/>
      <c r="CB56" s="17"/>
      <c r="CC56" s="17"/>
      <c r="CD56" s="17"/>
      <c r="CE56" s="17"/>
      <c r="CF56" s="17"/>
      <c r="CG56" s="17"/>
      <c r="CH56" s="17"/>
      <c r="CI56" s="17"/>
      <c r="CJ56" s="17"/>
      <c r="CK56" s="17"/>
      <c r="CL56" s="17"/>
      <c r="CM56" s="17"/>
      <c r="CN56" s="17"/>
      <c r="CO56" s="17"/>
      <c r="CP56" s="17"/>
      <c r="CQ56" s="17"/>
      <c r="CR56" s="17"/>
      <c r="CS56" s="17"/>
      <c r="CT56" s="17"/>
      <c r="CU56" s="17"/>
      <c r="CV56" s="17"/>
      <c r="CW56" s="17"/>
      <c r="CX56" s="17"/>
      <c r="CY56" s="17"/>
      <c r="CZ56" s="17"/>
      <c r="DA56" s="17"/>
      <c r="DB56" s="17"/>
      <c r="DC56" s="17"/>
      <c r="DD56" s="17"/>
      <c r="DE56" s="17"/>
      <c r="DF56" s="17"/>
      <c r="DG56" s="17"/>
      <c r="DH56" s="17"/>
      <c r="DI56" s="17"/>
      <c r="DJ56" s="17"/>
      <c r="DK56" s="17"/>
      <c r="DL56" s="17"/>
      <c r="DM56" s="17"/>
      <c r="DN56" s="17"/>
      <c r="DO56" s="17"/>
      <c r="DP56" s="17"/>
      <c r="DQ56" s="17"/>
      <c r="DR56" s="17"/>
      <c r="DS56" s="17"/>
      <c r="DT56" s="17"/>
      <c r="DU56" s="17"/>
      <c r="DV56" s="17"/>
      <c r="DW56" s="17"/>
      <c r="DX56" s="17"/>
      <c r="DY56" s="17"/>
      <c r="DZ56" s="17"/>
      <c r="EA56" s="17"/>
      <c r="EB56" s="17"/>
      <c r="EC56" s="17"/>
      <c r="ED56" s="17"/>
      <c r="EE56" s="17"/>
      <c r="EF56" s="17"/>
      <c r="EG56" s="17"/>
      <c r="EH56" s="17"/>
      <c r="EI56" s="17"/>
      <c r="EJ56" s="17"/>
      <c r="EK56" s="17"/>
      <c r="EL56" s="17"/>
      <c r="EM56" s="17"/>
      <c r="EN56" s="17"/>
      <c r="EO56" s="17"/>
      <c r="EP56" s="17"/>
      <c r="EQ56" s="17"/>
      <c r="ER56" s="17"/>
      <c r="ES56" s="17"/>
      <c r="ET56" s="17"/>
      <c r="EU56" s="17"/>
      <c r="EV56" s="17"/>
      <c r="EW56" s="17"/>
      <c r="EX56" s="17"/>
      <c r="EY56" s="17"/>
      <c r="EZ56" s="17"/>
      <c r="FA56" s="17"/>
      <c r="FB56" s="17"/>
      <c r="FC56" s="17"/>
      <c r="FD56" s="17"/>
      <c r="FE56" s="17"/>
      <c r="FF56" s="17"/>
      <c r="FG56" s="17"/>
      <c r="FH56" s="17"/>
      <c r="FI56" s="17"/>
      <c r="FJ56" s="17"/>
      <c r="FK56" s="17"/>
      <c r="FL56" s="17"/>
      <c r="FM56" s="17"/>
      <c r="FN56" s="17"/>
      <c r="FO56" s="17"/>
      <c r="FP56" s="17"/>
      <c r="FQ56" s="17"/>
      <c r="FR56" s="17"/>
      <c r="FS56" s="17"/>
      <c r="FT56" s="17"/>
      <c r="FU56" s="17"/>
      <c r="FV56" s="17"/>
      <c r="FW56" s="17"/>
      <c r="FX56" s="17"/>
      <c r="FY56" s="17"/>
      <c r="FZ56" s="17"/>
      <c r="GA56" s="17"/>
      <c r="GB56" s="17"/>
      <c r="GC56" s="17"/>
      <c r="GD56" s="17"/>
      <c r="GE56" s="17"/>
      <c r="GF56" s="17"/>
      <c r="GG56" s="17"/>
      <c r="GH56" s="17"/>
      <c r="GI56" s="17"/>
      <c r="GJ56" s="17"/>
      <c r="GK56" s="17"/>
      <c r="GL56" s="17"/>
      <c r="GM56" s="17"/>
      <c r="GN56" s="17"/>
      <c r="GO56" s="17"/>
      <c r="GP56" s="17"/>
      <c r="GQ56" s="17"/>
      <c r="GR56" s="17"/>
      <c r="GS56" s="17"/>
      <c r="GT56" s="17"/>
      <c r="GU56" s="17"/>
      <c r="GV56" s="17"/>
      <c r="GW56" s="17"/>
      <c r="GX56" s="17"/>
      <c r="GY56" s="17"/>
      <c r="GZ56" s="17"/>
      <c r="HA56" s="17"/>
      <c r="HB56" s="17"/>
      <c r="HC56" s="17"/>
      <c r="HD56" s="17"/>
      <c r="HE56" s="17"/>
      <c r="HF56" s="17"/>
      <c r="HG56" s="17"/>
      <c r="HH56" s="17"/>
      <c r="HI56" s="17"/>
      <c r="HJ56" s="17"/>
      <c r="HK56" s="17"/>
      <c r="HL56" s="17"/>
      <c r="HM56" s="17"/>
      <c r="HN56" s="17"/>
      <c r="HO56" s="17"/>
      <c r="HP56" s="17"/>
      <c r="HQ56" s="17"/>
      <c r="HR56" s="17"/>
      <c r="HS56" s="17"/>
      <c r="HT56" s="17"/>
      <c r="HU56" s="17"/>
      <c r="HV56" s="17"/>
      <c r="HW56" s="17"/>
      <c r="HX56" s="17"/>
      <c r="HY56" s="17"/>
      <c r="HZ56" s="17"/>
      <c r="IA56" s="17"/>
      <c r="IB56" s="17"/>
      <c r="IC56" s="17"/>
      <c r="ID56" s="17"/>
      <c r="IE56" s="17"/>
      <c r="IF56" s="17"/>
      <c r="IG56" s="17"/>
    </row>
    <row r="57" spans="1:241" ht="16.5" customHeight="1" x14ac:dyDescent="0.25">
      <c r="A57" s="41">
        <v>50</v>
      </c>
      <c r="B57" s="42" t="s">
        <v>146</v>
      </c>
      <c r="C57" s="56" t="s">
        <v>145</v>
      </c>
      <c r="D57" s="65"/>
      <c r="E57" s="65"/>
      <c r="F57" s="65">
        <v>138689627.84</v>
      </c>
      <c r="G57" s="65">
        <v>1024691588.74</v>
      </c>
      <c r="H57" s="65"/>
      <c r="I57" s="65"/>
      <c r="J57" s="65">
        <v>1163381216.5799999</v>
      </c>
      <c r="K57" s="65">
        <v>12264848.689999999</v>
      </c>
      <c r="L57" s="65">
        <v>1979536.79</v>
      </c>
      <c r="M57" s="47">
        <v>10285311.9</v>
      </c>
      <c r="N57" s="65">
        <v>1396143274.7</v>
      </c>
      <c r="O57" s="65">
        <v>4936262.6399999997</v>
      </c>
      <c r="P57" s="73">
        <v>1399231744.04</v>
      </c>
      <c r="Q57" s="50">
        <f t="shared" si="23"/>
        <v>3.481776052853984E-3</v>
      </c>
      <c r="R57" s="73">
        <v>1391207012.0599999</v>
      </c>
      <c r="S57" s="50">
        <f t="shared" si="24"/>
        <v>3.5387836943010544E-3</v>
      </c>
      <c r="T57" s="51">
        <f t="shared" si="25"/>
        <v>-5.7350985740433685E-3</v>
      </c>
      <c r="U57" s="52">
        <f t="shared" si="26"/>
        <v>1.4228916134262745E-3</v>
      </c>
      <c r="V57" s="53">
        <f t="shared" si="27"/>
        <v>7.3930851489673313E-3</v>
      </c>
      <c r="W57" s="54">
        <f>R57/AE61</f>
        <v>353.74223479954748</v>
      </c>
      <c r="X57" s="54">
        <f>M57/AE61</f>
        <v>2.6152464626590493</v>
      </c>
      <c r="Y57" s="101">
        <v>1.0126999999999999</v>
      </c>
      <c r="Z57" s="101">
        <v>1.0126999999999999</v>
      </c>
      <c r="AA57" s="55">
        <v>646</v>
      </c>
      <c r="AB57" s="55">
        <v>1329475150.5799999</v>
      </c>
      <c r="AC57" s="55">
        <v>101167474.77</v>
      </c>
      <c r="AD57" s="55">
        <v>57181456.130000003</v>
      </c>
      <c r="AE57" s="45">
        <v>1373461169.22</v>
      </c>
      <c r="AF57" s="5"/>
    </row>
    <row r="58" spans="1:241" ht="16.5" customHeight="1" x14ac:dyDescent="0.25">
      <c r="A58" s="41">
        <v>51</v>
      </c>
      <c r="B58" s="42" t="s">
        <v>215</v>
      </c>
      <c r="C58" s="42" t="s">
        <v>101</v>
      </c>
      <c r="D58" s="65"/>
      <c r="E58" s="65"/>
      <c r="F58" s="65">
        <v>73342570.650000006</v>
      </c>
      <c r="G58" s="65">
        <v>390902855.24000001</v>
      </c>
      <c r="H58" s="65"/>
      <c r="I58" s="65"/>
      <c r="J58" s="65">
        <v>464245425.88</v>
      </c>
      <c r="K58" s="65">
        <v>3096282.43</v>
      </c>
      <c r="L58" s="65">
        <v>936265.3</v>
      </c>
      <c r="M58" s="47">
        <v>2160017.13</v>
      </c>
      <c r="N58" s="65">
        <v>467489153.99000001</v>
      </c>
      <c r="O58" s="65">
        <v>5443526.3399999999</v>
      </c>
      <c r="P58" s="73">
        <v>459885610.51999998</v>
      </c>
      <c r="Q58" s="50">
        <f t="shared" si="23"/>
        <v>1.1443556169884149E-3</v>
      </c>
      <c r="R58" s="73">
        <v>462045627.64999998</v>
      </c>
      <c r="S58" s="50">
        <f t="shared" si="24"/>
        <v>1.175295638231299E-3</v>
      </c>
      <c r="T58" s="51">
        <f t="shared" si="25"/>
        <v>4.6968573936410612E-3</v>
      </c>
      <c r="U58" s="52">
        <f t="shared" si="26"/>
        <v>2.0263481439309755E-3</v>
      </c>
      <c r="V58" s="53">
        <f t="shared" si="27"/>
        <v>4.6749000547543652E-3</v>
      </c>
      <c r="W58" s="54">
        <f>R58/AE63</f>
        <v>1302.8398191148895</v>
      </c>
      <c r="X58" s="54">
        <f>M58/AE63</f>
        <v>6.0906459417163639</v>
      </c>
      <c r="Y58" s="101">
        <v>2.0897999999999999</v>
      </c>
      <c r="Z58" s="101">
        <v>2.0897999999999999</v>
      </c>
      <c r="AA58" s="55">
        <v>1411</v>
      </c>
      <c r="AB58" s="45">
        <v>216296402.78999999</v>
      </c>
      <c r="AC58" s="55">
        <v>0</v>
      </c>
      <c r="AD58" s="55">
        <v>0</v>
      </c>
      <c r="AE58" s="45">
        <v>216296402.78999999</v>
      </c>
      <c r="AF58" s="5"/>
    </row>
    <row r="59" spans="1:241" ht="16.5" customHeight="1" x14ac:dyDescent="0.25">
      <c r="A59" s="41">
        <v>52</v>
      </c>
      <c r="B59" s="42" t="s">
        <v>189</v>
      </c>
      <c r="C59" s="42" t="s">
        <v>29</v>
      </c>
      <c r="D59" s="65"/>
      <c r="E59" s="65"/>
      <c r="F59" s="65">
        <v>737453944.13999999</v>
      </c>
      <c r="G59" s="65">
        <v>2452015180.6300001</v>
      </c>
      <c r="H59" s="65"/>
      <c r="I59" s="105"/>
      <c r="J59" s="65">
        <v>3194818465.1599998</v>
      </c>
      <c r="K59" s="65">
        <v>28389356.449999999</v>
      </c>
      <c r="L59" s="65">
        <v>5212526.4400000004</v>
      </c>
      <c r="M59" s="47">
        <v>23176830.010000002</v>
      </c>
      <c r="N59" s="65">
        <v>3194818465.1599998</v>
      </c>
      <c r="O59" s="65">
        <v>10785276.16</v>
      </c>
      <c r="P59" s="73">
        <v>2873181292.6700001</v>
      </c>
      <c r="Q59" s="50">
        <f t="shared" si="23"/>
        <v>7.1494760342147301E-3</v>
      </c>
      <c r="R59" s="73">
        <v>3184033189.0100002</v>
      </c>
      <c r="S59" s="50">
        <f t="shared" si="24"/>
        <v>8.0991575184039006E-3</v>
      </c>
      <c r="T59" s="51">
        <f t="shared" si="25"/>
        <v>0.10819083958712908</v>
      </c>
      <c r="U59" s="52">
        <f t="shared" si="26"/>
        <v>1.6370829481274069E-3</v>
      </c>
      <c r="V59" s="53">
        <f t="shared" si="27"/>
        <v>7.279079279071927E-3</v>
      </c>
      <c r="W59" s="54">
        <f>R59/AE59</f>
        <v>106.4151841725507</v>
      </c>
      <c r="X59" s="54">
        <f>M59/AE59</f>
        <v>0.77460456208903672</v>
      </c>
      <c r="Y59" s="101">
        <v>106.41</v>
      </c>
      <c r="Z59" s="101">
        <v>106.41</v>
      </c>
      <c r="AA59" s="55">
        <v>95</v>
      </c>
      <c r="AB59" s="55">
        <v>27209286</v>
      </c>
      <c r="AC59" s="55">
        <v>2943241</v>
      </c>
      <c r="AD59" s="106">
        <v>231673</v>
      </c>
      <c r="AE59" s="45">
        <v>29920854</v>
      </c>
      <c r="AF59" s="5"/>
    </row>
    <row r="60" spans="1:241" ht="16.5" customHeight="1" x14ac:dyDescent="0.25">
      <c r="A60" s="41">
        <v>53</v>
      </c>
      <c r="B60" s="56" t="s">
        <v>98</v>
      </c>
      <c r="C60" s="42" t="s">
        <v>82</v>
      </c>
      <c r="D60" s="65"/>
      <c r="E60" s="65"/>
      <c r="F60" s="65">
        <v>751172305.24000001</v>
      </c>
      <c r="G60" s="65">
        <v>2045374036.8299999</v>
      </c>
      <c r="H60" s="65"/>
      <c r="I60" s="65"/>
      <c r="J60" s="65">
        <v>2796546342.0700002</v>
      </c>
      <c r="K60" s="65">
        <v>23061512.52</v>
      </c>
      <c r="L60" s="65">
        <v>4175448.14</v>
      </c>
      <c r="M60" s="47">
        <v>18888064.379999999</v>
      </c>
      <c r="N60" s="65">
        <v>2827355950.7600002</v>
      </c>
      <c r="O60" s="65">
        <v>32836679.75</v>
      </c>
      <c r="P60" s="73">
        <v>2800682029.9699998</v>
      </c>
      <c r="Q60" s="50">
        <f t="shared" si="23"/>
        <v>6.9690726108406998E-3</v>
      </c>
      <c r="R60" s="73">
        <v>2794519271.0100002</v>
      </c>
      <c r="S60" s="50">
        <f t="shared" si="24"/>
        <v>7.1083592477132777E-3</v>
      </c>
      <c r="T60" s="51">
        <f t="shared" si="25"/>
        <v>-2.2004493527119804E-3</v>
      </c>
      <c r="U60" s="52">
        <f t="shared" si="26"/>
        <v>1.4941561446061892E-3</v>
      </c>
      <c r="V60" s="53">
        <f t="shared" si="27"/>
        <v>6.7589673028711807E-3</v>
      </c>
      <c r="W60" s="54">
        <f>R60/AE60</f>
        <v>3611.1236871178094</v>
      </c>
      <c r="X60" s="54">
        <f>M60/AE60</f>
        <v>24.407466927852891</v>
      </c>
      <c r="Y60" s="44">
        <v>3611.12</v>
      </c>
      <c r="Z60" s="44">
        <v>3611.12</v>
      </c>
      <c r="AA60" s="55">
        <v>1023</v>
      </c>
      <c r="AB60" s="55">
        <v>779555.99</v>
      </c>
      <c r="AC60" s="55">
        <v>31639.88</v>
      </c>
      <c r="AD60" s="55">
        <v>37331.69</v>
      </c>
      <c r="AE60" s="89">
        <v>773864.18</v>
      </c>
      <c r="AF60" s="5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  <c r="BW60" s="17"/>
      <c r="BX60" s="17"/>
      <c r="BY60" s="17"/>
      <c r="BZ60" s="17"/>
      <c r="CA60" s="17"/>
      <c r="CB60" s="17"/>
      <c r="CC60" s="17"/>
      <c r="CD60" s="17"/>
      <c r="CE60" s="17"/>
      <c r="CF60" s="17"/>
      <c r="CG60" s="17"/>
      <c r="CH60" s="17"/>
      <c r="CI60" s="17"/>
      <c r="CJ60" s="17"/>
      <c r="CK60" s="17"/>
      <c r="CL60" s="17"/>
      <c r="CM60" s="17"/>
      <c r="CN60" s="17"/>
      <c r="CO60" s="17"/>
      <c r="CP60" s="17"/>
      <c r="CQ60" s="17"/>
      <c r="CR60" s="17"/>
      <c r="CS60" s="17"/>
      <c r="CT60" s="17"/>
      <c r="CU60" s="17"/>
      <c r="CV60" s="17"/>
      <c r="CW60" s="17"/>
      <c r="CX60" s="17"/>
      <c r="CY60" s="17"/>
      <c r="CZ60" s="17"/>
      <c r="DA60" s="17"/>
      <c r="DB60" s="17"/>
      <c r="DC60" s="17"/>
      <c r="DD60" s="17"/>
      <c r="DE60" s="17"/>
      <c r="DF60" s="17"/>
      <c r="DG60" s="17"/>
      <c r="DH60" s="17"/>
      <c r="DI60" s="17"/>
      <c r="DJ60" s="17"/>
      <c r="DK60" s="17"/>
      <c r="DL60" s="17"/>
      <c r="DM60" s="17"/>
      <c r="DN60" s="17"/>
      <c r="DO60" s="17"/>
      <c r="DP60" s="17"/>
      <c r="DQ60" s="17"/>
      <c r="DR60" s="17"/>
      <c r="DS60" s="17"/>
      <c r="DT60" s="17"/>
      <c r="DU60" s="17"/>
      <c r="DV60" s="17"/>
      <c r="DW60" s="17"/>
      <c r="DX60" s="17"/>
      <c r="DY60" s="17"/>
      <c r="DZ60" s="17"/>
      <c r="EA60" s="17"/>
      <c r="EB60" s="17"/>
      <c r="EC60" s="17"/>
      <c r="ED60" s="17"/>
      <c r="EE60" s="17"/>
      <c r="EF60" s="17"/>
      <c r="EG60" s="17"/>
      <c r="EH60" s="17"/>
      <c r="EI60" s="17"/>
      <c r="EJ60" s="17"/>
      <c r="EK60" s="17"/>
      <c r="EL60" s="17"/>
      <c r="EM60" s="17"/>
      <c r="EN60" s="17"/>
      <c r="EO60" s="17"/>
      <c r="EP60" s="17"/>
      <c r="EQ60" s="17"/>
      <c r="ER60" s="17"/>
      <c r="ES60" s="17"/>
      <c r="ET60" s="17"/>
      <c r="EU60" s="17"/>
      <c r="EV60" s="17"/>
      <c r="EW60" s="17"/>
      <c r="EX60" s="17"/>
      <c r="EY60" s="17"/>
      <c r="EZ60" s="17"/>
      <c r="FA60" s="17"/>
      <c r="FB60" s="17"/>
      <c r="FC60" s="17"/>
      <c r="FD60" s="17"/>
      <c r="FE60" s="17"/>
      <c r="FF60" s="17"/>
      <c r="FG60" s="17"/>
      <c r="FH60" s="17"/>
      <c r="FI60" s="17"/>
      <c r="FJ60" s="17"/>
      <c r="FK60" s="17"/>
      <c r="FL60" s="17"/>
      <c r="FM60" s="17"/>
      <c r="FN60" s="17"/>
      <c r="FO60" s="17"/>
      <c r="FP60" s="17"/>
      <c r="FQ60" s="17"/>
      <c r="FR60" s="17"/>
      <c r="FS60" s="17"/>
      <c r="FT60" s="17"/>
      <c r="FU60" s="17"/>
      <c r="FV60" s="17"/>
      <c r="FW60" s="17"/>
      <c r="FX60" s="17"/>
      <c r="FY60" s="17"/>
      <c r="FZ60" s="17"/>
      <c r="GA60" s="17"/>
      <c r="GB60" s="17"/>
      <c r="GC60" s="17"/>
      <c r="GD60" s="17"/>
      <c r="GE60" s="17"/>
      <c r="GF60" s="17"/>
      <c r="GG60" s="17"/>
      <c r="GH60" s="17"/>
      <c r="GI60" s="17"/>
      <c r="GJ60" s="17"/>
      <c r="GK60" s="17"/>
      <c r="GL60" s="17"/>
      <c r="GM60" s="17"/>
      <c r="GN60" s="17"/>
      <c r="GO60" s="17"/>
      <c r="GP60" s="17"/>
      <c r="GQ60" s="17"/>
      <c r="GR60" s="17"/>
      <c r="GS60" s="17"/>
      <c r="GT60" s="17"/>
      <c r="GU60" s="17"/>
      <c r="GV60" s="17"/>
      <c r="GW60" s="17"/>
      <c r="GX60" s="17"/>
      <c r="GY60" s="17"/>
      <c r="GZ60" s="17"/>
      <c r="HA60" s="17"/>
      <c r="HB60" s="17"/>
      <c r="HC60" s="17"/>
      <c r="HD60" s="17"/>
      <c r="HE60" s="17"/>
      <c r="HF60" s="17"/>
      <c r="HG60" s="17"/>
      <c r="HH60" s="17"/>
      <c r="HI60" s="17"/>
      <c r="HJ60" s="17"/>
      <c r="HK60" s="17"/>
      <c r="HL60" s="17"/>
      <c r="HM60" s="17"/>
      <c r="HN60" s="17"/>
      <c r="HO60" s="17"/>
      <c r="HP60" s="17"/>
      <c r="HQ60" s="17"/>
      <c r="HR60" s="17"/>
      <c r="HS60" s="17"/>
      <c r="HT60" s="17"/>
      <c r="HU60" s="17"/>
      <c r="HV60" s="17"/>
      <c r="HW60" s="17"/>
      <c r="HX60" s="17"/>
      <c r="HY60" s="17"/>
      <c r="HZ60" s="17"/>
      <c r="IA60" s="17"/>
      <c r="IB60" s="17"/>
      <c r="IC60" s="17"/>
      <c r="ID60" s="17"/>
      <c r="IE60" s="17"/>
      <c r="IF60" s="17"/>
      <c r="IG60" s="17"/>
    </row>
    <row r="61" spans="1:241" ht="16.5" customHeight="1" x14ac:dyDescent="0.25">
      <c r="A61" s="41">
        <v>54</v>
      </c>
      <c r="B61" s="42" t="s">
        <v>203</v>
      </c>
      <c r="C61" s="42" t="s">
        <v>65</v>
      </c>
      <c r="D61" s="65"/>
      <c r="E61" s="65"/>
      <c r="F61" s="65">
        <v>31558364.390000001</v>
      </c>
      <c r="G61" s="65">
        <v>278922211.50999999</v>
      </c>
      <c r="H61" s="65"/>
      <c r="I61" s="105"/>
      <c r="J61" s="65">
        <v>310480575.89999998</v>
      </c>
      <c r="K61" s="65">
        <v>3970755.1</v>
      </c>
      <c r="L61" s="65">
        <v>793714.2</v>
      </c>
      <c r="M61" s="107">
        <v>3177040.9</v>
      </c>
      <c r="N61" s="65">
        <v>411013517.22000003</v>
      </c>
      <c r="O61" s="65">
        <v>5088605.26</v>
      </c>
      <c r="P61" s="73">
        <v>391718023.16000003</v>
      </c>
      <c r="Q61" s="50">
        <f t="shared" si="23"/>
        <v>9.7473091095823586E-4</v>
      </c>
      <c r="R61" s="73">
        <v>405924911.95999998</v>
      </c>
      <c r="S61" s="50">
        <f t="shared" si="24"/>
        <v>1.0325425670674282E-3</v>
      </c>
      <c r="T61" s="51">
        <f t="shared" si="25"/>
        <v>3.6268151986963967E-2</v>
      </c>
      <c r="U61" s="52">
        <f t="shared" si="26"/>
        <v>1.955322712684884E-3</v>
      </c>
      <c r="V61" s="53">
        <f t="shared" si="27"/>
        <v>7.8266714025008316E-3</v>
      </c>
      <c r="W61" s="54">
        <f>R61/AE61</f>
        <v>103.21453548808529</v>
      </c>
      <c r="X61" s="54">
        <f>M61/AE61</f>
        <v>0.80782625322700441</v>
      </c>
      <c r="Y61" s="101">
        <v>103.59</v>
      </c>
      <c r="Z61" s="101">
        <v>103.59</v>
      </c>
      <c r="AA61" s="108">
        <v>111</v>
      </c>
      <c r="AB61" s="55">
        <v>3799347</v>
      </c>
      <c r="AC61" s="55">
        <v>136410</v>
      </c>
      <c r="AD61" s="55">
        <v>2930</v>
      </c>
      <c r="AE61" s="45">
        <v>3932827</v>
      </c>
      <c r="AF61" s="5"/>
    </row>
    <row r="62" spans="1:241" ht="18" customHeight="1" x14ac:dyDescent="0.25">
      <c r="A62" s="41">
        <v>55</v>
      </c>
      <c r="B62" s="56" t="s">
        <v>115</v>
      </c>
      <c r="C62" s="56" t="s">
        <v>72</v>
      </c>
      <c r="D62" s="65"/>
      <c r="E62" s="65"/>
      <c r="F62" s="65">
        <f>45890920.28+30197767.13</f>
        <v>76088687.409999996</v>
      </c>
      <c r="G62" s="65">
        <v>258448848.63</v>
      </c>
      <c r="H62" s="65"/>
      <c r="I62" s="65"/>
      <c r="J62" s="65">
        <f>F62+G62</f>
        <v>334537536.03999996</v>
      </c>
      <c r="K62" s="65">
        <v>-3622178.31</v>
      </c>
      <c r="L62" s="65">
        <v>1388783.27</v>
      </c>
      <c r="M62" s="47">
        <v>-9741993.9299999997</v>
      </c>
      <c r="N62" s="65">
        <v>335394463.77999997</v>
      </c>
      <c r="O62" s="65">
        <v>4032073.89</v>
      </c>
      <c r="P62" s="73">
        <v>423565143.56999999</v>
      </c>
      <c r="Q62" s="50">
        <f t="shared" si="23"/>
        <v>1.0539776416504216E-3</v>
      </c>
      <c r="R62" s="73">
        <v>331362389.88999999</v>
      </c>
      <c r="S62" s="50">
        <f t="shared" si="24"/>
        <v>8.4287946515668351E-4</v>
      </c>
      <c r="T62" s="51">
        <f t="shared" si="25"/>
        <v>-0.21768258101427609</v>
      </c>
      <c r="U62" s="52">
        <f t="shared" si="26"/>
        <v>4.1911312580194286E-3</v>
      </c>
      <c r="V62" s="53">
        <f t="shared" si="27"/>
        <v>-2.9399817925124153E-2</v>
      </c>
      <c r="W62" s="54">
        <f>R62/AE62</f>
        <v>1.3666499309760975</v>
      </c>
      <c r="X62" s="54">
        <f>M62/AE62</f>
        <v>-4.0179259138080757E-2</v>
      </c>
      <c r="Y62" s="101">
        <v>1.3666</v>
      </c>
      <c r="Z62" s="101">
        <v>1.3666</v>
      </c>
      <c r="AA62" s="55">
        <v>221</v>
      </c>
      <c r="AB62" s="55">
        <v>302035963.75999999</v>
      </c>
      <c r="AC62" s="55">
        <v>593658.82999999996</v>
      </c>
      <c r="AD62" s="55">
        <v>60166368.200000003</v>
      </c>
      <c r="AE62" s="45">
        <v>242463254.40000001</v>
      </c>
      <c r="AF62" s="5"/>
    </row>
    <row r="63" spans="1:241" ht="16.5" customHeight="1" x14ac:dyDescent="0.25">
      <c r="A63" s="41">
        <v>56</v>
      </c>
      <c r="B63" s="42" t="s">
        <v>192</v>
      </c>
      <c r="C63" s="42" t="s">
        <v>70</v>
      </c>
      <c r="D63" s="65"/>
      <c r="E63" s="65"/>
      <c r="F63" s="65">
        <f>109626971.43 +29318626.57</f>
        <v>138945598</v>
      </c>
      <c r="G63" s="65">
        <v>261079982.52000001</v>
      </c>
      <c r="H63" s="65"/>
      <c r="I63" s="65"/>
      <c r="J63" s="65">
        <v>402174582.17000002</v>
      </c>
      <c r="K63" s="65">
        <v>4009889.18</v>
      </c>
      <c r="L63" s="65">
        <v>796417.47</v>
      </c>
      <c r="M63" s="47">
        <v>3213471.71</v>
      </c>
      <c r="N63" s="65">
        <v>402174582.17000002</v>
      </c>
      <c r="O63" s="65">
        <v>6744759.2999999998</v>
      </c>
      <c r="P63" s="73">
        <v>406063345.88</v>
      </c>
      <c r="Q63" s="50">
        <f t="shared" si="23"/>
        <v>1.0104270716047529E-3</v>
      </c>
      <c r="R63" s="73">
        <v>395429822.86000001</v>
      </c>
      <c r="S63" s="50">
        <f t="shared" si="24"/>
        <v>1.0058464320886931E-3</v>
      </c>
      <c r="T63" s="51">
        <f t="shared" si="25"/>
        <v>-2.6186857611970728E-2</v>
      </c>
      <c r="U63" s="52">
        <f t="shared" si="26"/>
        <v>2.0140551469785516E-3</v>
      </c>
      <c r="V63" s="53">
        <f t="shared" si="27"/>
        <v>8.1265284615058327E-3</v>
      </c>
      <c r="W63" s="54" t="e">
        <f>R63/#REF!</f>
        <v>#REF!</v>
      </c>
      <c r="X63" s="54" t="e">
        <f>M63/#REF!</f>
        <v>#REF!</v>
      </c>
      <c r="Y63" s="44">
        <v>1115</v>
      </c>
      <c r="Z63" s="44">
        <v>1134.02</v>
      </c>
      <c r="AA63" s="55">
        <v>103</v>
      </c>
      <c r="AB63" s="55">
        <v>363758</v>
      </c>
      <c r="AC63" s="55">
        <v>730</v>
      </c>
      <c r="AD63" s="55">
        <v>9843</v>
      </c>
      <c r="AE63" s="55">
        <v>354645</v>
      </c>
      <c r="AF63" s="5"/>
      <c r="AG63" s="37"/>
    </row>
    <row r="64" spans="1:241" ht="15.75" customHeight="1" x14ac:dyDescent="0.25">
      <c r="A64" s="41">
        <v>57</v>
      </c>
      <c r="B64" s="42" t="s">
        <v>158</v>
      </c>
      <c r="C64" s="56" t="s">
        <v>156</v>
      </c>
      <c r="D64" s="65"/>
      <c r="E64" s="65"/>
      <c r="F64" s="65">
        <v>17611254.309999999</v>
      </c>
      <c r="G64" s="65">
        <v>484502763.5</v>
      </c>
      <c r="H64" s="102"/>
      <c r="I64" s="103">
        <v>0</v>
      </c>
      <c r="J64" s="103">
        <v>503366014.00999999</v>
      </c>
      <c r="K64" s="103">
        <v>6093989.6100000003</v>
      </c>
      <c r="L64" s="65">
        <v>1296207.56</v>
      </c>
      <c r="M64" s="47">
        <v>4797782.05</v>
      </c>
      <c r="N64" s="65">
        <v>661933348.52999997</v>
      </c>
      <c r="O64" s="65">
        <f>N64-R64</f>
        <v>4443612.5099999905</v>
      </c>
      <c r="P64" s="73">
        <v>654189044.69000006</v>
      </c>
      <c r="Q64" s="50">
        <f t="shared" si="23"/>
        <v>1.6278502539290253E-3</v>
      </c>
      <c r="R64" s="73">
        <v>657489736.01999998</v>
      </c>
      <c r="S64" s="50">
        <f t="shared" si="24"/>
        <v>1.6724426608177086E-3</v>
      </c>
      <c r="T64" s="51">
        <f t="shared" si="25"/>
        <v>5.0454701997708004E-3</v>
      </c>
      <c r="U64" s="52">
        <f t="shared" si="26"/>
        <v>1.9714491177404039E-3</v>
      </c>
      <c r="V64" s="53">
        <f t="shared" si="27"/>
        <v>7.2971208327030938E-3</v>
      </c>
      <c r="W64" s="54">
        <f t="shared" ref="W64:W75" si="28">R64/AE64</f>
        <v>1.036468343272112</v>
      </c>
      <c r="X64" s="54">
        <f t="shared" ref="X64:X75" si="29">M64/AE64</f>
        <v>7.5632347401281908E-3</v>
      </c>
      <c r="Y64" s="101">
        <v>1.04</v>
      </c>
      <c r="Z64" s="101">
        <v>1.04</v>
      </c>
      <c r="AA64" s="55">
        <v>41</v>
      </c>
      <c r="AB64" s="55">
        <v>636936594.75999999</v>
      </c>
      <c r="AC64" s="55">
        <v>475418.13</v>
      </c>
      <c r="AD64" s="55">
        <v>3056183.03</v>
      </c>
      <c r="AE64" s="45">
        <v>634355829.86000001</v>
      </c>
      <c r="AF64" s="5"/>
    </row>
    <row r="65" spans="1:241" ht="16.5" customHeight="1" x14ac:dyDescent="0.25">
      <c r="A65" s="41">
        <v>58</v>
      </c>
      <c r="B65" s="42" t="s">
        <v>182</v>
      </c>
      <c r="C65" s="42" t="s">
        <v>37</v>
      </c>
      <c r="D65" s="65"/>
      <c r="E65" s="65"/>
      <c r="F65" s="65">
        <v>21960920616.650002</v>
      </c>
      <c r="G65" s="65">
        <v>43848467277.290001</v>
      </c>
      <c r="H65" s="65"/>
      <c r="I65" s="65"/>
      <c r="J65" s="65">
        <v>68523838722.199997</v>
      </c>
      <c r="K65" s="65">
        <v>729775061.76999998</v>
      </c>
      <c r="L65" s="65">
        <v>80439404.829999998</v>
      </c>
      <c r="M65" s="47">
        <v>649335656.92999995</v>
      </c>
      <c r="N65" s="65">
        <v>68872863987.929993</v>
      </c>
      <c r="O65" s="65">
        <v>349025265.77999997</v>
      </c>
      <c r="P65" s="73">
        <v>66520264667.830002</v>
      </c>
      <c r="Q65" s="50">
        <f t="shared" si="23"/>
        <v>0.16552559326679944</v>
      </c>
      <c r="R65" s="73">
        <v>68523838722.150002</v>
      </c>
      <c r="S65" s="50">
        <f t="shared" si="24"/>
        <v>0.17430263148386249</v>
      </c>
      <c r="T65" s="51">
        <f t="shared" si="25"/>
        <v>3.0119754699186461E-2</v>
      </c>
      <c r="U65" s="52">
        <f t="shared" si="26"/>
        <v>1.1738893548589003E-3</v>
      </c>
      <c r="V65" s="53">
        <f t="shared" si="27"/>
        <v>9.4760548889113137E-3</v>
      </c>
      <c r="W65" s="54">
        <f t="shared" si="28"/>
        <v>1496.220883155167</v>
      </c>
      <c r="X65" s="54">
        <f t="shared" si="29"/>
        <v>14.178271214713725</v>
      </c>
      <c r="Y65" s="101">
        <v>1496.22</v>
      </c>
      <c r="Z65" s="101">
        <v>1496.22</v>
      </c>
      <c r="AA65" s="55">
        <v>2563</v>
      </c>
      <c r="AB65" s="55">
        <v>44898748</v>
      </c>
      <c r="AC65" s="55">
        <v>2654408</v>
      </c>
      <c r="AD65" s="55">
        <v>1755213</v>
      </c>
      <c r="AE65" s="45">
        <v>45797943</v>
      </c>
      <c r="AF65" s="5"/>
    </row>
    <row r="66" spans="1:241" ht="16.5" customHeight="1" x14ac:dyDescent="0.25">
      <c r="A66" s="41">
        <v>59</v>
      </c>
      <c r="B66" s="42" t="s">
        <v>147</v>
      </c>
      <c r="C66" s="42" t="s">
        <v>78</v>
      </c>
      <c r="D66" s="65"/>
      <c r="E66" s="65"/>
      <c r="F66" s="65"/>
      <c r="G66" s="65">
        <v>18022705.039999999</v>
      </c>
      <c r="H66" s="65"/>
      <c r="I66" s="65">
        <v>6813190.9400000004</v>
      </c>
      <c r="J66" s="65">
        <v>25572384.510000002</v>
      </c>
      <c r="K66" s="65">
        <v>187073.54</v>
      </c>
      <c r="L66" s="65">
        <v>235416.82</v>
      </c>
      <c r="M66" s="47">
        <v>-48343.28</v>
      </c>
      <c r="N66" s="65">
        <v>25572384.510000002</v>
      </c>
      <c r="O66" s="65">
        <v>4807751.07</v>
      </c>
      <c r="P66" s="73">
        <v>20526240.449999999</v>
      </c>
      <c r="Q66" s="50">
        <f t="shared" si="23"/>
        <v>5.107643730807877E-5</v>
      </c>
      <c r="R66" s="73">
        <v>20764633.48</v>
      </c>
      <c r="S66" s="50">
        <f t="shared" si="24"/>
        <v>5.2818556649132707E-5</v>
      </c>
      <c r="T66" s="51">
        <f t="shared" si="25"/>
        <v>1.1614062038331097E-2</v>
      </c>
      <c r="U66" s="52">
        <f t="shared" si="26"/>
        <v>1.1337393468887754E-2</v>
      </c>
      <c r="V66" s="53">
        <f t="shared" si="27"/>
        <v>-2.3281547467025169E-3</v>
      </c>
      <c r="W66" s="54">
        <f t="shared" si="28"/>
        <v>0.67397845305661619</v>
      </c>
      <c r="X66" s="54">
        <f t="shared" si="29"/>
        <v>-1.5691261346589803E-3</v>
      </c>
      <c r="Y66" s="44">
        <v>0.67400000000000004</v>
      </c>
      <c r="Z66" s="44">
        <v>0.67400000000000004</v>
      </c>
      <c r="AA66" s="55">
        <v>751</v>
      </c>
      <c r="AB66" s="55">
        <v>30809046.469999999</v>
      </c>
      <c r="AC66" s="55"/>
      <c r="AD66" s="55"/>
      <c r="AE66" s="45">
        <v>30809046.469999999</v>
      </c>
      <c r="AF66" s="5"/>
    </row>
    <row r="67" spans="1:241" ht="16.5" customHeight="1" x14ac:dyDescent="0.25">
      <c r="A67" s="41">
        <v>60</v>
      </c>
      <c r="B67" s="92" t="s">
        <v>110</v>
      </c>
      <c r="C67" s="42" t="s">
        <v>44</v>
      </c>
      <c r="D67" s="65"/>
      <c r="E67" s="65"/>
      <c r="F67" s="65">
        <v>11228979.1</v>
      </c>
      <c r="G67" s="65">
        <v>172743272.81999999</v>
      </c>
      <c r="H67" s="65"/>
      <c r="I67" s="65"/>
      <c r="J67" s="65">
        <v>183972251.93000001</v>
      </c>
      <c r="K67" s="65">
        <v>1385016.14</v>
      </c>
      <c r="L67" s="65">
        <v>1385016.14</v>
      </c>
      <c r="M67" s="47">
        <v>810633.83</v>
      </c>
      <c r="N67" s="65">
        <v>184097123.72</v>
      </c>
      <c r="O67" s="65">
        <v>7131394.8200000003</v>
      </c>
      <c r="P67" s="73">
        <v>163504694.27000001</v>
      </c>
      <c r="Q67" s="50">
        <f t="shared" si="23"/>
        <v>4.0685664219909505E-4</v>
      </c>
      <c r="R67" s="73">
        <v>176965728.90000001</v>
      </c>
      <c r="S67" s="50">
        <f t="shared" si="24"/>
        <v>4.5014396164818368E-4</v>
      </c>
      <c r="T67" s="51">
        <f t="shared" si="25"/>
        <v>8.2328123300065018E-2</v>
      </c>
      <c r="U67" s="52">
        <f t="shared" si="26"/>
        <v>7.8264653196362458E-3</v>
      </c>
      <c r="V67" s="53">
        <f t="shared" si="27"/>
        <v>4.5807390789098712E-3</v>
      </c>
      <c r="W67" s="54">
        <f t="shared" si="28"/>
        <v>153.42001147543843</v>
      </c>
      <c r="X67" s="54">
        <f t="shared" si="29"/>
        <v>0.70277704205234159</v>
      </c>
      <c r="Y67" s="101">
        <v>142.52000000000001</v>
      </c>
      <c r="Z67" s="101">
        <v>142.52000000000001</v>
      </c>
      <c r="AA67" s="55">
        <v>15</v>
      </c>
      <c r="AB67" s="55">
        <v>1153472.27</v>
      </c>
      <c r="AC67" s="55">
        <v>0</v>
      </c>
      <c r="AD67" s="55">
        <v>0</v>
      </c>
      <c r="AE67" s="45">
        <v>1153472.27</v>
      </c>
      <c r="AF67" s="5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7"/>
      <c r="BS67" s="17"/>
      <c r="BT67" s="17"/>
      <c r="BU67" s="17"/>
      <c r="BV67" s="17"/>
      <c r="BW67" s="17"/>
      <c r="BX67" s="17"/>
      <c r="BY67" s="17"/>
      <c r="BZ67" s="17"/>
      <c r="CA67" s="17"/>
      <c r="CB67" s="17"/>
      <c r="CC67" s="17"/>
      <c r="CD67" s="17"/>
      <c r="CE67" s="17"/>
      <c r="CF67" s="17"/>
      <c r="CG67" s="17"/>
      <c r="CH67" s="17"/>
      <c r="CI67" s="17"/>
      <c r="CJ67" s="17"/>
      <c r="CK67" s="17"/>
      <c r="CL67" s="17"/>
      <c r="CM67" s="17"/>
      <c r="CN67" s="17"/>
      <c r="CO67" s="17"/>
      <c r="CP67" s="17"/>
      <c r="CQ67" s="17"/>
      <c r="CR67" s="17"/>
      <c r="CS67" s="17"/>
      <c r="CT67" s="17"/>
      <c r="CU67" s="17"/>
      <c r="CV67" s="17"/>
      <c r="CW67" s="17"/>
      <c r="CX67" s="17"/>
      <c r="CY67" s="17"/>
      <c r="CZ67" s="17"/>
      <c r="DA67" s="17"/>
      <c r="DB67" s="17"/>
      <c r="DC67" s="17"/>
      <c r="DD67" s="17"/>
      <c r="DE67" s="17"/>
      <c r="DF67" s="17"/>
      <c r="DG67" s="17"/>
      <c r="DH67" s="17"/>
      <c r="DI67" s="17"/>
      <c r="DJ67" s="17"/>
      <c r="DK67" s="17"/>
      <c r="DL67" s="17"/>
      <c r="DM67" s="17"/>
      <c r="DN67" s="17"/>
      <c r="DO67" s="17"/>
      <c r="DP67" s="17"/>
      <c r="DQ67" s="17"/>
      <c r="DR67" s="17"/>
      <c r="DS67" s="17"/>
      <c r="DT67" s="17"/>
      <c r="DU67" s="17"/>
      <c r="DV67" s="17"/>
      <c r="DW67" s="17"/>
      <c r="DX67" s="17"/>
      <c r="DY67" s="17"/>
      <c r="DZ67" s="17"/>
      <c r="EA67" s="17"/>
      <c r="EB67" s="17"/>
      <c r="EC67" s="17"/>
      <c r="ED67" s="17"/>
      <c r="EE67" s="17"/>
      <c r="EF67" s="17"/>
      <c r="EG67" s="17"/>
      <c r="EH67" s="17"/>
      <c r="EI67" s="17"/>
      <c r="EJ67" s="17"/>
      <c r="EK67" s="17"/>
      <c r="EL67" s="17"/>
      <c r="EM67" s="17"/>
      <c r="EN67" s="17"/>
      <c r="EO67" s="17"/>
      <c r="EP67" s="17"/>
      <c r="EQ67" s="17"/>
      <c r="ER67" s="17"/>
      <c r="ES67" s="17"/>
      <c r="ET67" s="17"/>
      <c r="EU67" s="17"/>
      <c r="EV67" s="17"/>
      <c r="EW67" s="17"/>
      <c r="EX67" s="17"/>
      <c r="EY67" s="17"/>
      <c r="EZ67" s="17"/>
      <c r="FA67" s="17"/>
      <c r="FB67" s="17"/>
      <c r="FC67" s="17"/>
      <c r="FD67" s="17"/>
      <c r="FE67" s="17"/>
      <c r="FF67" s="17"/>
      <c r="FG67" s="17"/>
      <c r="FH67" s="17"/>
      <c r="FI67" s="17"/>
      <c r="FJ67" s="17"/>
      <c r="FK67" s="17"/>
      <c r="FL67" s="17"/>
      <c r="FM67" s="17"/>
      <c r="FN67" s="17"/>
      <c r="FO67" s="17"/>
      <c r="FP67" s="17"/>
      <c r="FQ67" s="17"/>
      <c r="FR67" s="17"/>
      <c r="FS67" s="17"/>
      <c r="FT67" s="17"/>
      <c r="FU67" s="17"/>
      <c r="FV67" s="17"/>
      <c r="FW67" s="17"/>
      <c r="FX67" s="17"/>
      <c r="FY67" s="17"/>
      <c r="FZ67" s="17"/>
      <c r="GA67" s="17"/>
      <c r="GB67" s="17"/>
      <c r="GC67" s="17"/>
      <c r="GD67" s="17"/>
      <c r="GE67" s="17"/>
      <c r="GF67" s="17"/>
      <c r="GG67" s="17"/>
      <c r="GH67" s="17"/>
      <c r="GI67" s="17"/>
      <c r="GJ67" s="17"/>
      <c r="GK67" s="17"/>
      <c r="GL67" s="17"/>
      <c r="GM67" s="17"/>
      <c r="GN67" s="17"/>
      <c r="GO67" s="17"/>
      <c r="GP67" s="17"/>
      <c r="GQ67" s="17"/>
      <c r="GR67" s="17"/>
      <c r="GS67" s="17"/>
      <c r="GT67" s="17"/>
      <c r="GU67" s="17"/>
      <c r="GV67" s="17"/>
      <c r="GW67" s="17"/>
      <c r="GX67" s="17"/>
      <c r="GY67" s="17"/>
      <c r="GZ67" s="17"/>
      <c r="HA67" s="17"/>
      <c r="HB67" s="17"/>
      <c r="HC67" s="17"/>
      <c r="HD67" s="17"/>
      <c r="HE67" s="17"/>
      <c r="HF67" s="17"/>
      <c r="HG67" s="17"/>
      <c r="HH67" s="17"/>
      <c r="HI67" s="17"/>
      <c r="HJ67" s="17"/>
      <c r="HK67" s="17"/>
      <c r="HL67" s="17"/>
      <c r="HM67" s="17"/>
      <c r="HN67" s="17"/>
      <c r="HO67" s="17"/>
      <c r="HP67" s="17"/>
      <c r="HQ67" s="17"/>
      <c r="HR67" s="17"/>
      <c r="HS67" s="17"/>
      <c r="HT67" s="17"/>
      <c r="HU67" s="17"/>
      <c r="HV67" s="17"/>
      <c r="HW67" s="17"/>
      <c r="HX67" s="17"/>
      <c r="HY67" s="17"/>
      <c r="HZ67" s="17"/>
      <c r="IA67" s="17"/>
      <c r="IB67" s="17"/>
      <c r="IC67" s="17"/>
      <c r="ID67" s="17"/>
      <c r="IE67" s="17"/>
      <c r="IF67" s="17"/>
      <c r="IG67" s="17"/>
    </row>
    <row r="68" spans="1:241" ht="16.5" customHeight="1" x14ac:dyDescent="0.25">
      <c r="A68" s="41">
        <v>61</v>
      </c>
      <c r="B68" s="56" t="s">
        <v>114</v>
      </c>
      <c r="C68" s="56" t="s">
        <v>113</v>
      </c>
      <c r="D68" s="65"/>
      <c r="E68" s="65"/>
      <c r="F68" s="65">
        <v>353474067.49000001</v>
      </c>
      <c r="G68" s="65">
        <v>402340403.70999998</v>
      </c>
      <c r="H68" s="65"/>
      <c r="I68" s="65"/>
      <c r="J68" s="65">
        <v>759800341.25</v>
      </c>
      <c r="K68" s="65">
        <v>22962239.760000002</v>
      </c>
      <c r="L68" s="65">
        <v>11391419.99</v>
      </c>
      <c r="M68" s="47">
        <v>11570819.77</v>
      </c>
      <c r="N68" s="65">
        <v>759800341.25</v>
      </c>
      <c r="O68" s="65">
        <v>5521437.46</v>
      </c>
      <c r="P68" s="73">
        <v>766172956.34000003</v>
      </c>
      <c r="Q68" s="50">
        <f t="shared" si="23"/>
        <v>1.9065052398158663E-3</v>
      </c>
      <c r="R68" s="73">
        <v>754278903.78999996</v>
      </c>
      <c r="S68" s="50">
        <f t="shared" si="24"/>
        <v>1.9186432087737401E-3</v>
      </c>
      <c r="T68" s="51">
        <f t="shared" si="25"/>
        <v>-1.552397856329703E-2</v>
      </c>
      <c r="U68" s="52">
        <f t="shared" si="26"/>
        <v>1.5102397710928826E-2</v>
      </c>
      <c r="V68" s="53">
        <f t="shared" si="27"/>
        <v>1.5340240475851159E-2</v>
      </c>
      <c r="W68" s="54">
        <f t="shared" si="28"/>
        <v>191.26730842332935</v>
      </c>
      <c r="X68" s="54">
        <f t="shared" si="29"/>
        <v>2.934086506382664</v>
      </c>
      <c r="Y68" s="101">
        <v>191.26730000000001</v>
      </c>
      <c r="Z68" s="101">
        <v>192.66739999999999</v>
      </c>
      <c r="AA68" s="55">
        <v>454</v>
      </c>
      <c r="AB68" s="55">
        <v>4036039.01</v>
      </c>
      <c r="AC68" s="55">
        <v>37899.949999999997</v>
      </c>
      <c r="AD68" s="55">
        <v>108819.63</v>
      </c>
      <c r="AE68" s="45">
        <v>3943585.08</v>
      </c>
      <c r="AF68" s="5"/>
    </row>
    <row r="69" spans="1:241" ht="18.75" customHeight="1" x14ac:dyDescent="0.25">
      <c r="A69" s="41">
        <v>62</v>
      </c>
      <c r="B69" s="42" t="s">
        <v>183</v>
      </c>
      <c r="C69" s="56" t="s">
        <v>25</v>
      </c>
      <c r="D69" s="65"/>
      <c r="E69" s="65"/>
      <c r="F69" s="65">
        <v>211990860.27000001</v>
      </c>
      <c r="G69" s="65">
        <v>2225914830.9099998</v>
      </c>
      <c r="H69" s="65"/>
      <c r="I69" s="65"/>
      <c r="J69" s="65">
        <v>2447908502.98</v>
      </c>
      <c r="K69" s="93">
        <v>24403636.870000001</v>
      </c>
      <c r="L69" s="93">
        <v>3812169.88</v>
      </c>
      <c r="M69" s="47">
        <v>20591466.989999998</v>
      </c>
      <c r="N69" s="65">
        <v>2447908502.98</v>
      </c>
      <c r="O69" s="65">
        <v>13688916.710000001</v>
      </c>
      <c r="P69" s="73">
        <v>3234093914.1100001</v>
      </c>
      <c r="Q69" s="50">
        <f t="shared" si="23"/>
        <v>8.0475523735024021E-3</v>
      </c>
      <c r="R69" s="73">
        <v>2434219586.27</v>
      </c>
      <c r="S69" s="50">
        <f t="shared" si="24"/>
        <v>6.1918726009620069E-3</v>
      </c>
      <c r="T69" s="51">
        <f t="shared" si="25"/>
        <v>-0.24732563403623978</v>
      </c>
      <c r="U69" s="52">
        <f>(L70/R69)</f>
        <v>1.0389719166114201E-2</v>
      </c>
      <c r="V69" s="53">
        <f t="shared" si="27"/>
        <v>8.4591657655473419E-3</v>
      </c>
      <c r="W69" s="54">
        <f t="shared" si="28"/>
        <v>3.6949304847046007</v>
      </c>
      <c r="X69" s="54">
        <f t="shared" si="29"/>
        <v>3.1256029462290405E-2</v>
      </c>
      <c r="Y69" s="104">
        <v>3.71</v>
      </c>
      <c r="Z69" s="104">
        <v>3.71</v>
      </c>
      <c r="AA69" s="93">
        <v>850</v>
      </c>
      <c r="AB69" s="93">
        <v>852306992</v>
      </c>
      <c r="AC69" s="93">
        <v>12125</v>
      </c>
      <c r="AD69" s="93">
        <v>193519284</v>
      </c>
      <c r="AE69" s="45">
        <v>658799833</v>
      </c>
      <c r="AF69" s="5"/>
    </row>
    <row r="70" spans="1:241" ht="16.5" customHeight="1" x14ac:dyDescent="0.25">
      <c r="A70" s="41">
        <v>63</v>
      </c>
      <c r="B70" s="68" t="s">
        <v>207</v>
      </c>
      <c r="C70" s="42" t="s">
        <v>107</v>
      </c>
      <c r="D70" s="65"/>
      <c r="E70" s="65"/>
      <c r="F70" s="65">
        <v>6184390134.8299999</v>
      </c>
      <c r="G70" s="65">
        <v>5230857801.4799995</v>
      </c>
      <c r="H70" s="65"/>
      <c r="I70" s="65">
        <v>15997138.58</v>
      </c>
      <c r="J70" s="65">
        <v>11431245074.889999</v>
      </c>
      <c r="K70" s="65">
        <v>129157029.09</v>
      </c>
      <c r="L70" s="65">
        <v>25290857.890000001</v>
      </c>
      <c r="M70" s="47">
        <v>103866171.2</v>
      </c>
      <c r="N70" s="65">
        <v>15656609596.530001</v>
      </c>
      <c r="O70" s="65">
        <v>258791636.94999999</v>
      </c>
      <c r="P70" s="73">
        <v>15284459650.51</v>
      </c>
      <c r="Q70" s="50">
        <f t="shared" si="23"/>
        <v>3.8033060512410281E-2</v>
      </c>
      <c r="R70" s="73">
        <v>15397817959.58</v>
      </c>
      <c r="S70" s="50">
        <f t="shared" si="24"/>
        <v>3.9167102128455637E-2</v>
      </c>
      <c r="T70" s="51">
        <f t="shared" si="25"/>
        <v>7.4165728891971159E-3</v>
      </c>
      <c r="U70" s="52">
        <f>(L70/R70)</f>
        <v>1.6424962261789105E-3</v>
      </c>
      <c r="V70" s="53">
        <f t="shared" si="27"/>
        <v>6.7455123493896088E-3</v>
      </c>
      <c r="W70" s="54">
        <f t="shared" si="28"/>
        <v>1166.808459257044</v>
      </c>
      <c r="X70" s="54">
        <f t="shared" si="29"/>
        <v>7.8707208712906533</v>
      </c>
      <c r="Y70" s="44">
        <v>1166.81</v>
      </c>
      <c r="Z70" s="44">
        <v>1166.81</v>
      </c>
      <c r="AA70" s="55">
        <v>6829</v>
      </c>
      <c r="AB70" s="55">
        <v>13047244.199999999</v>
      </c>
      <c r="AC70" s="55">
        <v>852431</v>
      </c>
      <c r="AD70" s="55">
        <v>703150</v>
      </c>
      <c r="AE70" s="45">
        <v>13196525.82</v>
      </c>
      <c r="AF70" s="5"/>
    </row>
    <row r="71" spans="1:241" ht="16.5" customHeight="1" x14ac:dyDescent="0.25">
      <c r="A71" s="41">
        <v>64</v>
      </c>
      <c r="B71" s="42" t="s">
        <v>93</v>
      </c>
      <c r="C71" s="42" t="s">
        <v>31</v>
      </c>
      <c r="D71" s="65"/>
      <c r="E71" s="65"/>
      <c r="F71" s="65">
        <v>216591195.12</v>
      </c>
      <c r="G71" s="65">
        <v>1185716308.74</v>
      </c>
      <c r="H71" s="65"/>
      <c r="I71" s="65"/>
      <c r="J71" s="65">
        <v>1402307503.8599999</v>
      </c>
      <c r="K71" s="65">
        <v>14112158.27</v>
      </c>
      <c r="L71" s="65">
        <v>1917553.86</v>
      </c>
      <c r="M71" s="47">
        <v>12194604.41</v>
      </c>
      <c r="N71" s="65">
        <v>1411424746.5799999</v>
      </c>
      <c r="O71" s="65">
        <v>29492803.879999999</v>
      </c>
      <c r="P71" s="73">
        <v>1375694840.97</v>
      </c>
      <c r="Q71" s="50">
        <f t="shared" si="23"/>
        <v>3.4232080380726324E-3</v>
      </c>
      <c r="R71" s="73">
        <v>1381931942.7</v>
      </c>
      <c r="S71" s="50">
        <f t="shared" si="24"/>
        <v>3.5151908975927645E-3</v>
      </c>
      <c r="T71" s="51">
        <f t="shared" si="25"/>
        <v>4.5337828886544704E-3</v>
      </c>
      <c r="U71" s="52">
        <f>(L71/R71)</f>
        <v>1.3875892153223618E-3</v>
      </c>
      <c r="V71" s="53">
        <f t="shared" si="27"/>
        <v>8.8243161860593125E-3</v>
      </c>
      <c r="W71" s="54">
        <f t="shared" si="28"/>
        <v>311.90460902109345</v>
      </c>
      <c r="X71" s="54">
        <f t="shared" si="29"/>
        <v>2.7523448898913361</v>
      </c>
      <c r="Y71" s="101">
        <v>311.90460000000002</v>
      </c>
      <c r="Z71" s="101">
        <v>311.90460000000002</v>
      </c>
      <c r="AA71" s="55">
        <v>97</v>
      </c>
      <c r="AB71" s="45">
        <v>4452448.1167000001</v>
      </c>
      <c r="AC71" s="45">
        <v>0</v>
      </c>
      <c r="AD71" s="55">
        <v>21824.4493</v>
      </c>
      <c r="AE71" s="45">
        <v>4430623.6673999997</v>
      </c>
      <c r="AF71" s="5"/>
    </row>
    <row r="72" spans="1:241" ht="16.5" customHeight="1" x14ac:dyDescent="0.25">
      <c r="A72" s="41">
        <v>65</v>
      </c>
      <c r="B72" s="56" t="s">
        <v>108</v>
      </c>
      <c r="C72" s="56" t="s">
        <v>46</v>
      </c>
      <c r="D72" s="65"/>
      <c r="E72" s="65"/>
      <c r="F72" s="65">
        <v>9562887.6699999999</v>
      </c>
      <c r="G72" s="65">
        <v>44444869.549999997</v>
      </c>
      <c r="H72" s="65"/>
      <c r="I72" s="65"/>
      <c r="J72" s="65">
        <v>54007757.219999999</v>
      </c>
      <c r="K72" s="65">
        <v>422818.17</v>
      </c>
      <c r="L72" s="65">
        <v>71710.38</v>
      </c>
      <c r="M72" s="47">
        <v>351107.79</v>
      </c>
      <c r="N72" s="65">
        <v>56405766.43</v>
      </c>
      <c r="O72" s="65">
        <v>187101.53</v>
      </c>
      <c r="P72" s="73">
        <v>55935982.359999999</v>
      </c>
      <c r="Q72" s="50">
        <f t="shared" si="23"/>
        <v>1.3918821146209168E-4</v>
      </c>
      <c r="R72" s="73">
        <v>56218664.890000001</v>
      </c>
      <c r="S72" s="50">
        <f t="shared" si="24"/>
        <v>1.4300222246114373E-4</v>
      </c>
      <c r="T72" s="51">
        <f t="shared" si="25"/>
        <v>5.0536795471057706E-3</v>
      </c>
      <c r="U72" s="52">
        <f>(L72/R72)</f>
        <v>1.2755617754408042E-3</v>
      </c>
      <c r="V72" s="53">
        <f t="shared" si="27"/>
        <v>6.2453953804664959E-3</v>
      </c>
      <c r="W72" s="54">
        <f t="shared" si="28"/>
        <v>11.791339282137459</v>
      </c>
      <c r="X72" s="54">
        <f t="shared" si="29"/>
        <v>7.3641575882174404E-2</v>
      </c>
      <c r="Y72" s="44">
        <v>11.7913</v>
      </c>
      <c r="Z72" s="44">
        <v>11.8306</v>
      </c>
      <c r="AA72" s="55">
        <v>47</v>
      </c>
      <c r="AB72" s="55">
        <v>4767159</v>
      </c>
      <c r="AC72" s="55">
        <v>27607</v>
      </c>
      <c r="AD72" s="55">
        <v>26973</v>
      </c>
      <c r="AE72" s="45">
        <v>4767793</v>
      </c>
      <c r="AF72" s="5"/>
    </row>
    <row r="73" spans="1:241" ht="16.5" customHeight="1" x14ac:dyDescent="0.25">
      <c r="A73" s="41">
        <v>66</v>
      </c>
      <c r="B73" s="42" t="s">
        <v>104</v>
      </c>
      <c r="C73" s="42" t="s">
        <v>103</v>
      </c>
      <c r="D73" s="65"/>
      <c r="E73" s="65"/>
      <c r="F73" s="65">
        <f>1131573143.16+303952876.71</f>
        <v>1435526019.8700001</v>
      </c>
      <c r="G73" s="65">
        <v>5494998116.1099997</v>
      </c>
      <c r="H73" s="65"/>
      <c r="I73" s="65"/>
      <c r="J73" s="65">
        <v>6630358089.6199999</v>
      </c>
      <c r="K73" s="65">
        <v>66105328.590000004</v>
      </c>
      <c r="L73" s="65">
        <v>9314874.4800000004</v>
      </c>
      <c r="M73" s="47">
        <v>56790454.109999999</v>
      </c>
      <c r="N73" s="65">
        <v>7093689087</v>
      </c>
      <c r="O73" s="65">
        <v>82793700</v>
      </c>
      <c r="P73" s="73">
        <v>6986354437</v>
      </c>
      <c r="Q73" s="50">
        <f t="shared" si="23"/>
        <v>1.7384483791986781E-2</v>
      </c>
      <c r="R73" s="73">
        <v>7010895386</v>
      </c>
      <c r="S73" s="50">
        <f t="shared" si="24"/>
        <v>1.7833465515452195E-2</v>
      </c>
      <c r="T73" s="51">
        <f t="shared" si="25"/>
        <v>3.512697390506012E-3</v>
      </c>
      <c r="U73" s="52">
        <f>(L73/R73)</f>
        <v>1.3286283658718967E-3</v>
      </c>
      <c r="V73" s="53">
        <f t="shared" si="27"/>
        <v>8.1003140088788655E-3</v>
      </c>
      <c r="W73" s="54">
        <f t="shared" si="28"/>
        <v>1.0599999999909284</v>
      </c>
      <c r="X73" s="54">
        <f t="shared" si="29"/>
        <v>8.5863328493381141E-3</v>
      </c>
      <c r="Y73" s="45">
        <v>1.05</v>
      </c>
      <c r="Z73" s="101">
        <v>1.05</v>
      </c>
      <c r="AA73" s="55">
        <v>2281</v>
      </c>
      <c r="AB73" s="55">
        <v>6653670892</v>
      </c>
      <c r="AC73" s="58">
        <v>0</v>
      </c>
      <c r="AD73" s="58">
        <f>AB73-AE73</f>
        <v>39618641</v>
      </c>
      <c r="AE73" s="45">
        <v>6614052251</v>
      </c>
      <c r="AF73" s="5"/>
    </row>
    <row r="74" spans="1:241" ht="16.5" customHeight="1" x14ac:dyDescent="0.25">
      <c r="A74" s="41">
        <v>67</v>
      </c>
      <c r="B74" s="56" t="s">
        <v>105</v>
      </c>
      <c r="C74" s="42" t="s">
        <v>23</v>
      </c>
      <c r="D74" s="65"/>
      <c r="E74" s="65"/>
      <c r="F74" s="65">
        <v>11985563483.370001</v>
      </c>
      <c r="G74" s="65">
        <v>44784585742.93</v>
      </c>
      <c r="H74" s="65"/>
      <c r="I74" s="65"/>
      <c r="J74" s="65">
        <v>56770423198.900002</v>
      </c>
      <c r="K74" s="65">
        <v>539336325.12</v>
      </c>
      <c r="L74" s="65">
        <v>69865880.939999998</v>
      </c>
      <c r="M74" s="47">
        <v>469470444.18000001</v>
      </c>
      <c r="N74" s="65">
        <v>469470444.18000001</v>
      </c>
      <c r="O74" s="65">
        <v>152397314.43000001</v>
      </c>
      <c r="P74" s="73">
        <v>63950798979.989998</v>
      </c>
      <c r="Q74" s="50">
        <f t="shared" si="23"/>
        <v>0.15913186746786878</v>
      </c>
      <c r="R74" s="73">
        <v>58733564076.620003</v>
      </c>
      <c r="S74" s="50">
        <f t="shared" si="24"/>
        <v>0.14939931804596532</v>
      </c>
      <c r="T74" s="51">
        <f t="shared" si="25"/>
        <v>-8.158201283775128E-2</v>
      </c>
      <c r="U74" s="52">
        <f>(L75/R74)</f>
        <v>1.8524780244574147E-3</v>
      </c>
      <c r="V74" s="53">
        <f t="shared" si="27"/>
        <v>7.9932224710143468E-3</v>
      </c>
      <c r="W74" s="54">
        <f t="shared" si="28"/>
        <v>4476.5809346798578</v>
      </c>
      <c r="X74" s="54">
        <f t="shared" si="29"/>
        <v>35.782307320397443</v>
      </c>
      <c r="Y74" s="44">
        <v>4476.58</v>
      </c>
      <c r="Z74" s="44">
        <v>4476.58</v>
      </c>
      <c r="AA74" s="55">
        <v>450</v>
      </c>
      <c r="AB74" s="55">
        <v>14382122.289999999</v>
      </c>
      <c r="AC74" s="55">
        <v>1844424.33</v>
      </c>
      <c r="AD74" s="55">
        <v>3106362.95</v>
      </c>
      <c r="AE74" s="45">
        <v>13120183.67</v>
      </c>
      <c r="AF74" s="5"/>
    </row>
    <row r="75" spans="1:241" ht="16.5" customHeight="1" x14ac:dyDescent="0.25">
      <c r="A75" s="41">
        <v>68</v>
      </c>
      <c r="B75" s="42" t="s">
        <v>92</v>
      </c>
      <c r="C75" s="42" t="s">
        <v>23</v>
      </c>
      <c r="D75" s="65"/>
      <c r="E75" s="65"/>
      <c r="F75" s="65">
        <v>8490239963.54</v>
      </c>
      <c r="G75" s="65">
        <v>46117219519.690002</v>
      </c>
      <c r="H75" s="65"/>
      <c r="I75" s="65"/>
      <c r="J75" s="65">
        <v>54607459483.230003</v>
      </c>
      <c r="K75" s="65">
        <v>381578885.91000003</v>
      </c>
      <c r="L75" s="65">
        <v>108802636.75</v>
      </c>
      <c r="M75" s="47">
        <v>272776249.16000003</v>
      </c>
      <c r="N75" s="65">
        <v>54651591784.529999</v>
      </c>
      <c r="O75" s="65">
        <v>203217165.24000001</v>
      </c>
      <c r="P75" s="73">
        <v>57332906875.489998</v>
      </c>
      <c r="Q75" s="50">
        <f t="shared" si="23"/>
        <v>0.14266424632650559</v>
      </c>
      <c r="R75" s="73">
        <v>54448374619.290001</v>
      </c>
      <c r="S75" s="50">
        <f t="shared" si="24"/>
        <v>0.13849917274254572</v>
      </c>
      <c r="T75" s="51">
        <f t="shared" si="25"/>
        <v>-5.0311983351277512E-2</v>
      </c>
      <c r="U75" s="52">
        <f t="shared" ref="U75:U81" si="30">(L75/R75)</f>
        <v>1.9982715280439855E-3</v>
      </c>
      <c r="V75" s="53">
        <f t="shared" si="27"/>
        <v>5.0098143620867742E-3</v>
      </c>
      <c r="W75" s="54">
        <f t="shared" si="28"/>
        <v>241.32397132497675</v>
      </c>
      <c r="X75" s="54">
        <f t="shared" si="29"/>
        <v>1.2089882974596853</v>
      </c>
      <c r="Y75" s="101">
        <v>241.32</v>
      </c>
      <c r="Z75" s="101">
        <v>241.32</v>
      </c>
      <c r="AA75" s="55">
        <v>6766</v>
      </c>
      <c r="AB75" s="55">
        <v>238636457.47999999</v>
      </c>
      <c r="AC75" s="55">
        <v>2861939.17</v>
      </c>
      <c r="AD75" s="55">
        <v>15874832.119999999</v>
      </c>
      <c r="AE75" s="45">
        <v>225623564.53999999</v>
      </c>
      <c r="AF75" s="5"/>
    </row>
    <row r="76" spans="1:241" ht="16.5" customHeight="1" x14ac:dyDescent="0.25">
      <c r="A76" s="41">
        <v>69</v>
      </c>
      <c r="B76" s="56" t="s">
        <v>106</v>
      </c>
      <c r="C76" s="42" t="s">
        <v>23</v>
      </c>
      <c r="D76" s="45">
        <v>64579706.119999997</v>
      </c>
      <c r="E76" s="65"/>
      <c r="F76" s="65">
        <v>132565357.54000001</v>
      </c>
      <c r="G76" s="65">
        <v>95968695.310000002</v>
      </c>
      <c r="H76" s="65"/>
      <c r="I76" s="65"/>
      <c r="J76" s="65">
        <v>228534052.84999999</v>
      </c>
      <c r="K76" s="65">
        <v>2182817</v>
      </c>
      <c r="L76" s="65">
        <v>312672.26</v>
      </c>
      <c r="M76" s="47">
        <v>-663533.24</v>
      </c>
      <c r="N76" s="65">
        <v>230695712.24000001</v>
      </c>
      <c r="O76" s="65">
        <v>1401179.54</v>
      </c>
      <c r="P76" s="73">
        <v>253421113.77000001</v>
      </c>
      <c r="Q76" s="50">
        <f t="shared" si="23"/>
        <v>6.30600019596716E-4</v>
      </c>
      <c r="R76" s="73">
        <v>229294532.69999999</v>
      </c>
      <c r="S76" s="50">
        <f t="shared" si="24"/>
        <v>5.8325162716772218E-4</v>
      </c>
      <c r="T76" s="51">
        <f t="shared" si="25"/>
        <v>-9.5203516041275194E-2</v>
      </c>
      <c r="U76" s="52">
        <f t="shared" si="30"/>
        <v>1.3636271930176729E-3</v>
      </c>
      <c r="V76" s="53">
        <f t="shared" si="27"/>
        <v>-2.8938031456168254E-3</v>
      </c>
      <c r="W76" s="54" t="e">
        <f>R76/#REF!</f>
        <v>#REF!</v>
      </c>
      <c r="X76" s="54" t="e">
        <f>M76/#REF!</f>
        <v>#REF!</v>
      </c>
      <c r="Y76" s="44">
        <v>4055.86</v>
      </c>
      <c r="Z76" s="44">
        <v>4078.45</v>
      </c>
      <c r="AA76" s="55">
        <v>15</v>
      </c>
      <c r="AB76" s="55">
        <v>62070.49</v>
      </c>
      <c r="AC76" s="55"/>
      <c r="AD76" s="45">
        <v>5738.37</v>
      </c>
      <c r="AE76" s="45">
        <v>56332.12</v>
      </c>
      <c r="AF76" s="5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7"/>
      <c r="BL76" s="17"/>
      <c r="BM76" s="17"/>
      <c r="BN76" s="17"/>
      <c r="BO76" s="17"/>
      <c r="BP76" s="17"/>
      <c r="BQ76" s="17"/>
      <c r="BR76" s="17"/>
      <c r="BS76" s="17"/>
      <c r="BT76" s="17"/>
      <c r="BU76" s="17"/>
      <c r="BV76" s="17"/>
      <c r="BW76" s="17"/>
      <c r="BX76" s="17"/>
      <c r="BY76" s="17"/>
      <c r="BZ76" s="17"/>
      <c r="CA76" s="17"/>
      <c r="CB76" s="17"/>
      <c r="CC76" s="17"/>
      <c r="CD76" s="17"/>
      <c r="CE76" s="17"/>
      <c r="CF76" s="17"/>
      <c r="CG76" s="17"/>
      <c r="CH76" s="17"/>
      <c r="CI76" s="17"/>
      <c r="CJ76" s="17"/>
      <c r="CK76" s="17"/>
      <c r="CL76" s="17"/>
      <c r="CM76" s="17"/>
      <c r="CN76" s="17"/>
      <c r="CO76" s="17"/>
      <c r="CP76" s="17"/>
      <c r="CQ76" s="17"/>
      <c r="CR76" s="17"/>
      <c r="CS76" s="17"/>
      <c r="CT76" s="17"/>
      <c r="CU76" s="17"/>
      <c r="CV76" s="17"/>
      <c r="CW76" s="17"/>
      <c r="CX76" s="17"/>
      <c r="CY76" s="17"/>
      <c r="CZ76" s="17"/>
      <c r="DA76" s="17"/>
      <c r="DB76" s="17"/>
      <c r="DC76" s="17"/>
      <c r="DD76" s="17"/>
      <c r="DE76" s="17"/>
      <c r="DF76" s="17"/>
      <c r="DG76" s="17"/>
      <c r="DH76" s="17"/>
      <c r="DI76" s="17"/>
      <c r="DJ76" s="17"/>
      <c r="DK76" s="17"/>
      <c r="DL76" s="17"/>
      <c r="DM76" s="17"/>
      <c r="DN76" s="17"/>
      <c r="DO76" s="17"/>
      <c r="DP76" s="17"/>
      <c r="DQ76" s="17"/>
      <c r="DR76" s="17"/>
      <c r="DS76" s="17"/>
      <c r="DT76" s="17"/>
      <c r="DU76" s="17"/>
      <c r="DV76" s="17"/>
      <c r="DW76" s="17"/>
      <c r="DX76" s="17"/>
      <c r="DY76" s="17"/>
      <c r="DZ76" s="17"/>
      <c r="EA76" s="17"/>
      <c r="EB76" s="17"/>
      <c r="EC76" s="17"/>
      <c r="ED76" s="17"/>
      <c r="EE76" s="17"/>
      <c r="EF76" s="17"/>
      <c r="EG76" s="17"/>
      <c r="EH76" s="17"/>
      <c r="EI76" s="17"/>
      <c r="EJ76" s="17"/>
      <c r="EK76" s="17"/>
      <c r="EL76" s="17"/>
      <c r="EM76" s="17"/>
      <c r="EN76" s="17"/>
      <c r="EO76" s="17"/>
      <c r="EP76" s="17"/>
      <c r="EQ76" s="17"/>
      <c r="ER76" s="17"/>
      <c r="ES76" s="17"/>
      <c r="ET76" s="17"/>
      <c r="EU76" s="17"/>
      <c r="EV76" s="17"/>
      <c r="EW76" s="17"/>
      <c r="EX76" s="17"/>
      <c r="EY76" s="17"/>
      <c r="EZ76" s="17"/>
      <c r="FA76" s="17"/>
      <c r="FB76" s="17"/>
      <c r="FC76" s="17"/>
      <c r="FD76" s="17"/>
      <c r="FE76" s="17"/>
      <c r="FF76" s="17"/>
      <c r="FG76" s="17"/>
      <c r="FH76" s="17"/>
      <c r="FI76" s="17"/>
      <c r="FJ76" s="17"/>
      <c r="FK76" s="17"/>
      <c r="FL76" s="17"/>
      <c r="FM76" s="17"/>
      <c r="FN76" s="17"/>
      <c r="FO76" s="17"/>
      <c r="FP76" s="17"/>
      <c r="FQ76" s="17"/>
      <c r="FR76" s="17"/>
      <c r="FS76" s="17"/>
      <c r="FT76" s="17"/>
      <c r="FU76" s="17"/>
      <c r="FV76" s="17"/>
      <c r="FW76" s="17"/>
      <c r="FX76" s="17"/>
      <c r="FY76" s="17"/>
      <c r="FZ76" s="17"/>
      <c r="GA76" s="17"/>
      <c r="GB76" s="17"/>
      <c r="GC76" s="17"/>
      <c r="GD76" s="17"/>
      <c r="GE76" s="17"/>
      <c r="GF76" s="17"/>
      <c r="GG76" s="17"/>
      <c r="GH76" s="17"/>
      <c r="GI76" s="17"/>
      <c r="GJ76" s="17"/>
      <c r="GK76" s="17"/>
      <c r="GL76" s="17"/>
      <c r="GM76" s="17"/>
      <c r="GN76" s="17"/>
      <c r="GO76" s="17"/>
      <c r="GP76" s="17"/>
      <c r="GQ76" s="17"/>
      <c r="GR76" s="17"/>
      <c r="GS76" s="17"/>
      <c r="GT76" s="17"/>
      <c r="GU76" s="17"/>
      <c r="GV76" s="17"/>
      <c r="GW76" s="17"/>
      <c r="GX76" s="17"/>
      <c r="GY76" s="17"/>
      <c r="GZ76" s="17"/>
      <c r="HA76" s="17"/>
      <c r="HB76" s="17"/>
      <c r="HC76" s="17"/>
      <c r="HD76" s="17"/>
      <c r="HE76" s="17"/>
      <c r="HF76" s="17"/>
      <c r="HG76" s="17"/>
      <c r="HH76" s="17"/>
      <c r="HI76" s="17"/>
      <c r="HJ76" s="17"/>
      <c r="HK76" s="17"/>
      <c r="HL76" s="17"/>
      <c r="HM76" s="17"/>
      <c r="HN76" s="17"/>
      <c r="HO76" s="17"/>
      <c r="HP76" s="17"/>
      <c r="HQ76" s="17"/>
      <c r="HR76" s="17"/>
      <c r="HS76" s="17"/>
      <c r="HT76" s="17"/>
      <c r="HU76" s="17"/>
      <c r="HV76" s="17"/>
      <c r="HW76" s="17"/>
      <c r="HX76" s="17"/>
      <c r="HY76" s="17"/>
      <c r="HZ76" s="17"/>
      <c r="IA76" s="17"/>
      <c r="IB76" s="17"/>
      <c r="IC76" s="17"/>
      <c r="ID76" s="17"/>
      <c r="IE76" s="17"/>
      <c r="IF76" s="17"/>
      <c r="IG76" s="17"/>
    </row>
    <row r="77" spans="1:241" ht="16.5" customHeight="1" x14ac:dyDescent="0.25">
      <c r="A77" s="41">
        <v>70</v>
      </c>
      <c r="B77" s="42" t="s">
        <v>160</v>
      </c>
      <c r="C77" s="42" t="s">
        <v>23</v>
      </c>
      <c r="D77" s="65"/>
      <c r="E77" s="65"/>
      <c r="F77" s="65">
        <v>10295233129.309999</v>
      </c>
      <c r="G77" s="65">
        <v>22488306216.52</v>
      </c>
      <c r="H77" s="65"/>
      <c r="I77" s="65"/>
      <c r="J77" s="65">
        <v>32783539345.830002</v>
      </c>
      <c r="K77" s="65">
        <v>45369906.630000003</v>
      </c>
      <c r="L77" s="65">
        <v>45369906.630000003</v>
      </c>
      <c r="M77" s="65">
        <v>243367779.63</v>
      </c>
      <c r="N77" s="65">
        <v>33626650130.209999</v>
      </c>
      <c r="O77" s="65">
        <v>102711226.94</v>
      </c>
      <c r="P77" s="73">
        <v>32236269662.599998</v>
      </c>
      <c r="Q77" s="50">
        <f t="shared" si="23"/>
        <v>8.0215069607065356E-2</v>
      </c>
      <c r="R77" s="73">
        <v>33523938903.27</v>
      </c>
      <c r="S77" s="50">
        <f t="shared" si="24"/>
        <v>8.5274130543643495E-2</v>
      </c>
      <c r="T77" s="51">
        <f t="shared" si="25"/>
        <v>3.9944734739700206E-2</v>
      </c>
      <c r="U77" s="52">
        <f t="shared" si="30"/>
        <v>1.3533584690304551E-3</v>
      </c>
      <c r="V77" s="53">
        <f t="shared" si="27"/>
        <v>7.2595222277493576E-3</v>
      </c>
      <c r="W77" s="54">
        <f>R77/AE77</f>
        <v>111.83133796773501</v>
      </c>
      <c r="X77" s="54">
        <f>M77/AE77</f>
        <v>0.81184208373572297</v>
      </c>
      <c r="Y77" s="101">
        <v>111.83</v>
      </c>
      <c r="Z77" s="101">
        <v>111.83</v>
      </c>
      <c r="AA77" s="62">
        <v>3785</v>
      </c>
      <c r="AB77" s="55">
        <v>290406625.5</v>
      </c>
      <c r="AC77" s="55">
        <v>34688026.609999999</v>
      </c>
      <c r="AD77" s="55">
        <v>25322338.620000001</v>
      </c>
      <c r="AE77" s="45">
        <v>299772313.49000001</v>
      </c>
      <c r="AF77" s="5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L77" s="17"/>
      <c r="BM77" s="17"/>
      <c r="BN77" s="17"/>
      <c r="BO77" s="17"/>
      <c r="BP77" s="17"/>
      <c r="BQ77" s="17"/>
      <c r="BR77" s="17"/>
      <c r="BS77" s="17"/>
      <c r="BT77" s="17"/>
      <c r="BU77" s="17"/>
      <c r="BV77" s="17"/>
      <c r="BW77" s="17"/>
      <c r="BX77" s="17"/>
      <c r="BY77" s="17"/>
      <c r="BZ77" s="17"/>
      <c r="CA77" s="17"/>
      <c r="CB77" s="17"/>
      <c r="CC77" s="17"/>
      <c r="CD77" s="17"/>
      <c r="CE77" s="17"/>
      <c r="CF77" s="17"/>
      <c r="CG77" s="17"/>
      <c r="CH77" s="17"/>
      <c r="CI77" s="17"/>
      <c r="CJ77" s="17"/>
      <c r="CK77" s="17"/>
      <c r="CL77" s="17"/>
      <c r="CM77" s="17"/>
      <c r="CN77" s="17"/>
      <c r="CO77" s="17"/>
      <c r="CP77" s="17"/>
      <c r="CQ77" s="17"/>
      <c r="CR77" s="17"/>
      <c r="CS77" s="17"/>
      <c r="CT77" s="17"/>
      <c r="CU77" s="17"/>
      <c r="CV77" s="17"/>
      <c r="CW77" s="17"/>
      <c r="CX77" s="17"/>
      <c r="CY77" s="17"/>
      <c r="CZ77" s="17"/>
      <c r="DA77" s="17"/>
      <c r="DB77" s="17"/>
      <c r="DC77" s="17"/>
      <c r="DD77" s="17"/>
      <c r="DE77" s="17"/>
      <c r="DF77" s="17"/>
      <c r="DG77" s="17"/>
      <c r="DH77" s="17"/>
      <c r="DI77" s="17"/>
      <c r="DJ77" s="17"/>
      <c r="DK77" s="17"/>
      <c r="DL77" s="17"/>
      <c r="DM77" s="17"/>
      <c r="DN77" s="17"/>
      <c r="DO77" s="17"/>
      <c r="DP77" s="17"/>
      <c r="DQ77" s="17"/>
      <c r="DR77" s="17"/>
      <c r="DS77" s="17"/>
      <c r="DT77" s="17"/>
      <c r="DU77" s="17"/>
      <c r="DV77" s="17"/>
      <c r="DW77" s="17"/>
      <c r="DX77" s="17"/>
      <c r="DY77" s="17"/>
      <c r="DZ77" s="17"/>
      <c r="EA77" s="17"/>
      <c r="EB77" s="17"/>
      <c r="EC77" s="17"/>
      <c r="ED77" s="17"/>
      <c r="EE77" s="17"/>
      <c r="EF77" s="17"/>
      <c r="EG77" s="17"/>
      <c r="EH77" s="17"/>
      <c r="EI77" s="17"/>
      <c r="EJ77" s="17"/>
      <c r="EK77" s="17"/>
      <c r="EL77" s="17"/>
      <c r="EM77" s="17"/>
      <c r="EN77" s="17"/>
      <c r="EO77" s="17"/>
      <c r="EP77" s="17"/>
      <c r="EQ77" s="17"/>
      <c r="ER77" s="17"/>
      <c r="ES77" s="17"/>
      <c r="ET77" s="17"/>
      <c r="EU77" s="17"/>
      <c r="EV77" s="17"/>
      <c r="EW77" s="17"/>
      <c r="EX77" s="17"/>
      <c r="EY77" s="17"/>
      <c r="EZ77" s="17"/>
      <c r="FA77" s="17"/>
      <c r="FB77" s="17"/>
      <c r="FC77" s="17"/>
      <c r="FD77" s="17"/>
      <c r="FE77" s="17"/>
      <c r="FF77" s="17"/>
      <c r="FG77" s="17"/>
      <c r="FH77" s="17"/>
      <c r="FI77" s="17"/>
      <c r="FJ77" s="17"/>
      <c r="FK77" s="17"/>
      <c r="FL77" s="17"/>
      <c r="FM77" s="17"/>
      <c r="FN77" s="17"/>
      <c r="FO77" s="17"/>
      <c r="FP77" s="17"/>
      <c r="FQ77" s="17"/>
      <c r="FR77" s="17"/>
      <c r="FS77" s="17"/>
      <c r="FT77" s="17"/>
      <c r="FU77" s="17"/>
      <c r="FV77" s="17"/>
      <c r="FW77" s="17"/>
      <c r="FX77" s="17"/>
      <c r="FY77" s="17"/>
      <c r="FZ77" s="17"/>
      <c r="GA77" s="17"/>
      <c r="GB77" s="17"/>
      <c r="GC77" s="17"/>
      <c r="GD77" s="17"/>
      <c r="GE77" s="17"/>
      <c r="GF77" s="17"/>
      <c r="GG77" s="17"/>
      <c r="GH77" s="17"/>
      <c r="GI77" s="17"/>
      <c r="GJ77" s="17"/>
      <c r="GK77" s="17"/>
      <c r="GL77" s="17"/>
      <c r="GM77" s="17"/>
      <c r="GN77" s="17"/>
      <c r="GO77" s="17"/>
      <c r="GP77" s="17"/>
      <c r="GQ77" s="17"/>
      <c r="GR77" s="17"/>
      <c r="GS77" s="17"/>
      <c r="GT77" s="17"/>
      <c r="GU77" s="17"/>
      <c r="GV77" s="17"/>
      <c r="GW77" s="17"/>
      <c r="GX77" s="17"/>
      <c r="GY77" s="17"/>
      <c r="GZ77" s="17"/>
      <c r="HA77" s="17"/>
      <c r="HB77" s="17"/>
      <c r="HC77" s="17"/>
      <c r="HD77" s="17"/>
      <c r="HE77" s="17"/>
      <c r="HF77" s="17"/>
      <c r="HG77" s="17"/>
      <c r="HH77" s="17"/>
      <c r="HI77" s="17"/>
      <c r="HJ77" s="17"/>
      <c r="HK77" s="17"/>
      <c r="HL77" s="17"/>
      <c r="HM77" s="17"/>
      <c r="HN77" s="17"/>
      <c r="HO77" s="17"/>
      <c r="HP77" s="17"/>
      <c r="HQ77" s="17"/>
      <c r="HR77" s="17"/>
      <c r="HS77" s="17"/>
      <c r="HT77" s="17"/>
      <c r="HU77" s="17"/>
      <c r="HV77" s="17"/>
      <c r="HW77" s="17"/>
      <c r="HX77" s="17"/>
      <c r="HY77" s="17"/>
      <c r="HZ77" s="17"/>
      <c r="IA77" s="17"/>
      <c r="IB77" s="17"/>
      <c r="IC77" s="17"/>
      <c r="ID77" s="17"/>
      <c r="IE77" s="17"/>
      <c r="IF77" s="17"/>
      <c r="IG77" s="17"/>
    </row>
    <row r="78" spans="1:241" ht="16.5" customHeight="1" x14ac:dyDescent="0.25">
      <c r="A78" s="41">
        <v>71</v>
      </c>
      <c r="B78" s="42" t="s">
        <v>102</v>
      </c>
      <c r="C78" s="42" t="s">
        <v>23</v>
      </c>
      <c r="D78" s="65">
        <v>27155819.649999999</v>
      </c>
      <c r="E78" s="65"/>
      <c r="F78" s="65">
        <v>2633916243.3099999</v>
      </c>
      <c r="G78" s="65">
        <v>15978966250.299999</v>
      </c>
      <c r="H78" s="65"/>
      <c r="I78" s="65"/>
      <c r="J78" s="65">
        <v>18612882493.610001</v>
      </c>
      <c r="K78" s="65">
        <v>147687569.03999999</v>
      </c>
      <c r="L78" s="65">
        <v>34495485.25</v>
      </c>
      <c r="M78" s="47">
        <v>113552083.79000001</v>
      </c>
      <c r="N78" s="65">
        <v>19241066281.720001</v>
      </c>
      <c r="O78" s="65">
        <v>169786748.40000001</v>
      </c>
      <c r="P78" s="73">
        <v>20406918313.720001</v>
      </c>
      <c r="Q78" s="50">
        <f t="shared" si="23"/>
        <v>5.077952226277288E-2</v>
      </c>
      <c r="R78" s="73">
        <v>19071279533.32</v>
      </c>
      <c r="S78" s="50">
        <f t="shared" si="24"/>
        <v>4.8511208222015177E-2</v>
      </c>
      <c r="T78" s="51">
        <f t="shared" si="25"/>
        <v>-6.5450292879450755E-2</v>
      </c>
      <c r="U78" s="52">
        <f t="shared" si="30"/>
        <v>1.8087661706039132E-3</v>
      </c>
      <c r="V78" s="53">
        <f t="shared" si="27"/>
        <v>5.9540883762733265E-3</v>
      </c>
      <c r="W78" s="54">
        <f>R78/AE78</f>
        <v>325.34895582814102</v>
      </c>
      <c r="X78" s="54">
        <f>M78/AE78</f>
        <v>1.9371564361289986</v>
      </c>
      <c r="Y78" s="101">
        <v>325.33999999999997</v>
      </c>
      <c r="Z78" s="101">
        <v>325.35000000000002</v>
      </c>
      <c r="AA78" s="55">
        <v>9919</v>
      </c>
      <c r="AB78" s="55">
        <v>63085979.649999999</v>
      </c>
      <c r="AC78" s="55">
        <v>1691207.22</v>
      </c>
      <c r="AD78" s="55">
        <v>6159265.4299999997</v>
      </c>
      <c r="AE78" s="45">
        <v>58617921.439999998</v>
      </c>
      <c r="AF78" s="5"/>
    </row>
    <row r="79" spans="1:241" ht="16.5" customHeight="1" x14ac:dyDescent="0.25">
      <c r="A79" s="41">
        <v>72</v>
      </c>
      <c r="B79" s="42" t="s">
        <v>99</v>
      </c>
      <c r="C79" s="42" t="s">
        <v>33</v>
      </c>
      <c r="D79" s="65"/>
      <c r="E79" s="65"/>
      <c r="F79" s="65">
        <f>3188371548+13794575839</f>
        <v>16982947387</v>
      </c>
      <c r="G79" s="65">
        <v>89264896213</v>
      </c>
      <c r="H79" s="65"/>
      <c r="I79" s="65"/>
      <c r="J79" s="65">
        <f>F79+G79</f>
        <v>106247843600</v>
      </c>
      <c r="K79" s="65">
        <v>792670063</v>
      </c>
      <c r="L79" s="65">
        <v>174901878</v>
      </c>
      <c r="M79" s="47">
        <v>617768185</v>
      </c>
      <c r="N79" s="65">
        <v>106445707409.85001</v>
      </c>
      <c r="O79" s="65">
        <v>776410211.64999998</v>
      </c>
      <c r="P79" s="73">
        <v>107510895129</v>
      </c>
      <c r="Q79" s="50">
        <f t="shared" si="23"/>
        <v>0.26752456244327977</v>
      </c>
      <c r="R79" s="73">
        <v>105669297198</v>
      </c>
      <c r="S79" s="50">
        <f t="shared" si="24"/>
        <v>0.26878874435719646</v>
      </c>
      <c r="T79" s="51">
        <f t="shared" si="25"/>
        <v>-1.7129407478100767E-2</v>
      </c>
      <c r="U79" s="52">
        <f t="shared" si="30"/>
        <v>1.6551816150747558E-3</v>
      </c>
      <c r="V79" s="53">
        <f t="shared" si="27"/>
        <v>5.8462410688929281E-3</v>
      </c>
      <c r="W79" s="54">
        <f>R79/AE79</f>
        <v>1.8978399529040744</v>
      </c>
      <c r="X79" s="54">
        <f>M79/AE79</f>
        <v>1.109522987485362E-2</v>
      </c>
      <c r="Y79" s="101">
        <v>1.9</v>
      </c>
      <c r="Z79" s="101">
        <v>1.9</v>
      </c>
      <c r="AA79" s="55">
        <v>2775</v>
      </c>
      <c r="AB79" s="55">
        <v>56438650817</v>
      </c>
      <c r="AC79" s="55">
        <v>125729000</v>
      </c>
      <c r="AD79" s="55">
        <v>885660947</v>
      </c>
      <c r="AE79" s="45">
        <v>55678718870</v>
      </c>
      <c r="AF79" s="5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7"/>
      <c r="BR79" s="17"/>
      <c r="BS79" s="17"/>
      <c r="BT79" s="17"/>
      <c r="BU79" s="17"/>
      <c r="BV79" s="17"/>
      <c r="BW79" s="17"/>
      <c r="BX79" s="17"/>
      <c r="BY79" s="17"/>
      <c r="BZ79" s="17"/>
      <c r="CA79" s="17"/>
      <c r="CB79" s="17"/>
      <c r="CC79" s="17"/>
      <c r="CD79" s="17"/>
      <c r="CE79" s="17"/>
      <c r="CF79" s="17"/>
      <c r="CG79" s="17"/>
      <c r="CH79" s="17"/>
      <c r="CI79" s="17"/>
      <c r="CJ79" s="17"/>
      <c r="CK79" s="17"/>
      <c r="CL79" s="17"/>
      <c r="CM79" s="17"/>
      <c r="CN79" s="17"/>
      <c r="CO79" s="17"/>
      <c r="CP79" s="17"/>
      <c r="CQ79" s="17"/>
      <c r="CR79" s="17"/>
      <c r="CS79" s="17"/>
      <c r="CT79" s="17"/>
      <c r="CU79" s="17"/>
      <c r="CV79" s="17"/>
      <c r="CW79" s="17"/>
      <c r="CX79" s="17"/>
      <c r="CY79" s="17"/>
      <c r="CZ79" s="17"/>
      <c r="DA79" s="17"/>
      <c r="DB79" s="17"/>
      <c r="DC79" s="17"/>
      <c r="DD79" s="17"/>
      <c r="DE79" s="17"/>
      <c r="DF79" s="17"/>
      <c r="DG79" s="17"/>
      <c r="DH79" s="17"/>
      <c r="DI79" s="17"/>
      <c r="DJ79" s="17"/>
      <c r="DK79" s="17"/>
      <c r="DL79" s="17"/>
      <c r="DM79" s="17"/>
      <c r="DN79" s="17"/>
      <c r="DO79" s="17"/>
      <c r="DP79" s="17"/>
      <c r="DQ79" s="17"/>
      <c r="DR79" s="17"/>
      <c r="DS79" s="17"/>
      <c r="DT79" s="17"/>
      <c r="DU79" s="17"/>
      <c r="DV79" s="17"/>
      <c r="DW79" s="17"/>
      <c r="DX79" s="17"/>
      <c r="DY79" s="17"/>
      <c r="DZ79" s="17"/>
      <c r="EA79" s="17"/>
      <c r="EB79" s="17"/>
      <c r="EC79" s="17"/>
      <c r="ED79" s="17"/>
      <c r="EE79" s="17"/>
      <c r="EF79" s="17"/>
      <c r="EG79" s="17"/>
      <c r="EH79" s="17"/>
      <c r="EI79" s="17"/>
      <c r="EJ79" s="17"/>
      <c r="EK79" s="17"/>
      <c r="EL79" s="17"/>
      <c r="EM79" s="17"/>
      <c r="EN79" s="17"/>
      <c r="EO79" s="17"/>
      <c r="EP79" s="17"/>
      <c r="EQ79" s="17"/>
      <c r="ER79" s="17"/>
      <c r="ES79" s="17"/>
      <c r="ET79" s="17"/>
      <c r="EU79" s="17"/>
      <c r="EV79" s="17"/>
      <c r="EW79" s="17"/>
      <c r="EX79" s="17"/>
      <c r="EY79" s="17"/>
      <c r="EZ79" s="17"/>
      <c r="FA79" s="17"/>
      <c r="FB79" s="17"/>
      <c r="FC79" s="17"/>
      <c r="FD79" s="17"/>
      <c r="FE79" s="17"/>
      <c r="FF79" s="17"/>
      <c r="FG79" s="17"/>
      <c r="FH79" s="17"/>
      <c r="FI79" s="17"/>
      <c r="FJ79" s="17"/>
      <c r="FK79" s="17"/>
      <c r="FL79" s="17"/>
      <c r="FM79" s="17"/>
      <c r="FN79" s="17"/>
      <c r="FO79" s="17"/>
      <c r="FP79" s="17"/>
      <c r="FQ79" s="17"/>
      <c r="FR79" s="17"/>
      <c r="FS79" s="17"/>
      <c r="FT79" s="17"/>
      <c r="FU79" s="17"/>
      <c r="FV79" s="17"/>
      <c r="FW79" s="17"/>
      <c r="FX79" s="17"/>
      <c r="FY79" s="17"/>
      <c r="FZ79" s="17"/>
      <c r="GA79" s="17"/>
      <c r="GB79" s="17"/>
      <c r="GC79" s="17"/>
      <c r="GD79" s="17"/>
      <c r="GE79" s="17"/>
      <c r="GF79" s="17"/>
      <c r="GG79" s="17"/>
      <c r="GH79" s="17"/>
      <c r="GI79" s="17"/>
      <c r="GJ79" s="17"/>
      <c r="GK79" s="17"/>
      <c r="GL79" s="17"/>
      <c r="GM79" s="17"/>
      <c r="GN79" s="17"/>
      <c r="GO79" s="17"/>
      <c r="GP79" s="17"/>
      <c r="GQ79" s="17"/>
      <c r="GR79" s="17"/>
      <c r="GS79" s="17"/>
      <c r="GT79" s="17"/>
      <c r="GU79" s="17"/>
      <c r="GV79" s="17"/>
      <c r="GW79" s="17"/>
      <c r="GX79" s="17"/>
      <c r="GY79" s="17"/>
      <c r="GZ79" s="17"/>
      <c r="HA79" s="17"/>
      <c r="HB79" s="17"/>
      <c r="HC79" s="17"/>
      <c r="HD79" s="17"/>
      <c r="HE79" s="17"/>
      <c r="HF79" s="17"/>
      <c r="HG79" s="17"/>
      <c r="HH79" s="17"/>
      <c r="HI79" s="17"/>
      <c r="HJ79" s="17"/>
      <c r="HK79" s="17"/>
      <c r="HL79" s="17"/>
      <c r="HM79" s="17"/>
      <c r="HN79" s="17"/>
      <c r="HO79" s="17"/>
      <c r="HP79" s="17"/>
      <c r="HQ79" s="17"/>
      <c r="HR79" s="17"/>
      <c r="HS79" s="17"/>
      <c r="HT79" s="17"/>
      <c r="HU79" s="17"/>
      <c r="HV79" s="17"/>
      <c r="HW79" s="17"/>
      <c r="HX79" s="17"/>
      <c r="HY79" s="17"/>
      <c r="HZ79" s="17"/>
      <c r="IA79" s="17"/>
      <c r="IB79" s="17"/>
      <c r="IC79" s="17"/>
      <c r="ID79" s="17"/>
      <c r="IE79" s="17"/>
      <c r="IF79" s="17"/>
      <c r="IG79" s="17"/>
    </row>
    <row r="80" spans="1:241" ht="16.5" customHeight="1" x14ac:dyDescent="0.25">
      <c r="A80" s="41">
        <v>73</v>
      </c>
      <c r="B80" s="92" t="s">
        <v>100</v>
      </c>
      <c r="C80" s="42" t="s">
        <v>44</v>
      </c>
      <c r="D80" s="65">
        <v>35324098.75</v>
      </c>
      <c r="E80" s="65"/>
      <c r="F80" s="65">
        <v>493459435.64999998</v>
      </c>
      <c r="G80" s="65">
        <v>9672134393.7099991</v>
      </c>
      <c r="H80" s="65"/>
      <c r="I80" s="65"/>
      <c r="J80" s="65">
        <v>10200917928.110001</v>
      </c>
      <c r="K80" s="65">
        <v>55151178.82</v>
      </c>
      <c r="L80" s="65">
        <v>2509762.17</v>
      </c>
      <c r="M80" s="47">
        <v>51464427.899999999</v>
      </c>
      <c r="N80" s="65">
        <v>10214142575.09</v>
      </c>
      <c r="O80" s="65">
        <v>656493559.91999996</v>
      </c>
      <c r="P80" s="73">
        <v>9694876552.5</v>
      </c>
      <c r="Q80" s="50">
        <f t="shared" si="23"/>
        <v>2.4124230428340769E-2</v>
      </c>
      <c r="R80" s="73">
        <v>9557649015.1800003</v>
      </c>
      <c r="S80" s="50">
        <f t="shared" si="24"/>
        <v>2.4311588568468788E-2</v>
      </c>
      <c r="T80" s="51">
        <f t="shared" si="25"/>
        <v>-1.4154645144461698E-2</v>
      </c>
      <c r="U80" s="52">
        <f t="shared" si="30"/>
        <v>2.6259199997968679E-4</v>
      </c>
      <c r="V80" s="53">
        <f t="shared" si="27"/>
        <v>5.3846325407285074E-3</v>
      </c>
      <c r="W80" s="54">
        <f>R80/AE80</f>
        <v>1.0000000000188332</v>
      </c>
      <c r="X80" s="54">
        <f>M80/AE80</f>
        <v>5.3846325408299167E-3</v>
      </c>
      <c r="Y80" s="101">
        <v>1</v>
      </c>
      <c r="Z80" s="101">
        <v>1</v>
      </c>
      <c r="AA80" s="55">
        <v>4427</v>
      </c>
      <c r="AB80" s="55">
        <v>9694876552.5</v>
      </c>
      <c r="AC80" s="55">
        <v>21550750.52</v>
      </c>
      <c r="AD80" s="55">
        <v>158778287.84999999</v>
      </c>
      <c r="AE80" s="45">
        <v>9557649015</v>
      </c>
      <c r="AF80" s="5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7"/>
      <c r="BR80" s="17"/>
      <c r="BS80" s="17"/>
      <c r="BT80" s="17"/>
      <c r="BU80" s="17"/>
      <c r="BV80" s="17"/>
      <c r="BW80" s="17"/>
      <c r="BX80" s="17"/>
      <c r="BY80" s="17"/>
      <c r="BZ80" s="17"/>
      <c r="CA80" s="17"/>
      <c r="CB80" s="17"/>
      <c r="CC80" s="17"/>
      <c r="CD80" s="17"/>
      <c r="CE80" s="17"/>
      <c r="CF80" s="17"/>
      <c r="CG80" s="17"/>
      <c r="CH80" s="17"/>
      <c r="CI80" s="17"/>
      <c r="CJ80" s="17"/>
      <c r="CK80" s="17"/>
      <c r="CL80" s="17"/>
      <c r="CM80" s="17"/>
      <c r="CN80" s="17"/>
      <c r="CO80" s="17"/>
      <c r="CP80" s="17"/>
      <c r="CQ80" s="17"/>
      <c r="CR80" s="17"/>
      <c r="CS80" s="17"/>
      <c r="CT80" s="17"/>
      <c r="CU80" s="17"/>
      <c r="CV80" s="17"/>
      <c r="CW80" s="17"/>
      <c r="CX80" s="17"/>
      <c r="CY80" s="17"/>
      <c r="CZ80" s="17"/>
      <c r="DA80" s="17"/>
      <c r="DB80" s="17"/>
      <c r="DC80" s="17"/>
      <c r="DD80" s="17"/>
      <c r="DE80" s="17"/>
      <c r="DF80" s="17"/>
      <c r="DG80" s="17"/>
      <c r="DH80" s="17"/>
      <c r="DI80" s="17"/>
      <c r="DJ80" s="17"/>
      <c r="DK80" s="17"/>
      <c r="DL80" s="17"/>
      <c r="DM80" s="17"/>
      <c r="DN80" s="17"/>
      <c r="DO80" s="17"/>
      <c r="DP80" s="17"/>
      <c r="DQ80" s="17"/>
      <c r="DR80" s="17"/>
      <c r="DS80" s="17"/>
      <c r="DT80" s="17"/>
      <c r="DU80" s="17"/>
      <c r="DV80" s="17"/>
      <c r="DW80" s="17"/>
      <c r="DX80" s="17"/>
      <c r="DY80" s="17"/>
      <c r="DZ80" s="17"/>
      <c r="EA80" s="17"/>
      <c r="EB80" s="17"/>
      <c r="EC80" s="17"/>
      <c r="ED80" s="17"/>
      <c r="EE80" s="17"/>
      <c r="EF80" s="17"/>
      <c r="EG80" s="17"/>
      <c r="EH80" s="17"/>
      <c r="EI80" s="17"/>
      <c r="EJ80" s="17"/>
      <c r="EK80" s="17"/>
      <c r="EL80" s="17"/>
      <c r="EM80" s="17"/>
      <c r="EN80" s="17"/>
      <c r="EO80" s="17"/>
      <c r="EP80" s="17"/>
      <c r="EQ80" s="17"/>
      <c r="ER80" s="17"/>
      <c r="ES80" s="17"/>
      <c r="ET80" s="17"/>
      <c r="EU80" s="17"/>
      <c r="EV80" s="17"/>
      <c r="EW80" s="17"/>
      <c r="EX80" s="17"/>
      <c r="EY80" s="17"/>
      <c r="EZ80" s="17"/>
      <c r="FA80" s="17"/>
      <c r="FB80" s="17"/>
      <c r="FC80" s="17"/>
      <c r="FD80" s="17"/>
      <c r="FE80" s="17"/>
      <c r="FF80" s="17"/>
      <c r="FG80" s="17"/>
      <c r="FH80" s="17"/>
      <c r="FI80" s="17"/>
      <c r="FJ80" s="17"/>
      <c r="FK80" s="17"/>
      <c r="FL80" s="17"/>
      <c r="FM80" s="17"/>
      <c r="FN80" s="17"/>
      <c r="FO80" s="17"/>
      <c r="FP80" s="17"/>
      <c r="FQ80" s="17"/>
      <c r="FR80" s="17"/>
      <c r="FS80" s="17"/>
      <c r="FT80" s="17"/>
      <c r="FU80" s="17"/>
      <c r="FV80" s="17"/>
      <c r="FW80" s="17"/>
      <c r="FX80" s="17"/>
      <c r="FY80" s="17"/>
      <c r="FZ80" s="17"/>
      <c r="GA80" s="17"/>
      <c r="GB80" s="17"/>
      <c r="GC80" s="17"/>
      <c r="GD80" s="17"/>
      <c r="GE80" s="17"/>
      <c r="GF80" s="17"/>
      <c r="GG80" s="17"/>
      <c r="GH80" s="17"/>
      <c r="GI80" s="17"/>
      <c r="GJ80" s="17"/>
      <c r="GK80" s="17"/>
      <c r="GL80" s="17"/>
      <c r="GM80" s="17"/>
      <c r="GN80" s="17"/>
      <c r="GO80" s="17"/>
      <c r="GP80" s="17"/>
      <c r="GQ80" s="17"/>
      <c r="GR80" s="17"/>
      <c r="GS80" s="17"/>
      <c r="GT80" s="17"/>
      <c r="GU80" s="17"/>
      <c r="GV80" s="17"/>
      <c r="GW80" s="17"/>
      <c r="GX80" s="17"/>
      <c r="GY80" s="17"/>
      <c r="GZ80" s="17"/>
      <c r="HA80" s="17"/>
      <c r="HB80" s="17"/>
      <c r="HC80" s="17"/>
      <c r="HD80" s="17"/>
      <c r="HE80" s="17"/>
      <c r="HF80" s="17"/>
      <c r="HG80" s="17"/>
      <c r="HH80" s="17"/>
      <c r="HI80" s="17"/>
      <c r="HJ80" s="17"/>
      <c r="HK80" s="17"/>
      <c r="HL80" s="17"/>
      <c r="HM80" s="17"/>
      <c r="HN80" s="17"/>
      <c r="HO80" s="17"/>
      <c r="HP80" s="17"/>
      <c r="HQ80" s="17"/>
      <c r="HR80" s="17"/>
      <c r="HS80" s="17"/>
      <c r="HT80" s="17"/>
      <c r="HU80" s="17"/>
      <c r="HV80" s="17"/>
      <c r="HW80" s="17"/>
      <c r="HX80" s="17"/>
      <c r="HY80" s="17"/>
      <c r="HZ80" s="17"/>
      <c r="IA80" s="17"/>
      <c r="IB80" s="17"/>
      <c r="IC80" s="17"/>
      <c r="ID80" s="17"/>
      <c r="IE80" s="17"/>
      <c r="IF80" s="17"/>
      <c r="IG80" s="17"/>
    </row>
    <row r="81" spans="1:241" ht="16.5" customHeight="1" x14ac:dyDescent="0.25">
      <c r="A81" s="41">
        <v>74</v>
      </c>
      <c r="B81" s="56" t="s">
        <v>111</v>
      </c>
      <c r="C81" s="56" t="s">
        <v>74</v>
      </c>
      <c r="D81" s="65"/>
      <c r="E81" s="65"/>
      <c r="F81" s="65">
        <v>795948170.24000001</v>
      </c>
      <c r="G81" s="65">
        <v>2949544780.1999998</v>
      </c>
      <c r="H81" s="65"/>
      <c r="I81" s="65"/>
      <c r="J81" s="65">
        <v>3745492950.4400001</v>
      </c>
      <c r="K81" s="65">
        <v>30211963.809999999</v>
      </c>
      <c r="L81" s="65">
        <v>6646519.3300000001</v>
      </c>
      <c r="M81" s="47">
        <v>23565444.48</v>
      </c>
      <c r="N81" s="65">
        <v>3757442679.3000002</v>
      </c>
      <c r="O81" s="65">
        <v>11881039.51</v>
      </c>
      <c r="P81" s="73">
        <v>3861192748.8099999</v>
      </c>
      <c r="Q81" s="50">
        <f t="shared" si="23"/>
        <v>9.607992747108364E-3</v>
      </c>
      <c r="R81" s="73">
        <v>3745561639.79</v>
      </c>
      <c r="S81" s="50">
        <f t="shared" si="24"/>
        <v>9.527505498453253E-3</v>
      </c>
      <c r="T81" s="51">
        <f t="shared" si="25"/>
        <v>-2.994699217117221E-2</v>
      </c>
      <c r="U81" s="52">
        <f t="shared" si="30"/>
        <v>1.7745053931011122E-3</v>
      </c>
      <c r="V81" s="53">
        <f t="shared" si="27"/>
        <v>6.2915649897891494E-3</v>
      </c>
      <c r="W81" s="54">
        <f>R81/AE81</f>
        <v>23.064444397912499</v>
      </c>
      <c r="X81" s="54">
        <f>M81/AE81</f>
        <v>0.14511145088284474</v>
      </c>
      <c r="Y81" s="101">
        <v>23.064599999999999</v>
      </c>
      <c r="Z81" s="101">
        <v>23.064599999999999</v>
      </c>
      <c r="AA81" s="55">
        <v>1372</v>
      </c>
      <c r="AB81" s="55">
        <v>168631560.13</v>
      </c>
      <c r="AC81" s="55">
        <v>379952.44</v>
      </c>
      <c r="AD81" s="55">
        <v>6616027.3300000001</v>
      </c>
      <c r="AE81" s="45">
        <v>162395485.24000001</v>
      </c>
      <c r="AF81" s="5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L81" s="17"/>
      <c r="BM81" s="17"/>
      <c r="BN81" s="17"/>
      <c r="BO81" s="17"/>
      <c r="BP81" s="17"/>
      <c r="BQ81" s="17"/>
      <c r="BR81" s="17"/>
      <c r="BS81" s="17"/>
      <c r="BT81" s="17"/>
      <c r="BU81" s="17"/>
      <c r="BV81" s="17"/>
      <c r="BW81" s="17"/>
      <c r="BX81" s="17"/>
      <c r="BY81" s="17"/>
      <c r="BZ81" s="17"/>
      <c r="CA81" s="17"/>
      <c r="CB81" s="17"/>
      <c r="CC81" s="17"/>
      <c r="CD81" s="17"/>
      <c r="CE81" s="17"/>
      <c r="CF81" s="17"/>
      <c r="CG81" s="17"/>
      <c r="CH81" s="17"/>
      <c r="CI81" s="17"/>
      <c r="CJ81" s="17"/>
      <c r="CK81" s="17"/>
      <c r="CL81" s="17"/>
      <c r="CM81" s="17"/>
      <c r="CN81" s="17"/>
      <c r="CO81" s="17"/>
      <c r="CP81" s="17"/>
      <c r="CQ81" s="17"/>
      <c r="CR81" s="17"/>
      <c r="CS81" s="17"/>
      <c r="CT81" s="17"/>
      <c r="CU81" s="17"/>
      <c r="CV81" s="17"/>
      <c r="CW81" s="17"/>
      <c r="CX81" s="17"/>
      <c r="CY81" s="17"/>
      <c r="CZ81" s="17"/>
      <c r="DA81" s="17"/>
      <c r="DB81" s="17"/>
      <c r="DC81" s="17"/>
      <c r="DD81" s="17"/>
      <c r="DE81" s="17"/>
      <c r="DF81" s="17"/>
      <c r="DG81" s="17"/>
      <c r="DH81" s="17"/>
      <c r="DI81" s="17"/>
      <c r="DJ81" s="17"/>
      <c r="DK81" s="17"/>
      <c r="DL81" s="17"/>
      <c r="DM81" s="17"/>
      <c r="DN81" s="17"/>
      <c r="DO81" s="17"/>
      <c r="DP81" s="17"/>
      <c r="DQ81" s="17"/>
      <c r="DR81" s="17"/>
      <c r="DS81" s="17"/>
      <c r="DT81" s="17"/>
      <c r="DU81" s="17"/>
      <c r="DV81" s="17"/>
      <c r="DW81" s="17"/>
      <c r="DX81" s="17"/>
      <c r="DY81" s="17"/>
      <c r="DZ81" s="17"/>
      <c r="EA81" s="17"/>
      <c r="EB81" s="17"/>
      <c r="EC81" s="17"/>
      <c r="ED81" s="17"/>
      <c r="EE81" s="17"/>
      <c r="EF81" s="17"/>
      <c r="EG81" s="17"/>
      <c r="EH81" s="17"/>
      <c r="EI81" s="17"/>
      <c r="EJ81" s="17"/>
      <c r="EK81" s="17"/>
      <c r="EL81" s="17"/>
      <c r="EM81" s="17"/>
      <c r="EN81" s="17"/>
      <c r="EO81" s="17"/>
      <c r="EP81" s="17"/>
      <c r="EQ81" s="17"/>
      <c r="ER81" s="17"/>
      <c r="ES81" s="17"/>
      <c r="ET81" s="17"/>
      <c r="EU81" s="17"/>
      <c r="EV81" s="17"/>
      <c r="EW81" s="17"/>
      <c r="EX81" s="17"/>
      <c r="EY81" s="17"/>
      <c r="EZ81" s="17"/>
      <c r="FA81" s="17"/>
      <c r="FB81" s="17"/>
      <c r="FC81" s="17"/>
      <c r="FD81" s="17"/>
      <c r="FE81" s="17"/>
      <c r="FF81" s="17"/>
      <c r="FG81" s="17"/>
      <c r="FH81" s="17"/>
      <c r="FI81" s="17"/>
      <c r="FJ81" s="17"/>
      <c r="FK81" s="17"/>
      <c r="FL81" s="17"/>
      <c r="FM81" s="17"/>
      <c r="FN81" s="17"/>
      <c r="FO81" s="17"/>
      <c r="FP81" s="17"/>
      <c r="FQ81" s="17"/>
      <c r="FR81" s="17"/>
      <c r="FS81" s="17"/>
      <c r="FT81" s="17"/>
      <c r="FU81" s="17"/>
      <c r="FV81" s="17"/>
      <c r="FW81" s="17"/>
      <c r="FX81" s="17"/>
      <c r="FY81" s="17"/>
      <c r="FZ81" s="17"/>
      <c r="GA81" s="17"/>
      <c r="GB81" s="17"/>
      <c r="GC81" s="17"/>
      <c r="GD81" s="17"/>
      <c r="GE81" s="17"/>
      <c r="GF81" s="17"/>
      <c r="GG81" s="17"/>
      <c r="GH81" s="17"/>
      <c r="GI81" s="17"/>
      <c r="GJ81" s="17"/>
      <c r="GK81" s="17"/>
      <c r="GL81" s="17"/>
      <c r="GM81" s="17"/>
      <c r="GN81" s="17"/>
      <c r="GO81" s="17"/>
      <c r="GP81" s="17"/>
      <c r="GQ81" s="17"/>
      <c r="GR81" s="17"/>
      <c r="GS81" s="17"/>
      <c r="GT81" s="17"/>
      <c r="GU81" s="17"/>
      <c r="GV81" s="17"/>
      <c r="GW81" s="17"/>
      <c r="GX81" s="17"/>
      <c r="GY81" s="17"/>
      <c r="GZ81" s="17"/>
      <c r="HA81" s="17"/>
      <c r="HB81" s="17"/>
      <c r="HC81" s="17"/>
      <c r="HD81" s="17"/>
      <c r="HE81" s="17"/>
      <c r="HF81" s="17"/>
      <c r="HG81" s="17"/>
      <c r="HH81" s="17"/>
      <c r="HI81" s="17"/>
      <c r="HJ81" s="17"/>
      <c r="HK81" s="17"/>
      <c r="HL81" s="17"/>
      <c r="HM81" s="17"/>
      <c r="HN81" s="17"/>
      <c r="HO81" s="17"/>
      <c r="HP81" s="17"/>
      <c r="HQ81" s="17"/>
      <c r="HR81" s="17"/>
      <c r="HS81" s="17"/>
      <c r="HT81" s="17"/>
      <c r="HU81" s="17"/>
      <c r="HV81" s="17"/>
      <c r="HW81" s="17"/>
      <c r="HX81" s="17"/>
      <c r="HY81" s="17"/>
      <c r="HZ81" s="17"/>
      <c r="IA81" s="17"/>
      <c r="IB81" s="17"/>
      <c r="IC81" s="17"/>
      <c r="ID81" s="17"/>
      <c r="IE81" s="17"/>
      <c r="IF81" s="17"/>
      <c r="IG81" s="17"/>
    </row>
    <row r="82" spans="1:241" ht="16.5" customHeight="1" x14ac:dyDescent="0.25">
      <c r="A82" s="99" t="s">
        <v>91</v>
      </c>
      <c r="C82" s="150" t="s">
        <v>52</v>
      </c>
      <c r="D82" s="81">
        <f>SUM(D53:D81)</f>
        <v>127059624.52</v>
      </c>
      <c r="E82" s="81"/>
      <c r="F82" s="81">
        <f>SUM(F53:F81)</f>
        <v>84694614986.050003</v>
      </c>
      <c r="G82" s="81">
        <f>SUM(G53:G81)</f>
        <v>299387196154.21997</v>
      </c>
      <c r="H82" s="81"/>
      <c r="I82" s="81">
        <f>SUM(I53:I79)</f>
        <v>22810329.52</v>
      </c>
      <c r="J82" s="81">
        <f t="shared" ref="J82:O82" si="31">SUM(J53:J81)</f>
        <v>386577979831.65997</v>
      </c>
      <c r="K82" s="81">
        <f t="shared" si="31"/>
        <v>3081215890.5600004</v>
      </c>
      <c r="L82" s="81">
        <f t="shared" si="31"/>
        <v>599471903.08999991</v>
      </c>
      <c r="M82" s="81">
        <f t="shared" si="31"/>
        <v>2717842701.8400002</v>
      </c>
      <c r="N82" s="81">
        <f t="shared" si="31"/>
        <v>337662593965.16992</v>
      </c>
      <c r="O82" s="81">
        <f t="shared" si="31"/>
        <v>2947678122.6000004</v>
      </c>
      <c r="P82" s="109">
        <f>SUM(P53:P81)</f>
        <v>401872987463.70001</v>
      </c>
      <c r="Q82" s="83">
        <f>(P82/$P$152)</f>
        <v>0.29556937782326015</v>
      </c>
      <c r="R82" s="109">
        <f>SUM(R53:R81)</f>
        <v>393131406788.27997</v>
      </c>
      <c r="S82" s="83">
        <f>(R82/$R$152)</f>
        <v>0.28982350035507343</v>
      </c>
      <c r="T82" s="84">
        <f t="shared" ref="T82" si="32">((R82-P82)/P82)</f>
        <v>-2.1752098170593377E-2</v>
      </c>
      <c r="U82" s="85"/>
      <c r="V82" s="86"/>
      <c r="W82" s="87"/>
      <c r="X82" s="87"/>
      <c r="Y82" s="81"/>
      <c r="Z82" s="81"/>
      <c r="AA82" s="88">
        <f>SUM(AA53:AA81)</f>
        <v>47766</v>
      </c>
      <c r="AB82" s="88"/>
      <c r="AC82" s="88"/>
      <c r="AD82" s="88"/>
      <c r="AE82" s="65">
        <v>0</v>
      </c>
      <c r="AF82" s="5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  <c r="BK82" s="17"/>
      <c r="BL82" s="17"/>
      <c r="BM82" s="17"/>
      <c r="BN82" s="17"/>
      <c r="BO82" s="17"/>
      <c r="BP82" s="17"/>
      <c r="BQ82" s="17"/>
      <c r="BR82" s="17"/>
      <c r="BS82" s="17"/>
      <c r="BT82" s="17"/>
      <c r="BU82" s="17"/>
      <c r="BV82" s="17"/>
      <c r="BW82" s="17"/>
      <c r="BX82" s="17"/>
      <c r="BY82" s="17"/>
      <c r="BZ82" s="17"/>
      <c r="CA82" s="17"/>
      <c r="CB82" s="17"/>
      <c r="CC82" s="17"/>
      <c r="CD82" s="17"/>
      <c r="CE82" s="17"/>
      <c r="CF82" s="17"/>
      <c r="CG82" s="17"/>
      <c r="CH82" s="17"/>
      <c r="CI82" s="17"/>
      <c r="CJ82" s="17"/>
      <c r="CK82" s="17"/>
      <c r="CL82" s="17"/>
      <c r="CM82" s="17"/>
      <c r="CN82" s="17"/>
      <c r="CO82" s="17"/>
      <c r="CP82" s="17"/>
      <c r="CQ82" s="17"/>
      <c r="CR82" s="17"/>
      <c r="CS82" s="17"/>
      <c r="CT82" s="17"/>
      <c r="CU82" s="17"/>
      <c r="CV82" s="17"/>
      <c r="CW82" s="17"/>
      <c r="CX82" s="17"/>
      <c r="CY82" s="17"/>
      <c r="CZ82" s="17"/>
      <c r="DA82" s="17"/>
      <c r="DB82" s="17"/>
      <c r="DC82" s="17"/>
      <c r="DD82" s="17"/>
      <c r="DE82" s="17"/>
      <c r="DF82" s="17"/>
      <c r="DG82" s="17"/>
      <c r="DH82" s="17"/>
      <c r="DI82" s="17"/>
      <c r="DJ82" s="17"/>
      <c r="DK82" s="17"/>
      <c r="DL82" s="17"/>
      <c r="DM82" s="17"/>
      <c r="DN82" s="17"/>
      <c r="DO82" s="17"/>
      <c r="DP82" s="17"/>
      <c r="DQ82" s="17"/>
      <c r="DR82" s="17"/>
      <c r="DS82" s="17"/>
      <c r="DT82" s="17"/>
      <c r="DU82" s="17"/>
      <c r="DV82" s="17"/>
      <c r="DW82" s="17"/>
      <c r="DX82" s="17"/>
      <c r="DY82" s="17"/>
      <c r="DZ82" s="17"/>
      <c r="EA82" s="17"/>
      <c r="EB82" s="17"/>
      <c r="EC82" s="17"/>
      <c r="ED82" s="17"/>
      <c r="EE82" s="17"/>
      <c r="EF82" s="17"/>
      <c r="EG82" s="17"/>
      <c r="EH82" s="17"/>
      <c r="EI82" s="17"/>
      <c r="EJ82" s="17"/>
      <c r="EK82" s="17"/>
      <c r="EL82" s="17"/>
      <c r="EM82" s="17"/>
      <c r="EN82" s="17"/>
      <c r="EO82" s="17"/>
      <c r="EP82" s="17"/>
      <c r="EQ82" s="17"/>
      <c r="ER82" s="17"/>
      <c r="ES82" s="17"/>
      <c r="ET82" s="17"/>
      <c r="EU82" s="17"/>
      <c r="EV82" s="17"/>
      <c r="EW82" s="17"/>
      <c r="EX82" s="17"/>
      <c r="EY82" s="17"/>
      <c r="EZ82" s="17"/>
      <c r="FA82" s="17"/>
      <c r="FB82" s="17"/>
      <c r="FC82" s="17"/>
      <c r="FD82" s="17"/>
      <c r="FE82" s="17"/>
      <c r="FF82" s="17"/>
      <c r="FG82" s="17"/>
      <c r="FH82" s="17"/>
      <c r="FI82" s="17"/>
      <c r="FJ82" s="17"/>
      <c r="FK82" s="17"/>
      <c r="FL82" s="17"/>
      <c r="FM82" s="17"/>
      <c r="FN82" s="17"/>
      <c r="FO82" s="17"/>
      <c r="FP82" s="17"/>
      <c r="FQ82" s="17"/>
      <c r="FR82" s="17"/>
      <c r="FS82" s="17"/>
      <c r="FT82" s="17"/>
      <c r="FU82" s="17"/>
      <c r="FV82" s="17"/>
      <c r="FW82" s="17"/>
      <c r="FX82" s="17"/>
      <c r="FY82" s="17"/>
      <c r="FZ82" s="17"/>
      <c r="GA82" s="17"/>
      <c r="GB82" s="17"/>
      <c r="GC82" s="17"/>
      <c r="GD82" s="17"/>
      <c r="GE82" s="17"/>
      <c r="GF82" s="17"/>
      <c r="GG82" s="17"/>
      <c r="GH82" s="17"/>
      <c r="GI82" s="17"/>
      <c r="GJ82" s="17"/>
      <c r="GK82" s="17"/>
      <c r="GL82" s="17"/>
      <c r="GM82" s="17"/>
      <c r="GN82" s="17"/>
      <c r="GO82" s="17"/>
      <c r="GP82" s="17"/>
      <c r="GQ82" s="17"/>
      <c r="GR82" s="17"/>
      <c r="GS82" s="17"/>
      <c r="GT82" s="17"/>
      <c r="GU82" s="17"/>
      <c r="GV82" s="17"/>
      <c r="GW82" s="17"/>
      <c r="GX82" s="17"/>
      <c r="GY82" s="17"/>
      <c r="GZ82" s="17"/>
      <c r="HA82" s="17"/>
      <c r="HB82" s="17"/>
      <c r="HC82" s="17"/>
      <c r="HD82" s="17"/>
      <c r="HE82" s="17"/>
      <c r="HF82" s="17"/>
      <c r="HG82" s="17"/>
      <c r="HH82" s="17"/>
      <c r="HI82" s="17"/>
      <c r="HJ82" s="17"/>
      <c r="HK82" s="17"/>
      <c r="HL82" s="17"/>
      <c r="HM82" s="17"/>
      <c r="HN82" s="17"/>
      <c r="HO82" s="17"/>
      <c r="HP82" s="17"/>
      <c r="HQ82" s="17"/>
      <c r="HR82" s="17"/>
      <c r="HS82" s="17"/>
      <c r="HT82" s="17"/>
      <c r="HU82" s="17"/>
      <c r="HV82" s="17"/>
      <c r="HW82" s="17"/>
      <c r="HX82" s="17"/>
      <c r="HY82" s="17"/>
      <c r="HZ82" s="17"/>
      <c r="IA82" s="17"/>
      <c r="IB82" s="17"/>
      <c r="IC82" s="17"/>
      <c r="ID82" s="17"/>
      <c r="IE82" s="17"/>
      <c r="IF82" s="17"/>
      <c r="IG82" s="17"/>
    </row>
    <row r="83" spans="1:241" ht="16.5" customHeight="1" x14ac:dyDescent="0.25">
      <c r="A83" s="152" t="s">
        <v>223</v>
      </c>
      <c r="B83" s="153"/>
      <c r="C83" s="153"/>
      <c r="D83" s="153"/>
      <c r="E83" s="153"/>
      <c r="F83" s="153"/>
      <c r="G83" s="153"/>
      <c r="H83" s="153"/>
      <c r="I83" s="153"/>
      <c r="J83" s="153"/>
      <c r="K83" s="153"/>
      <c r="L83" s="153"/>
      <c r="M83" s="153"/>
      <c r="N83" s="153"/>
      <c r="O83" s="153"/>
      <c r="P83" s="153"/>
      <c r="Q83" s="153"/>
      <c r="R83" s="153"/>
      <c r="S83" s="153"/>
      <c r="T83" s="153"/>
      <c r="U83" s="153"/>
      <c r="V83" s="153"/>
      <c r="W83" s="153"/>
      <c r="X83" s="153"/>
      <c r="Y83" s="153"/>
      <c r="Z83" s="153"/>
      <c r="AA83" s="153"/>
      <c r="AB83" s="153"/>
      <c r="AC83" s="153"/>
      <c r="AD83" s="153"/>
      <c r="AE83" s="154"/>
      <c r="AF83" s="5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/>
      <c r="BQ83" s="17"/>
      <c r="BR83" s="17"/>
      <c r="BS83" s="17"/>
      <c r="BT83" s="17"/>
      <c r="BU83" s="17"/>
      <c r="BV83" s="17"/>
      <c r="BW83" s="17"/>
      <c r="BX83" s="17"/>
      <c r="BY83" s="17"/>
      <c r="BZ83" s="17"/>
      <c r="CA83" s="17"/>
      <c r="CB83" s="17"/>
      <c r="CC83" s="17"/>
      <c r="CD83" s="17"/>
      <c r="CE83" s="17"/>
      <c r="CF83" s="17"/>
      <c r="CG83" s="17"/>
      <c r="CH83" s="17"/>
      <c r="CI83" s="17"/>
      <c r="CJ83" s="17"/>
      <c r="CK83" s="17"/>
      <c r="CL83" s="17"/>
      <c r="CM83" s="17"/>
      <c r="CN83" s="17"/>
      <c r="CO83" s="17"/>
      <c r="CP83" s="17"/>
      <c r="CQ83" s="17"/>
      <c r="CR83" s="17"/>
      <c r="CS83" s="17"/>
      <c r="CT83" s="17"/>
      <c r="CU83" s="17"/>
      <c r="CV83" s="17"/>
      <c r="CW83" s="17"/>
      <c r="CX83" s="17"/>
      <c r="CY83" s="17"/>
      <c r="CZ83" s="17"/>
      <c r="DA83" s="17"/>
      <c r="DB83" s="17"/>
      <c r="DC83" s="17"/>
      <c r="DD83" s="17"/>
      <c r="DE83" s="17"/>
      <c r="DF83" s="17"/>
      <c r="DG83" s="17"/>
      <c r="DH83" s="17"/>
      <c r="DI83" s="17"/>
      <c r="DJ83" s="17"/>
      <c r="DK83" s="17"/>
      <c r="DL83" s="17"/>
      <c r="DM83" s="17"/>
      <c r="DN83" s="17"/>
      <c r="DO83" s="17"/>
      <c r="DP83" s="17"/>
      <c r="DQ83" s="17"/>
      <c r="DR83" s="17"/>
      <c r="DS83" s="17"/>
      <c r="DT83" s="17"/>
      <c r="DU83" s="17"/>
      <c r="DV83" s="17"/>
      <c r="DW83" s="17"/>
      <c r="DX83" s="17"/>
      <c r="DY83" s="17"/>
      <c r="DZ83" s="17"/>
      <c r="EA83" s="17"/>
      <c r="EB83" s="17"/>
      <c r="EC83" s="17"/>
      <c r="ED83" s="17"/>
      <c r="EE83" s="17"/>
      <c r="EF83" s="17"/>
      <c r="EG83" s="17"/>
      <c r="EH83" s="17"/>
      <c r="EI83" s="17"/>
      <c r="EJ83" s="17"/>
      <c r="EK83" s="17"/>
      <c r="EL83" s="17"/>
      <c r="EM83" s="17"/>
      <c r="EN83" s="17"/>
      <c r="EO83" s="17"/>
      <c r="EP83" s="17"/>
      <c r="EQ83" s="17"/>
      <c r="ER83" s="17"/>
      <c r="ES83" s="17"/>
      <c r="ET83" s="17"/>
      <c r="EU83" s="17"/>
      <c r="EV83" s="17"/>
      <c r="EW83" s="17"/>
      <c r="EX83" s="17"/>
      <c r="EY83" s="17"/>
      <c r="EZ83" s="17"/>
      <c r="FA83" s="17"/>
      <c r="FB83" s="17"/>
      <c r="FC83" s="17"/>
      <c r="FD83" s="17"/>
      <c r="FE83" s="17"/>
      <c r="FF83" s="17"/>
      <c r="FG83" s="17"/>
      <c r="FH83" s="17"/>
      <c r="FI83" s="17"/>
      <c r="FJ83" s="17"/>
      <c r="FK83" s="17"/>
      <c r="FL83" s="17"/>
      <c r="FM83" s="17"/>
      <c r="FN83" s="17"/>
      <c r="FO83" s="17"/>
      <c r="FP83" s="17"/>
      <c r="FQ83" s="17"/>
      <c r="FR83" s="17"/>
      <c r="FS83" s="17"/>
      <c r="FT83" s="17"/>
      <c r="FU83" s="17"/>
      <c r="FV83" s="17"/>
      <c r="FW83" s="17"/>
      <c r="FX83" s="17"/>
      <c r="FY83" s="17"/>
      <c r="FZ83" s="17"/>
      <c r="GA83" s="17"/>
      <c r="GB83" s="17"/>
      <c r="GC83" s="17"/>
      <c r="GD83" s="17"/>
      <c r="GE83" s="17"/>
      <c r="GF83" s="17"/>
      <c r="GG83" s="17"/>
      <c r="GH83" s="17"/>
      <c r="GI83" s="17"/>
      <c r="GJ83" s="17"/>
      <c r="GK83" s="17"/>
      <c r="GL83" s="17"/>
      <c r="GM83" s="17"/>
      <c r="GN83" s="17"/>
      <c r="GO83" s="17"/>
      <c r="GP83" s="17"/>
      <c r="GQ83" s="17"/>
      <c r="GR83" s="17"/>
      <c r="GS83" s="17"/>
      <c r="GT83" s="17"/>
      <c r="GU83" s="17"/>
      <c r="GV83" s="17"/>
      <c r="GW83" s="17"/>
      <c r="GX83" s="17"/>
      <c r="GY83" s="17"/>
      <c r="GZ83" s="17"/>
      <c r="HA83" s="17"/>
      <c r="HB83" s="17"/>
      <c r="HC83" s="17"/>
      <c r="HD83" s="17"/>
      <c r="HE83" s="17"/>
      <c r="HF83" s="17"/>
      <c r="HG83" s="17"/>
      <c r="HH83" s="17"/>
      <c r="HI83" s="17"/>
      <c r="HJ83" s="17"/>
      <c r="HK83" s="17"/>
      <c r="HL83" s="17"/>
      <c r="HM83" s="17"/>
      <c r="HN83" s="17"/>
      <c r="HO83" s="17"/>
      <c r="HP83" s="17"/>
      <c r="HQ83" s="17"/>
      <c r="HR83" s="17"/>
      <c r="HS83" s="17"/>
      <c r="HT83" s="17"/>
      <c r="HU83" s="17"/>
      <c r="HV83" s="17"/>
      <c r="HW83" s="17"/>
      <c r="HX83" s="17"/>
      <c r="HY83" s="17"/>
      <c r="HZ83" s="17"/>
      <c r="IA83" s="17"/>
      <c r="IB83" s="17"/>
      <c r="IC83" s="17"/>
      <c r="ID83" s="17"/>
      <c r="IE83" s="17"/>
      <c r="IF83" s="17"/>
      <c r="IG83" s="17"/>
    </row>
    <row r="84" spans="1:241" ht="16.5" customHeight="1" x14ac:dyDescent="0.25">
      <c r="A84" s="163" t="s">
        <v>221</v>
      </c>
      <c r="B84" s="164"/>
      <c r="C84" s="164"/>
      <c r="D84" s="164"/>
      <c r="E84" s="164"/>
      <c r="F84" s="164"/>
      <c r="G84" s="164"/>
      <c r="H84" s="164"/>
      <c r="I84" s="164"/>
      <c r="J84" s="164"/>
      <c r="K84" s="164"/>
      <c r="L84" s="164"/>
      <c r="M84" s="164"/>
      <c r="N84" s="164"/>
      <c r="O84" s="164"/>
      <c r="P84" s="164"/>
      <c r="Q84" s="164"/>
      <c r="R84" s="164"/>
      <c r="S84" s="164"/>
      <c r="T84" s="164"/>
      <c r="U84" s="164"/>
      <c r="V84" s="164"/>
      <c r="W84" s="164"/>
      <c r="X84" s="164"/>
      <c r="Y84" s="164"/>
      <c r="Z84" s="164"/>
      <c r="AA84" s="164"/>
      <c r="AB84" s="164"/>
      <c r="AC84" s="164"/>
      <c r="AD84" s="164"/>
      <c r="AE84" s="165"/>
      <c r="AF84" s="5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  <c r="BL84" s="17"/>
      <c r="BM84" s="17"/>
      <c r="BN84" s="17"/>
      <c r="BO84" s="17"/>
      <c r="BP84" s="17"/>
      <c r="BQ84" s="17"/>
      <c r="BR84" s="17"/>
      <c r="BS84" s="17"/>
      <c r="BT84" s="17"/>
      <c r="BU84" s="17"/>
      <c r="BV84" s="17"/>
      <c r="BW84" s="17"/>
      <c r="BX84" s="17"/>
      <c r="BY84" s="17"/>
      <c r="BZ84" s="17"/>
      <c r="CA84" s="17"/>
      <c r="CB84" s="17"/>
      <c r="CC84" s="17"/>
      <c r="CD84" s="17"/>
      <c r="CE84" s="17"/>
      <c r="CF84" s="17"/>
      <c r="CG84" s="17"/>
      <c r="CH84" s="17"/>
      <c r="CI84" s="17"/>
      <c r="CJ84" s="17"/>
      <c r="CK84" s="17"/>
      <c r="CL84" s="17"/>
      <c r="CM84" s="17"/>
      <c r="CN84" s="17"/>
      <c r="CO84" s="17"/>
      <c r="CP84" s="17"/>
      <c r="CQ84" s="17"/>
      <c r="CR84" s="17"/>
      <c r="CS84" s="17"/>
      <c r="CT84" s="17"/>
      <c r="CU84" s="17"/>
      <c r="CV84" s="17"/>
      <c r="CW84" s="17"/>
      <c r="CX84" s="17"/>
      <c r="CY84" s="17"/>
      <c r="CZ84" s="17"/>
      <c r="DA84" s="17"/>
      <c r="DB84" s="17"/>
      <c r="DC84" s="17"/>
      <c r="DD84" s="17"/>
      <c r="DE84" s="17"/>
      <c r="DF84" s="17"/>
      <c r="DG84" s="17"/>
      <c r="DH84" s="17"/>
      <c r="DI84" s="17"/>
      <c r="DJ84" s="17"/>
      <c r="DK84" s="17"/>
      <c r="DL84" s="17"/>
      <c r="DM84" s="17"/>
      <c r="DN84" s="17"/>
      <c r="DO84" s="17"/>
      <c r="DP84" s="17"/>
      <c r="DQ84" s="17"/>
      <c r="DR84" s="17"/>
      <c r="DS84" s="17"/>
      <c r="DT84" s="17"/>
      <c r="DU84" s="17"/>
      <c r="DV84" s="17"/>
      <c r="DW84" s="17"/>
      <c r="DX84" s="17"/>
      <c r="DY84" s="17"/>
      <c r="DZ84" s="17"/>
      <c r="EA84" s="17"/>
      <c r="EB84" s="17"/>
      <c r="EC84" s="17"/>
      <c r="ED84" s="17"/>
      <c r="EE84" s="17"/>
      <c r="EF84" s="17"/>
      <c r="EG84" s="17"/>
      <c r="EH84" s="17"/>
      <c r="EI84" s="17"/>
      <c r="EJ84" s="17"/>
      <c r="EK84" s="17"/>
      <c r="EL84" s="17"/>
      <c r="EM84" s="17"/>
      <c r="EN84" s="17"/>
      <c r="EO84" s="17"/>
      <c r="EP84" s="17"/>
      <c r="EQ84" s="17"/>
      <c r="ER84" s="17"/>
      <c r="ES84" s="17"/>
      <c r="ET84" s="17"/>
      <c r="EU84" s="17"/>
      <c r="EV84" s="17"/>
      <c r="EW84" s="17"/>
      <c r="EX84" s="17"/>
      <c r="EY84" s="17"/>
      <c r="EZ84" s="17"/>
      <c r="FA84" s="17"/>
      <c r="FB84" s="17"/>
      <c r="FC84" s="17"/>
      <c r="FD84" s="17"/>
      <c r="FE84" s="17"/>
      <c r="FF84" s="17"/>
      <c r="FG84" s="17"/>
      <c r="FH84" s="17"/>
      <c r="FI84" s="17"/>
      <c r="FJ84" s="17"/>
      <c r="FK84" s="17"/>
      <c r="FL84" s="17"/>
      <c r="FM84" s="17"/>
      <c r="FN84" s="17"/>
      <c r="FO84" s="17"/>
      <c r="FP84" s="17"/>
      <c r="FQ84" s="17"/>
      <c r="FR84" s="17"/>
      <c r="FS84" s="17"/>
      <c r="FT84" s="17"/>
      <c r="FU84" s="17"/>
      <c r="FV84" s="17"/>
      <c r="FW84" s="17"/>
      <c r="FX84" s="17"/>
      <c r="FY84" s="17"/>
      <c r="FZ84" s="17"/>
      <c r="GA84" s="17"/>
      <c r="GB84" s="17"/>
      <c r="GC84" s="17"/>
      <c r="GD84" s="17"/>
      <c r="GE84" s="17"/>
      <c r="GF84" s="17"/>
      <c r="GG84" s="17"/>
      <c r="GH84" s="17"/>
      <c r="GI84" s="17"/>
      <c r="GJ84" s="17"/>
      <c r="GK84" s="17"/>
      <c r="GL84" s="17"/>
      <c r="GM84" s="17"/>
      <c r="GN84" s="17"/>
      <c r="GO84" s="17"/>
      <c r="GP84" s="17"/>
      <c r="GQ84" s="17"/>
      <c r="GR84" s="17"/>
      <c r="GS84" s="17"/>
      <c r="GT84" s="17"/>
      <c r="GU84" s="17"/>
      <c r="GV84" s="17"/>
      <c r="GW84" s="17"/>
      <c r="GX84" s="17"/>
      <c r="GY84" s="17"/>
      <c r="GZ84" s="17"/>
      <c r="HA84" s="17"/>
      <c r="HB84" s="17"/>
      <c r="HC84" s="17"/>
      <c r="HD84" s="17"/>
      <c r="HE84" s="17"/>
      <c r="HF84" s="17"/>
      <c r="HG84" s="17"/>
      <c r="HH84" s="17"/>
      <c r="HI84" s="17"/>
      <c r="HJ84" s="17"/>
      <c r="HK84" s="17"/>
      <c r="HL84" s="17"/>
      <c r="HM84" s="17"/>
      <c r="HN84" s="17"/>
      <c r="HO84" s="17"/>
      <c r="HP84" s="17"/>
      <c r="HQ84" s="17"/>
      <c r="HR84" s="17"/>
      <c r="HS84" s="17"/>
      <c r="HT84" s="17"/>
      <c r="HU84" s="17"/>
      <c r="HV84" s="17"/>
      <c r="HW84" s="17"/>
      <c r="HX84" s="17"/>
      <c r="HY84" s="17"/>
      <c r="HZ84" s="17"/>
      <c r="IA84" s="17"/>
      <c r="IB84" s="17"/>
      <c r="IC84" s="17"/>
      <c r="ID84" s="17"/>
      <c r="IE84" s="17"/>
      <c r="IF84" s="17"/>
      <c r="IG84" s="17"/>
    </row>
    <row r="85" spans="1:241" ht="16.5" customHeight="1" x14ac:dyDescent="0.25">
      <c r="A85" s="110">
        <v>75</v>
      </c>
      <c r="B85" s="42" t="s">
        <v>96</v>
      </c>
      <c r="C85" s="42" t="s">
        <v>31</v>
      </c>
      <c r="D85" s="102"/>
      <c r="E85" s="102"/>
      <c r="F85" s="102"/>
      <c r="G85" s="48">
        <v>731020043.66999996</v>
      </c>
      <c r="H85" s="102"/>
      <c r="I85" s="102"/>
      <c r="J85" s="48">
        <v>731020043.66999996</v>
      </c>
      <c r="K85" s="48">
        <v>4991558.76</v>
      </c>
      <c r="L85" s="48">
        <v>1499432.58</v>
      </c>
      <c r="M85" s="111">
        <v>3492126.18</v>
      </c>
      <c r="N85" s="65">
        <v>750566169.61000001</v>
      </c>
      <c r="O85" s="103">
        <v>11782767.77</v>
      </c>
      <c r="P85" s="49">
        <v>713656483.50999999</v>
      </c>
      <c r="Q85" s="50">
        <f t="shared" ref="Q85:Q92" si="33">(P85/$P$103)</f>
        <v>2.4856643196790786E-3</v>
      </c>
      <c r="R85" s="49">
        <v>738783401.84000003</v>
      </c>
      <c r="S85" s="50">
        <f>(R85/$R$103)</f>
        <v>2.4300331855694897E-3</v>
      </c>
      <c r="T85" s="51">
        <f t="shared" ref="T85:T92" si="34">((R85-P85)/P85)</f>
        <v>3.5208701820261618E-2</v>
      </c>
      <c r="U85" s="52">
        <f>(L85/R85)</f>
        <v>2.029597005381471E-3</v>
      </c>
      <c r="V85" s="53">
        <f>M85/R85</f>
        <v>4.7268606350691911E-3</v>
      </c>
      <c r="W85" s="54">
        <f t="shared" ref="W85:W92" si="35">R85/AE85</f>
        <v>44628.27324915705</v>
      </c>
      <c r="X85" s="54">
        <f>M85/AE85</f>
        <v>210.95162803255189</v>
      </c>
      <c r="Y85" s="113">
        <f>105.3846*424.48</f>
        <v>44733.655008000002</v>
      </c>
      <c r="Z85" s="113">
        <f>105.3846*424.48</f>
        <v>44733.655008000002</v>
      </c>
      <c r="AA85" s="64">
        <v>198</v>
      </c>
      <c r="AB85" s="65">
        <v>16380.0368</v>
      </c>
      <c r="AC85" s="65">
        <v>284.21190000000001</v>
      </c>
      <c r="AD85" s="65">
        <v>110.0926</v>
      </c>
      <c r="AE85" s="45">
        <v>16554.1561</v>
      </c>
      <c r="AF85" s="5"/>
    </row>
    <row r="86" spans="1:241" ht="16.5" customHeight="1" x14ac:dyDescent="0.25">
      <c r="A86" s="41">
        <v>76</v>
      </c>
      <c r="B86" s="42" t="s">
        <v>97</v>
      </c>
      <c r="C86" s="56" t="s">
        <v>35</v>
      </c>
      <c r="D86" s="48"/>
      <c r="E86" s="102"/>
      <c r="F86" s="48">
        <f>424350.17*424.48</f>
        <v>180128160.16159999</v>
      </c>
      <c r="G86" s="48">
        <f>10392355.6*424.48</f>
        <v>4411347105.0880003</v>
      </c>
      <c r="H86" s="48"/>
      <c r="I86" s="102"/>
      <c r="J86" s="114">
        <f>F86+G86</f>
        <v>4591475265.2496004</v>
      </c>
      <c r="K86" s="114">
        <f>71963.77*424.48</f>
        <v>30547181.089600004</v>
      </c>
      <c r="L86" s="114">
        <f>26091.52*424.48</f>
        <v>11075328.409600001</v>
      </c>
      <c r="M86" s="115">
        <f>45872.25*424.48</f>
        <v>19471852.68</v>
      </c>
      <c r="N86" s="114">
        <f>11087206*424.48</f>
        <v>4706297202.8800001</v>
      </c>
      <c r="O86" s="114">
        <f>267442*424.48</f>
        <v>113523780.16000001</v>
      </c>
      <c r="P86" s="49">
        <f>11455433*416.68</f>
        <v>4773249822.4400005</v>
      </c>
      <c r="Q86" s="112">
        <f t="shared" si="33"/>
        <v>1.6625221022583694E-2</v>
      </c>
      <c r="R86" s="49">
        <f>10819763*424.48</f>
        <v>4592772998.2399998</v>
      </c>
      <c r="S86" s="50">
        <f>(R86/$R$103)</f>
        <v>1.5106715678390073E-2</v>
      </c>
      <c r="T86" s="51">
        <f t="shared" si="34"/>
        <v>-3.7810052042854154E-2</v>
      </c>
      <c r="U86" s="52">
        <f>(L86/R86)</f>
        <v>2.4114687170134876E-3</v>
      </c>
      <c r="V86" s="53">
        <f>M86/R86</f>
        <v>4.23967234772148E-3</v>
      </c>
      <c r="W86" s="54">
        <f t="shared" si="35"/>
        <v>459.67763307464469</v>
      </c>
      <c r="X86" s="54">
        <f>M86/AE86</f>
        <v>1.9488825498126319</v>
      </c>
      <c r="Y86" s="113">
        <f>1.0829*424.48</f>
        <v>459.66939200000002</v>
      </c>
      <c r="Z86" s="113">
        <f>1.0829*424.48</f>
        <v>459.66939200000002</v>
      </c>
      <c r="AA86" s="64">
        <v>315</v>
      </c>
      <c r="AB86" s="64">
        <v>10626211</v>
      </c>
      <c r="AC86" s="64">
        <v>467629</v>
      </c>
      <c r="AD86" s="64">
        <v>1102550</v>
      </c>
      <c r="AE86" s="45">
        <v>9991291</v>
      </c>
      <c r="AF86" s="5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17"/>
      <c r="BE86" s="17"/>
      <c r="BF86" s="17"/>
      <c r="BG86" s="17"/>
      <c r="BH86" s="17"/>
      <c r="BI86" s="17"/>
      <c r="BJ86" s="17"/>
      <c r="BK86" s="17"/>
      <c r="BL86" s="17"/>
      <c r="BM86" s="17"/>
      <c r="BN86" s="17"/>
      <c r="BO86" s="17"/>
      <c r="BP86" s="17"/>
      <c r="BQ86" s="17"/>
      <c r="BR86" s="17"/>
      <c r="BS86" s="17"/>
      <c r="BT86" s="17"/>
      <c r="BU86" s="17"/>
      <c r="BV86" s="17"/>
      <c r="BW86" s="17"/>
      <c r="BX86" s="17"/>
      <c r="BY86" s="17"/>
      <c r="BZ86" s="17"/>
      <c r="CA86" s="17"/>
      <c r="CB86" s="17"/>
      <c r="CC86" s="17"/>
      <c r="CD86" s="17"/>
      <c r="CE86" s="17"/>
      <c r="CF86" s="17"/>
      <c r="CG86" s="17"/>
      <c r="CH86" s="17"/>
      <c r="CI86" s="17"/>
      <c r="CJ86" s="17"/>
      <c r="CK86" s="17"/>
      <c r="CL86" s="17"/>
      <c r="CM86" s="17"/>
      <c r="CN86" s="17"/>
      <c r="CO86" s="17"/>
      <c r="CP86" s="17"/>
      <c r="CQ86" s="17"/>
      <c r="CR86" s="17"/>
      <c r="CS86" s="17"/>
      <c r="CT86" s="17"/>
      <c r="CU86" s="17"/>
      <c r="CV86" s="17"/>
      <c r="CW86" s="17"/>
      <c r="CX86" s="17"/>
      <c r="CY86" s="17"/>
      <c r="CZ86" s="17"/>
      <c r="DA86" s="17"/>
      <c r="DB86" s="17"/>
      <c r="DC86" s="17"/>
      <c r="DD86" s="17"/>
      <c r="DE86" s="17"/>
      <c r="DF86" s="17"/>
      <c r="DG86" s="17"/>
      <c r="DH86" s="17"/>
      <c r="DI86" s="17"/>
      <c r="DJ86" s="17"/>
      <c r="DK86" s="17"/>
      <c r="DL86" s="17"/>
      <c r="DM86" s="17"/>
      <c r="DN86" s="17"/>
      <c r="DO86" s="17"/>
      <c r="DP86" s="17"/>
      <c r="DQ86" s="17"/>
      <c r="DR86" s="17"/>
      <c r="DS86" s="17"/>
      <c r="DT86" s="17"/>
      <c r="DU86" s="17"/>
      <c r="DV86" s="17"/>
      <c r="DW86" s="17"/>
      <c r="DX86" s="17"/>
      <c r="DY86" s="17"/>
      <c r="DZ86" s="17"/>
      <c r="EA86" s="17"/>
      <c r="EB86" s="17"/>
      <c r="EC86" s="17"/>
      <c r="ED86" s="17"/>
      <c r="EE86" s="17"/>
      <c r="EF86" s="17"/>
      <c r="EG86" s="17"/>
      <c r="EH86" s="17"/>
      <c r="EI86" s="17"/>
      <c r="EJ86" s="17"/>
      <c r="EK86" s="17"/>
      <c r="EL86" s="17"/>
      <c r="EM86" s="17"/>
      <c r="EN86" s="17"/>
      <c r="EO86" s="17"/>
      <c r="EP86" s="17"/>
      <c r="EQ86" s="17"/>
      <c r="ER86" s="17"/>
      <c r="ES86" s="17"/>
      <c r="ET86" s="17"/>
      <c r="EU86" s="17"/>
      <c r="EV86" s="17"/>
      <c r="EW86" s="17"/>
      <c r="EX86" s="17"/>
      <c r="EY86" s="17"/>
      <c r="EZ86" s="17"/>
      <c r="FA86" s="17"/>
      <c r="FB86" s="17"/>
      <c r="FC86" s="17"/>
      <c r="FD86" s="17"/>
      <c r="FE86" s="17"/>
      <c r="FF86" s="17"/>
      <c r="FG86" s="17"/>
      <c r="FH86" s="17"/>
      <c r="FI86" s="17"/>
      <c r="FJ86" s="17"/>
      <c r="FK86" s="17"/>
      <c r="FL86" s="17"/>
      <c r="FM86" s="17"/>
      <c r="FN86" s="17"/>
      <c r="FO86" s="17"/>
      <c r="FP86" s="17"/>
      <c r="FQ86" s="17"/>
      <c r="FR86" s="17"/>
      <c r="FS86" s="17"/>
      <c r="FT86" s="17"/>
      <c r="FU86" s="17"/>
      <c r="FV86" s="17"/>
      <c r="FW86" s="17"/>
      <c r="FX86" s="17"/>
      <c r="FY86" s="17"/>
      <c r="FZ86" s="17"/>
      <c r="GA86" s="17"/>
      <c r="GB86" s="17"/>
      <c r="GC86" s="17"/>
      <c r="GD86" s="17"/>
      <c r="GE86" s="17"/>
      <c r="GF86" s="17"/>
      <c r="GG86" s="17"/>
      <c r="GH86" s="17"/>
      <c r="GI86" s="17"/>
      <c r="GJ86" s="17"/>
      <c r="GK86" s="17"/>
      <c r="GL86" s="17"/>
      <c r="GM86" s="17"/>
      <c r="GN86" s="17"/>
      <c r="GO86" s="17"/>
      <c r="GP86" s="17"/>
      <c r="GQ86" s="17"/>
      <c r="GR86" s="17"/>
      <c r="GS86" s="17"/>
      <c r="GT86" s="17"/>
      <c r="GU86" s="17"/>
      <c r="GV86" s="17"/>
      <c r="GW86" s="17"/>
      <c r="GX86" s="17"/>
      <c r="GY86" s="17"/>
      <c r="GZ86" s="17"/>
      <c r="HA86" s="17"/>
      <c r="HB86" s="17"/>
      <c r="HC86" s="17"/>
      <c r="HD86" s="17"/>
      <c r="HE86" s="17"/>
      <c r="HF86" s="17"/>
      <c r="HG86" s="17"/>
      <c r="HH86" s="17"/>
      <c r="HI86" s="17"/>
      <c r="HJ86" s="17"/>
      <c r="HK86" s="17"/>
      <c r="HL86" s="17"/>
      <c r="HM86" s="17"/>
      <c r="HN86" s="17"/>
      <c r="HO86" s="17"/>
      <c r="HP86" s="17"/>
      <c r="HQ86" s="17"/>
      <c r="HR86" s="17"/>
      <c r="HS86" s="17"/>
      <c r="HT86" s="17"/>
      <c r="HU86" s="17"/>
      <c r="HV86" s="17"/>
      <c r="HW86" s="17"/>
      <c r="HX86" s="17"/>
      <c r="HY86" s="17"/>
      <c r="HZ86" s="17"/>
      <c r="IA86" s="17"/>
      <c r="IB86" s="17"/>
      <c r="IC86" s="17"/>
      <c r="ID86" s="17"/>
      <c r="IE86" s="17"/>
      <c r="IF86" s="17"/>
      <c r="IG86" s="17"/>
    </row>
    <row r="87" spans="1:241" ht="16.5" customHeight="1" x14ac:dyDescent="0.25">
      <c r="A87" s="41">
        <v>77</v>
      </c>
      <c r="B87" s="42" t="s">
        <v>159</v>
      </c>
      <c r="C87" s="56" t="s">
        <v>156</v>
      </c>
      <c r="D87" s="102"/>
      <c r="E87" s="65"/>
      <c r="F87" s="103"/>
      <c r="G87" s="65">
        <v>831357544.50999999</v>
      </c>
      <c r="H87" s="65"/>
      <c r="I87" s="103">
        <v>8266735.2699999996</v>
      </c>
      <c r="J87" s="103">
        <v>839624279.76999998</v>
      </c>
      <c r="K87" s="103">
        <v>5174394.22</v>
      </c>
      <c r="L87" s="103">
        <v>2225068.98</v>
      </c>
      <c r="M87" s="111">
        <v>2949325.24</v>
      </c>
      <c r="N87" s="65">
        <v>864648012.49000001</v>
      </c>
      <c r="O87" s="103">
        <f>N87-R87</f>
        <v>6695013.1699999571</v>
      </c>
      <c r="P87" s="49">
        <v>777369587.52999997</v>
      </c>
      <c r="Q87" s="50">
        <f t="shared" si="33"/>
        <v>2.7075769527425408E-3</v>
      </c>
      <c r="R87" s="49">
        <v>857952999.32000005</v>
      </c>
      <c r="S87" s="50">
        <f>(R87/$R$103)</f>
        <v>2.8220101518442063E-3</v>
      </c>
      <c r="T87" s="51">
        <f t="shared" si="34"/>
        <v>0.10366164702435086</v>
      </c>
      <c r="U87" s="52">
        <f>(L87/R87)</f>
        <v>2.5934625576966969E-3</v>
      </c>
      <c r="V87" s="53">
        <f>M87/R87</f>
        <v>3.4376303158070299E-3</v>
      </c>
      <c r="W87" s="54">
        <f t="shared" si="35"/>
        <v>43829.576332775643</v>
      </c>
      <c r="X87" s="54">
        <f>M87/AE87</f>
        <v>150.66988033052786</v>
      </c>
      <c r="Y87" s="103">
        <v>103.26</v>
      </c>
      <c r="Z87" s="103">
        <v>103.26</v>
      </c>
      <c r="AA87" s="64">
        <v>38</v>
      </c>
      <c r="AB87" s="65">
        <v>18147.150000000001</v>
      </c>
      <c r="AC87" s="64">
        <v>1427.6</v>
      </c>
      <c r="AD87" s="64">
        <v>0</v>
      </c>
      <c r="AE87" s="45">
        <v>19574.75</v>
      </c>
      <c r="AF87" s="5"/>
    </row>
    <row r="88" spans="1:241" ht="16.5" customHeight="1" x14ac:dyDescent="0.25">
      <c r="A88" s="41">
        <v>78</v>
      </c>
      <c r="B88" s="42" t="s">
        <v>190</v>
      </c>
      <c r="C88" s="42" t="s">
        <v>174</v>
      </c>
      <c r="D88" s="65"/>
      <c r="E88" s="65"/>
      <c r="F88" s="103">
        <v>3098919464.3000002</v>
      </c>
      <c r="G88" s="103">
        <v>9130309114.7000008</v>
      </c>
      <c r="H88" s="90"/>
      <c r="I88" s="90"/>
      <c r="J88" s="103">
        <v>12268361296.07</v>
      </c>
      <c r="K88" s="103">
        <v>59294438.140000001</v>
      </c>
      <c r="L88" s="103">
        <v>18414033.23</v>
      </c>
      <c r="M88" s="111">
        <v>40880404.909999996</v>
      </c>
      <c r="N88" s="103">
        <v>12324796595.860001</v>
      </c>
      <c r="O88" s="103">
        <v>56435299.789999999</v>
      </c>
      <c r="P88" s="49">
        <v>11314997886.120001</v>
      </c>
      <c r="Q88" s="112">
        <f t="shared" si="33"/>
        <v>3.9410118415015537E-2</v>
      </c>
      <c r="R88" s="49">
        <v>12268361296.07</v>
      </c>
      <c r="S88" s="50">
        <v>0</v>
      </c>
      <c r="T88" s="51">
        <f t="shared" si="34"/>
        <v>8.4256614057301824E-2</v>
      </c>
      <c r="U88" s="52" t="e">
        <f>(#REF!/R88)</f>
        <v>#REF!</v>
      </c>
      <c r="V88" s="53" t="e">
        <f>#REF!/R88</f>
        <v>#REF!</v>
      </c>
      <c r="W88" s="54">
        <f t="shared" si="35"/>
        <v>54039.70963043574</v>
      </c>
      <c r="X88" s="54" t="e">
        <f>#REF!/AE88</f>
        <v>#REF!</v>
      </c>
      <c r="Y88" s="65">
        <v>124.07</v>
      </c>
      <c r="Z88" s="103">
        <v>125.6</v>
      </c>
      <c r="AA88" s="64">
        <v>1835</v>
      </c>
      <c r="AB88" s="64">
        <v>212482.86</v>
      </c>
      <c r="AC88" s="64">
        <v>19774.75</v>
      </c>
      <c r="AD88" s="64">
        <v>5232.68</v>
      </c>
      <c r="AE88" s="65">
        <v>227024.93</v>
      </c>
      <c r="AF88" s="5"/>
    </row>
    <row r="89" spans="1:241" ht="16.5" customHeight="1" x14ac:dyDescent="0.25">
      <c r="A89" s="41">
        <v>79</v>
      </c>
      <c r="B89" s="117" t="s">
        <v>213</v>
      </c>
      <c r="C89" s="116" t="s">
        <v>212</v>
      </c>
      <c r="D89" s="102"/>
      <c r="E89" s="65"/>
      <c r="F89" s="65"/>
      <c r="G89" s="65">
        <f>61085.23*424.48</f>
        <v>25929458.430400003</v>
      </c>
      <c r="H89" s="65"/>
      <c r="I89" s="65"/>
      <c r="J89" s="65">
        <f>61085.23*424.48</f>
        <v>25929458.430400003</v>
      </c>
      <c r="K89" s="65">
        <f>85.23*424.48</f>
        <v>36178.430400000005</v>
      </c>
      <c r="L89" s="65">
        <f>2301.19*424.48</f>
        <v>976809.13120000006</v>
      </c>
      <c r="M89" s="111">
        <f>K89-L89</f>
        <v>-940630.70080000011</v>
      </c>
      <c r="N89" s="118">
        <f>79110.23*424.48</f>
        <v>33580710.430399999</v>
      </c>
      <c r="O89" s="118">
        <f>2301.19*424.48</f>
        <v>976809.13120000006</v>
      </c>
      <c r="P89" s="49">
        <v>0</v>
      </c>
      <c r="Q89" s="50">
        <f t="shared" si="33"/>
        <v>0</v>
      </c>
      <c r="R89" s="49">
        <f>76809.04*424.48</f>
        <v>32603901.299199998</v>
      </c>
      <c r="S89" s="50">
        <f>(R89/$R$103)</f>
        <v>1.0724193578085677E-4</v>
      </c>
      <c r="T89" s="51" t="e">
        <f t="shared" si="34"/>
        <v>#DIV/0!</v>
      </c>
      <c r="U89" s="52">
        <f>(L89/R89)</f>
        <v>2.9959884930211345E-2</v>
      </c>
      <c r="V89" s="53">
        <f>M89/R89</f>
        <v>-2.8850249918499181E-2</v>
      </c>
      <c r="W89" s="54">
        <f t="shared" si="35"/>
        <v>41257.704902499208</v>
      </c>
      <c r="X89" s="54">
        <f>M89/AE89</f>
        <v>-1190.2950975007909</v>
      </c>
      <c r="Y89" s="103">
        <f>97.2*424.48</f>
        <v>41259.456000000006</v>
      </c>
      <c r="Z89" s="103">
        <f>97.2*424.48</f>
        <v>41259.456000000006</v>
      </c>
      <c r="AA89" s="64">
        <v>2</v>
      </c>
      <c r="AB89" s="65">
        <v>239.75</v>
      </c>
      <c r="AC89" s="65">
        <v>550.5</v>
      </c>
      <c r="AD89" s="65">
        <v>0</v>
      </c>
      <c r="AE89" s="45">
        <v>790.25</v>
      </c>
      <c r="AF89" s="5"/>
    </row>
    <row r="90" spans="1:241" ht="16.5" customHeight="1" x14ac:dyDescent="0.25">
      <c r="A90" s="41">
        <v>80</v>
      </c>
      <c r="B90" s="42" t="s">
        <v>94</v>
      </c>
      <c r="C90" s="42" t="s">
        <v>175</v>
      </c>
      <c r="D90" s="102"/>
      <c r="E90" s="65"/>
      <c r="F90" s="65">
        <f>2464366.06*424.48</f>
        <v>1046074105.1488</v>
      </c>
      <c r="G90" s="65">
        <f>11558688.36*424.48</f>
        <v>4906432035.0528002</v>
      </c>
      <c r="H90" s="65"/>
      <c r="I90" s="65"/>
      <c r="J90" s="103">
        <f>14093060.75*424.48</f>
        <v>5982222427.1599998</v>
      </c>
      <c r="K90" s="103">
        <f>79227.09*424.48</f>
        <v>33630315.163199998</v>
      </c>
      <c r="L90" s="103">
        <f>20746.08*424.48</f>
        <v>8806296.0384000018</v>
      </c>
      <c r="M90" s="111">
        <f>58481.01*424.48</f>
        <v>24824019.1248</v>
      </c>
      <c r="N90" s="65">
        <f>14093060.75*424.48</f>
        <v>5982222427.1599998</v>
      </c>
      <c r="O90" s="65">
        <f>58929*424.48</f>
        <v>25014181.920000002</v>
      </c>
      <c r="P90" s="49">
        <f>14085123.37*416.68</f>
        <v>5868989205.8115997</v>
      </c>
      <c r="Q90" s="50">
        <f t="shared" si="33"/>
        <v>2.0441679433384041E-2</v>
      </c>
      <c r="R90" s="49">
        <f>14034131.54*424.48</f>
        <v>5957208156.0992002</v>
      </c>
      <c r="S90" s="50">
        <f>(R90/$R$103)</f>
        <v>1.9594665333049037E-2</v>
      </c>
      <c r="T90" s="51">
        <f t="shared" si="34"/>
        <v>1.5031370342314518E-2</v>
      </c>
      <c r="U90" s="52">
        <f>(L90/R90)</f>
        <v>1.4782589104904459E-3</v>
      </c>
      <c r="V90" s="53">
        <f>M90/R90</f>
        <v>4.1670558547436841E-3</v>
      </c>
      <c r="W90" s="54">
        <f t="shared" si="35"/>
        <v>517.20954460055407</v>
      </c>
      <c r="X90" s="54">
        <f>M90/AE90</f>
        <v>2.1552410609570534</v>
      </c>
      <c r="Y90" s="65">
        <f>1.24*424.48</f>
        <v>526.35519999999997</v>
      </c>
      <c r="Z90" s="65">
        <f>1.24*424.48</f>
        <v>526.35519999999997</v>
      </c>
      <c r="AA90" s="58">
        <v>126</v>
      </c>
      <c r="AB90" s="58">
        <v>11603402</v>
      </c>
      <c r="AC90" s="58">
        <v>93468</v>
      </c>
      <c r="AD90" s="58">
        <v>178892</v>
      </c>
      <c r="AE90" s="55">
        <v>11517978</v>
      </c>
      <c r="AF90" s="5"/>
    </row>
    <row r="91" spans="1:241" ht="16.5" customHeight="1" x14ac:dyDescent="0.25">
      <c r="A91" s="41">
        <v>81</v>
      </c>
      <c r="B91" s="42" t="s">
        <v>188</v>
      </c>
      <c r="C91" s="42" t="s">
        <v>33</v>
      </c>
      <c r="D91" s="102"/>
      <c r="E91" s="65"/>
      <c r="F91" s="65">
        <f>27588330*424.48</f>
        <v>11710694318.4</v>
      </c>
      <c r="G91" s="65">
        <f>151538330*424.48</f>
        <v>64324990318.400002</v>
      </c>
      <c r="H91" s="65"/>
      <c r="I91" s="103"/>
      <c r="J91" s="65">
        <f>F91+G91</f>
        <v>76035684636.800003</v>
      </c>
      <c r="K91" s="103">
        <f>1610060*424.48</f>
        <v>683438268.80000007</v>
      </c>
      <c r="L91" s="103">
        <f>305606*424.48</f>
        <v>129723634.88000001</v>
      </c>
      <c r="M91" s="111">
        <f>1304454*424.48</f>
        <v>553714633.92000008</v>
      </c>
      <c r="N91" s="65">
        <f>179186198*424.48</f>
        <v>76060957327.040009</v>
      </c>
      <c r="O91" s="65">
        <f>2375847*424.48</f>
        <v>1008499534.5600001</v>
      </c>
      <c r="P91" s="49">
        <f>175394527*416.68</f>
        <v>73083391510.360001</v>
      </c>
      <c r="Q91" s="112">
        <f t="shared" si="33"/>
        <v>0.25454932847379258</v>
      </c>
      <c r="R91" s="49">
        <f>176810351*424.48</f>
        <v>75052457792.479996</v>
      </c>
      <c r="S91" s="50">
        <f>(R91/$R$103)</f>
        <v>0.24686526881904455</v>
      </c>
      <c r="T91" s="51">
        <f t="shared" si="34"/>
        <v>2.6942732697905356E-2</v>
      </c>
      <c r="U91" s="52">
        <f>(L91/R91)</f>
        <v>1.7284395301042077E-3</v>
      </c>
      <c r="V91" s="53">
        <f>M91/R91</f>
        <v>7.3777015464439651E-3</v>
      </c>
      <c r="W91" s="54">
        <f t="shared" si="35"/>
        <v>52321.053073965115</v>
      </c>
      <c r="X91" s="54">
        <f>M91/AE91</f>
        <v>386.00911417536918</v>
      </c>
      <c r="Y91" s="65">
        <f>123.26*424.48</f>
        <v>52321.404800000004</v>
      </c>
      <c r="Z91" s="65">
        <f>123.26*424.48</f>
        <v>52321.404800000004</v>
      </c>
      <c r="AA91" s="64">
        <v>1256</v>
      </c>
      <c r="AB91" s="64">
        <v>1392854</v>
      </c>
      <c r="AC91" s="64">
        <v>276974</v>
      </c>
      <c r="AD91" s="64">
        <v>235367</v>
      </c>
      <c r="AE91" s="45">
        <v>1434460</v>
      </c>
      <c r="AF91" s="5"/>
    </row>
    <row r="92" spans="1:241" ht="16.5" customHeight="1" x14ac:dyDescent="0.25">
      <c r="A92" s="41">
        <v>82</v>
      </c>
      <c r="B92" s="42" t="s">
        <v>95</v>
      </c>
      <c r="C92" s="42" t="s">
        <v>46</v>
      </c>
      <c r="D92" s="102"/>
      <c r="E92" s="65"/>
      <c r="F92" s="103"/>
      <c r="G92" s="65">
        <v>661618038.75</v>
      </c>
      <c r="H92" s="65"/>
      <c r="I92" s="103">
        <v>0</v>
      </c>
      <c r="J92" s="65">
        <v>661618038.75</v>
      </c>
      <c r="K92" s="103">
        <v>3594392.28</v>
      </c>
      <c r="L92" s="103">
        <v>871521.39</v>
      </c>
      <c r="M92" s="111">
        <v>2722870.89</v>
      </c>
      <c r="N92" s="65">
        <v>682077355.71000004</v>
      </c>
      <c r="O92" s="103">
        <v>16124487.630000001</v>
      </c>
      <c r="P92" s="49">
        <v>665952868.08000004</v>
      </c>
      <c r="Q92" s="50">
        <f t="shared" si="33"/>
        <v>2.3195127081770696E-3</v>
      </c>
      <c r="R92" s="49">
        <v>661618038.75</v>
      </c>
      <c r="S92" s="50">
        <f>(R92/$R$103)</f>
        <v>2.1762180719405162E-3</v>
      </c>
      <c r="T92" s="51">
        <f t="shared" si="34"/>
        <v>-6.5092133959836112E-3</v>
      </c>
      <c r="U92" s="52">
        <f>(L92/R92)</f>
        <v>1.3172576002410273E-3</v>
      </c>
      <c r="V92" s="53">
        <f>M92/R92</f>
        <v>4.1154725695574153E-3</v>
      </c>
      <c r="W92" s="54">
        <f t="shared" si="35"/>
        <v>48149.19137981224</v>
      </c>
      <c r="X92" s="54">
        <f>M92/AE92</f>
        <v>198.15667636998765</v>
      </c>
      <c r="Y92" s="103">
        <v>120.1133</v>
      </c>
      <c r="Z92" s="103">
        <v>123.12269999999999</v>
      </c>
      <c r="AA92" s="64">
        <v>38</v>
      </c>
      <c r="AB92" s="64">
        <v>13736</v>
      </c>
      <c r="AC92" s="64">
        <v>5</v>
      </c>
      <c r="AD92" s="64"/>
      <c r="AE92" s="45">
        <v>13741</v>
      </c>
      <c r="AF92" s="5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7"/>
      <c r="BG92" s="17"/>
      <c r="BH92" s="17"/>
      <c r="BI92" s="17"/>
      <c r="BJ92" s="17"/>
      <c r="BK92" s="17"/>
      <c r="BL92" s="17"/>
      <c r="BM92" s="17"/>
      <c r="BN92" s="17"/>
      <c r="BO92" s="17"/>
      <c r="BP92" s="17"/>
      <c r="BQ92" s="17"/>
      <c r="BR92" s="17"/>
      <c r="BS92" s="17"/>
      <c r="BT92" s="17"/>
      <c r="BU92" s="17"/>
      <c r="BV92" s="17"/>
      <c r="BW92" s="17"/>
      <c r="BX92" s="17"/>
      <c r="BY92" s="17"/>
      <c r="BZ92" s="17"/>
      <c r="CA92" s="17"/>
      <c r="CB92" s="17"/>
      <c r="CC92" s="17"/>
      <c r="CD92" s="17"/>
      <c r="CE92" s="17"/>
      <c r="CF92" s="17"/>
      <c r="CG92" s="17"/>
      <c r="CH92" s="17"/>
      <c r="CI92" s="17"/>
      <c r="CJ92" s="17"/>
      <c r="CK92" s="17"/>
      <c r="CL92" s="17"/>
      <c r="CM92" s="17"/>
      <c r="CN92" s="17"/>
      <c r="CO92" s="17"/>
      <c r="CP92" s="17"/>
      <c r="CQ92" s="17"/>
      <c r="CR92" s="17"/>
      <c r="CS92" s="17"/>
      <c r="CT92" s="17"/>
      <c r="CU92" s="17"/>
      <c r="CV92" s="17"/>
      <c r="CW92" s="17"/>
      <c r="CX92" s="17"/>
      <c r="CY92" s="17"/>
      <c r="CZ92" s="17"/>
      <c r="DA92" s="17"/>
      <c r="DB92" s="17"/>
      <c r="DC92" s="17"/>
      <c r="DD92" s="17"/>
      <c r="DE92" s="17"/>
      <c r="DF92" s="17"/>
      <c r="DG92" s="17"/>
      <c r="DH92" s="17"/>
      <c r="DI92" s="17"/>
      <c r="DJ92" s="17"/>
      <c r="DK92" s="17"/>
      <c r="DL92" s="17"/>
      <c r="DM92" s="17"/>
      <c r="DN92" s="17"/>
      <c r="DO92" s="17"/>
      <c r="DP92" s="17"/>
      <c r="DQ92" s="17"/>
      <c r="DR92" s="17"/>
      <c r="DS92" s="17"/>
      <c r="DT92" s="17"/>
      <c r="DU92" s="17"/>
      <c r="DV92" s="17"/>
      <c r="DW92" s="17"/>
      <c r="DX92" s="17"/>
      <c r="DY92" s="17"/>
      <c r="DZ92" s="17"/>
      <c r="EA92" s="17"/>
      <c r="EB92" s="17"/>
      <c r="EC92" s="17"/>
      <c r="ED92" s="17"/>
      <c r="EE92" s="17"/>
      <c r="EF92" s="17"/>
      <c r="EG92" s="17"/>
      <c r="EH92" s="17"/>
      <c r="EI92" s="17"/>
      <c r="EJ92" s="17"/>
      <c r="EK92" s="17"/>
      <c r="EL92" s="17"/>
      <c r="EM92" s="17"/>
      <c r="EN92" s="17"/>
      <c r="EO92" s="17"/>
      <c r="EP92" s="17"/>
      <c r="EQ92" s="17"/>
      <c r="ER92" s="17"/>
      <c r="ES92" s="17"/>
      <c r="ET92" s="17"/>
      <c r="EU92" s="17"/>
      <c r="EV92" s="17"/>
      <c r="EW92" s="17"/>
      <c r="EX92" s="17"/>
      <c r="EY92" s="17"/>
      <c r="EZ92" s="17"/>
      <c r="FA92" s="17"/>
      <c r="FB92" s="17"/>
      <c r="FC92" s="17"/>
      <c r="FD92" s="17"/>
      <c r="FE92" s="17"/>
      <c r="FF92" s="17"/>
      <c r="FG92" s="17"/>
      <c r="FH92" s="17"/>
      <c r="FI92" s="17"/>
      <c r="FJ92" s="17"/>
      <c r="FK92" s="17"/>
      <c r="FL92" s="17"/>
      <c r="FM92" s="17"/>
      <c r="FN92" s="17"/>
      <c r="FO92" s="17"/>
      <c r="FP92" s="17"/>
      <c r="FQ92" s="17"/>
      <c r="FR92" s="17"/>
      <c r="FS92" s="17"/>
      <c r="FT92" s="17"/>
      <c r="FU92" s="17"/>
      <c r="FV92" s="17"/>
      <c r="FW92" s="17"/>
      <c r="FX92" s="17"/>
      <c r="FY92" s="17"/>
      <c r="FZ92" s="17"/>
      <c r="GA92" s="17"/>
      <c r="GB92" s="17"/>
      <c r="GC92" s="17"/>
      <c r="GD92" s="17"/>
      <c r="GE92" s="17"/>
      <c r="GF92" s="17"/>
      <c r="GG92" s="17"/>
      <c r="GH92" s="17"/>
      <c r="GI92" s="17"/>
      <c r="GJ92" s="17"/>
      <c r="GK92" s="17"/>
      <c r="GL92" s="17"/>
      <c r="GM92" s="17"/>
      <c r="GN92" s="17"/>
      <c r="GO92" s="17"/>
      <c r="GP92" s="17"/>
      <c r="GQ92" s="17"/>
      <c r="GR92" s="17"/>
      <c r="GS92" s="17"/>
      <c r="GT92" s="17"/>
      <c r="GU92" s="17"/>
      <c r="GV92" s="17"/>
      <c r="GW92" s="17"/>
      <c r="GX92" s="17"/>
      <c r="GY92" s="17"/>
      <c r="GZ92" s="17"/>
      <c r="HA92" s="17"/>
      <c r="HB92" s="17"/>
      <c r="HC92" s="17"/>
      <c r="HD92" s="17"/>
      <c r="HE92" s="17"/>
      <c r="HF92" s="17"/>
      <c r="HG92" s="17"/>
      <c r="HH92" s="17"/>
      <c r="HI92" s="17"/>
      <c r="HJ92" s="17"/>
      <c r="HK92" s="17"/>
      <c r="HL92" s="17"/>
      <c r="HM92" s="17"/>
      <c r="HN92" s="17"/>
      <c r="HO92" s="17"/>
      <c r="HP92" s="17"/>
      <c r="HQ92" s="17"/>
      <c r="HR92" s="17"/>
      <c r="HS92" s="17"/>
      <c r="HT92" s="17"/>
      <c r="HU92" s="17"/>
      <c r="HV92" s="17"/>
      <c r="HW92" s="17"/>
      <c r="HX92" s="17"/>
      <c r="HY92" s="17"/>
      <c r="HZ92" s="17"/>
      <c r="IA92" s="17"/>
      <c r="IB92" s="17"/>
      <c r="IC92" s="17"/>
      <c r="ID92" s="17"/>
      <c r="IE92" s="17"/>
      <c r="IF92" s="17"/>
      <c r="IG92" s="17"/>
    </row>
    <row r="93" spans="1:241" ht="6" customHeight="1" x14ac:dyDescent="0.25">
      <c r="A93" s="69"/>
      <c r="B93" s="120"/>
      <c r="C93" s="119"/>
      <c r="D93" s="44"/>
      <c r="E93" s="44"/>
      <c r="F93" s="44"/>
      <c r="G93" s="44"/>
      <c r="H93" s="44"/>
      <c r="I93" s="45"/>
      <c r="J93" s="121"/>
      <c r="K93" s="121"/>
      <c r="L93" s="121"/>
      <c r="M93" s="111"/>
      <c r="N93" s="65"/>
      <c r="O93" s="65"/>
      <c r="P93" s="98"/>
      <c r="Q93" s="50"/>
      <c r="R93" s="73"/>
      <c r="S93" s="50"/>
      <c r="T93" s="51"/>
      <c r="U93" s="52"/>
      <c r="V93" s="53"/>
      <c r="W93" s="54"/>
      <c r="X93" s="54"/>
      <c r="Y93" s="65"/>
      <c r="Z93" s="65"/>
      <c r="AA93" s="64"/>
      <c r="AB93" s="64"/>
      <c r="AC93" s="64"/>
      <c r="AD93" s="64"/>
      <c r="AE93" s="48"/>
      <c r="AF93" s="5"/>
    </row>
    <row r="94" spans="1:241" ht="16.5" customHeight="1" x14ac:dyDescent="0.25">
      <c r="A94" s="163" t="s">
        <v>222</v>
      </c>
      <c r="B94" s="164"/>
      <c r="C94" s="164"/>
      <c r="D94" s="164"/>
      <c r="E94" s="164"/>
      <c r="F94" s="164"/>
      <c r="G94" s="164"/>
      <c r="H94" s="164"/>
      <c r="I94" s="164"/>
      <c r="J94" s="164"/>
      <c r="K94" s="164"/>
      <c r="L94" s="164"/>
      <c r="M94" s="164"/>
      <c r="N94" s="164"/>
      <c r="O94" s="164"/>
      <c r="P94" s="164"/>
      <c r="Q94" s="164"/>
      <c r="R94" s="164"/>
      <c r="S94" s="164"/>
      <c r="T94" s="164"/>
      <c r="U94" s="164"/>
      <c r="V94" s="164"/>
      <c r="W94" s="164"/>
      <c r="X94" s="164"/>
      <c r="Y94" s="164"/>
      <c r="Z94" s="164"/>
      <c r="AA94" s="164"/>
      <c r="AB94" s="164"/>
      <c r="AC94" s="164"/>
      <c r="AD94" s="164"/>
      <c r="AE94" s="165"/>
      <c r="AF94" s="5"/>
    </row>
    <row r="95" spans="1:241" ht="16.5" customHeight="1" x14ac:dyDescent="0.25">
      <c r="A95" s="41">
        <v>83</v>
      </c>
      <c r="B95" s="42" t="s">
        <v>121</v>
      </c>
      <c r="C95" s="56" t="s">
        <v>120</v>
      </c>
      <c r="D95" s="45"/>
      <c r="E95" s="45"/>
      <c r="F95" s="45"/>
      <c r="G95" s="45">
        <f>609644.87*424.48</f>
        <v>258782054.41760001</v>
      </c>
      <c r="H95" s="45"/>
      <c r="I95" s="45"/>
      <c r="J95" s="45">
        <f>609644.87*424.48</f>
        <v>258782054.41760001</v>
      </c>
      <c r="K95" s="45">
        <f>5605.22*424.48</f>
        <v>2379303.7856000001</v>
      </c>
      <c r="L95" s="45">
        <f>1271.69*424.48</f>
        <v>539806.97120000003</v>
      </c>
      <c r="M95" s="115">
        <f>4333.53*424.48</f>
        <v>1839496.8144</v>
      </c>
      <c r="N95" s="45">
        <f>761751.41*424.48</f>
        <v>323348238.51680005</v>
      </c>
      <c r="O95" s="45">
        <f>46511.02*424.48</f>
        <v>19742997.7696</v>
      </c>
      <c r="P95" s="73">
        <f>809996.01*416.68</f>
        <v>337509137.44679999</v>
      </c>
      <c r="Q95" s="50">
        <f t="shared" ref="Q95:Q102" si="36">(P95/$P$103)</f>
        <v>1.1755437523540936E-3</v>
      </c>
      <c r="R95" s="73">
        <f>715240.39 *424.48</f>
        <v>303605240.74720001</v>
      </c>
      <c r="S95" s="50">
        <f t="shared" ref="S95:S102" si="37">(R95/$R$103)</f>
        <v>9.9862937972216496E-4</v>
      </c>
      <c r="T95" s="51">
        <f t="shared" ref="T95:T102" si="38">((R95-P95)/P95)</f>
        <v>-0.10045327055758334</v>
      </c>
      <c r="U95" s="52">
        <f>(L95/R95)</f>
        <v>1.7779896350652122E-3</v>
      </c>
      <c r="V95" s="53" t="e">
        <f>#REF!/R95</f>
        <v>#REF!</v>
      </c>
      <c r="W95" s="54">
        <f t="shared" ref="W95:W102" si="39">R95/AE95</f>
        <v>38136.570876422564</v>
      </c>
      <c r="X95" s="54" t="e">
        <f>#REF!/AE95</f>
        <v>#REF!</v>
      </c>
      <c r="Y95" s="65">
        <f>89.84*424.48</f>
        <v>38135.283200000005</v>
      </c>
      <c r="Z95" s="65">
        <f>89.84*424.48</f>
        <v>38135.283200000005</v>
      </c>
      <c r="AA95" s="122">
        <v>26</v>
      </c>
      <c r="AB95" s="122">
        <v>7961</v>
      </c>
      <c r="AC95" s="122">
        <v>0</v>
      </c>
      <c r="AD95" s="122">
        <v>0</v>
      </c>
      <c r="AE95" s="45">
        <v>7961</v>
      </c>
      <c r="AF95" s="5"/>
    </row>
    <row r="96" spans="1:241" ht="16.5" customHeight="1" x14ac:dyDescent="0.25">
      <c r="A96" s="41">
        <v>84</v>
      </c>
      <c r="B96" s="42" t="s">
        <v>195</v>
      </c>
      <c r="C96" s="56" t="s">
        <v>42</v>
      </c>
      <c r="D96" s="102"/>
      <c r="E96" s="65"/>
      <c r="F96" s="65">
        <f>700481.2*424.48</f>
        <v>297340259.77599996</v>
      </c>
      <c r="G96" s="65">
        <f>5967852.14*424.48</f>
        <v>2533233876.3871999</v>
      </c>
      <c r="H96" s="65"/>
      <c r="I96" s="65"/>
      <c r="J96" s="65">
        <f>F96+G96</f>
        <v>2830574136.1631999</v>
      </c>
      <c r="K96" s="65">
        <f>129594.12*424.48</f>
        <v>55010112.057599999</v>
      </c>
      <c r="L96" s="65">
        <f>12935.57*424.48</f>
        <v>5490890.7536000004</v>
      </c>
      <c r="M96" s="111">
        <f>116658.55*424.48</f>
        <v>49519221.304000005</v>
      </c>
      <c r="N96" s="118">
        <f>6845705.59*424.48</f>
        <v>2905865108.8432002</v>
      </c>
      <c r="O96" s="118">
        <f>12935.57*424.48</f>
        <v>5490890.7536000004</v>
      </c>
      <c r="P96" s="49">
        <f>6766659.83*416.68</f>
        <v>2819531817.9644003</v>
      </c>
      <c r="Q96" s="50">
        <f t="shared" si="36"/>
        <v>9.8204245320441929E-3</v>
      </c>
      <c r="R96" s="49">
        <f>6832770.02*424.48</f>
        <v>2900374218.0896001</v>
      </c>
      <c r="S96" s="50">
        <f t="shared" si="37"/>
        <v>9.5400161711460471E-3</v>
      </c>
      <c r="T96" s="51">
        <f t="shared" si="38"/>
        <v>2.8672278003787549E-2</v>
      </c>
      <c r="U96" s="52">
        <f>(L96/R96)</f>
        <v>1.893166309144999E-3</v>
      </c>
      <c r="V96" s="53">
        <f>M96/R96</f>
        <v>1.7073390390505198E-2</v>
      </c>
      <c r="W96" s="54">
        <f t="shared" si="39"/>
        <v>52066.713953112972</v>
      </c>
      <c r="X96" s="54">
        <f>M96/AE96</f>
        <v>888.95533367226199</v>
      </c>
      <c r="Y96" s="103">
        <f>122.23*424.48</f>
        <v>51884.190400000007</v>
      </c>
      <c r="Z96" s="103">
        <f>123.09*424.48</f>
        <v>52249.243200000004</v>
      </c>
      <c r="AA96" s="64">
        <v>305</v>
      </c>
      <c r="AB96" s="65">
        <v>55163.6</v>
      </c>
      <c r="AC96" s="65">
        <v>3024.72</v>
      </c>
      <c r="AD96" s="65">
        <v>2483.36</v>
      </c>
      <c r="AE96" s="65">
        <v>55704.959999999999</v>
      </c>
      <c r="AF96" s="5"/>
    </row>
    <row r="97" spans="1:241" ht="16.5" customHeight="1" x14ac:dyDescent="0.25">
      <c r="A97" s="41">
        <v>85</v>
      </c>
      <c r="B97" s="42" t="s">
        <v>118</v>
      </c>
      <c r="C97" s="42" t="s">
        <v>65</v>
      </c>
      <c r="D97" s="45"/>
      <c r="E97" s="45"/>
      <c r="F97" s="45"/>
      <c r="G97" s="45">
        <f>12173051.61*424.48</f>
        <v>5167216947.4127998</v>
      </c>
      <c r="H97" s="45"/>
      <c r="I97" s="45"/>
      <c r="J97" s="45">
        <f>12173051.61*424.48</f>
        <v>5167216947.4127998</v>
      </c>
      <c r="K97" s="45">
        <f>87616.11*424.48</f>
        <v>37191286.3728</v>
      </c>
      <c r="L97" s="45">
        <f>24378.7*424.48</f>
        <v>10348270.576000001</v>
      </c>
      <c r="M97" s="115">
        <f>63237.41*424.48</f>
        <v>26843015.796800002</v>
      </c>
      <c r="N97" s="45">
        <f>14171003.53*424.48</f>
        <v>6015307578.4144001</v>
      </c>
      <c r="O97" s="45">
        <f>136689.34*424.48</f>
        <v>58021891.043200001</v>
      </c>
      <c r="P97" s="73">
        <f>13968577.28*416.68</f>
        <v>5820426781.0304003</v>
      </c>
      <c r="Q97" s="50">
        <f t="shared" si="36"/>
        <v>2.0272536590370784E-2</v>
      </c>
      <c r="R97" s="73">
        <f>14034314.19*424.48</f>
        <v>5957285687.3711996</v>
      </c>
      <c r="S97" s="50">
        <f t="shared" si="37"/>
        <v>1.9594920351723534E-2</v>
      </c>
      <c r="T97" s="51">
        <f t="shared" si="38"/>
        <v>2.3513551753084842E-2</v>
      </c>
      <c r="U97" s="52">
        <f>(M97/R97)</f>
        <v>4.5059138012642722E-3</v>
      </c>
      <c r="V97" s="53" t="e">
        <f>#REF!/R97</f>
        <v>#REF!</v>
      </c>
      <c r="W97" s="54">
        <f t="shared" si="39"/>
        <v>47361.235827857279</v>
      </c>
      <c r="X97" s="54" t="e">
        <f>#REF!/AE97</f>
        <v>#REF!</v>
      </c>
      <c r="Y97" s="65">
        <f>111.12*424.48</f>
        <v>47168.217600000004</v>
      </c>
      <c r="Z97" s="65">
        <f>111.12*424.48</f>
        <v>47168.217600000004</v>
      </c>
      <c r="AA97" s="122">
        <v>497</v>
      </c>
      <c r="AB97" s="122">
        <v>124466</v>
      </c>
      <c r="AC97" s="122">
        <v>12235</v>
      </c>
      <c r="AD97" s="122">
        <v>10917</v>
      </c>
      <c r="AE97" s="45">
        <v>125784</v>
      </c>
      <c r="AF97" s="5"/>
    </row>
    <row r="98" spans="1:241" ht="16.5" customHeight="1" x14ac:dyDescent="0.25">
      <c r="A98" s="41">
        <v>86</v>
      </c>
      <c r="B98" s="42" t="s">
        <v>122</v>
      </c>
      <c r="C98" s="56" t="s">
        <v>82</v>
      </c>
      <c r="D98" s="45"/>
      <c r="E98" s="45"/>
      <c r="F98" s="45">
        <f>691877.69*424.48</f>
        <v>293688241.85119998</v>
      </c>
      <c r="G98" s="45">
        <f>3753507.37*424.48</f>
        <v>1593288808.4176002</v>
      </c>
      <c r="H98" s="45"/>
      <c r="I98" s="45"/>
      <c r="J98" s="45">
        <f>4445385.06*424.48</f>
        <v>1886977050.2688</v>
      </c>
      <c r="K98" s="45">
        <f>23769.99*424.48</f>
        <v>10089885.355200002</v>
      </c>
      <c r="L98" s="45">
        <f>5326.36*424.48</f>
        <v>2260933.2927999999</v>
      </c>
      <c r="M98" s="115">
        <f>19260.67*424.48</f>
        <v>8175769.2015999993</v>
      </c>
      <c r="N98" s="45">
        <f>4482810.15*424.48</f>
        <v>1902863252.4720001</v>
      </c>
      <c r="O98" s="45">
        <f>18579.01*424.48</f>
        <v>7886418.1647999994</v>
      </c>
      <c r="P98" s="73">
        <f>4750093.99*416.68</f>
        <v>1979269163.7532001</v>
      </c>
      <c r="Q98" s="50">
        <f t="shared" si="36"/>
        <v>6.8937911348961193E-3</v>
      </c>
      <c r="R98" s="73">
        <f>4464231.14*424.48</f>
        <v>1894976834.3072</v>
      </c>
      <c r="S98" s="50">
        <f t="shared" si="37"/>
        <v>6.2330265972179973E-3</v>
      </c>
      <c r="T98" s="51">
        <f t="shared" si="38"/>
        <v>-4.2587603035334674E-2</v>
      </c>
      <c r="U98" s="52">
        <f>(L98/R98)</f>
        <v>1.1931192254530083E-3</v>
      </c>
      <c r="V98" s="53">
        <f>M98/R98</f>
        <v>4.3144428225103055E-3</v>
      </c>
      <c r="W98" s="54">
        <f t="shared" si="39"/>
        <v>472.67409097841806</v>
      </c>
      <c r="X98" s="54">
        <f>M98/AE98</f>
        <v>2.039325339208419</v>
      </c>
      <c r="Y98" s="65">
        <f>1.11*424.48</f>
        <v>471.17280000000005</v>
      </c>
      <c r="Z98" s="65">
        <f>1.11*424.48</f>
        <v>471.17280000000005</v>
      </c>
      <c r="AA98" s="122">
        <v>119</v>
      </c>
      <c r="AB98" s="122">
        <v>4282172.0999999996</v>
      </c>
      <c r="AC98" s="48">
        <v>501961.9</v>
      </c>
      <c r="AD98" s="48">
        <v>775078.14</v>
      </c>
      <c r="AE98" s="45">
        <v>4009055.86</v>
      </c>
      <c r="AF98" s="5"/>
      <c r="AG98" s="34">
        <v>424.48</v>
      </c>
    </row>
    <row r="99" spans="1:241" ht="15.75" customHeight="1" x14ac:dyDescent="0.25">
      <c r="A99" s="41">
        <v>87</v>
      </c>
      <c r="B99" s="56" t="s">
        <v>176</v>
      </c>
      <c r="C99" s="56" t="s">
        <v>29</v>
      </c>
      <c r="D99" s="45"/>
      <c r="E99" s="45"/>
      <c r="F99" s="123">
        <f>202525.8*424.48</f>
        <v>85968151.583999991</v>
      </c>
      <c r="G99" s="123">
        <f>7985535.3*424.48</f>
        <v>3389700024.1440001</v>
      </c>
      <c r="H99" s="45"/>
      <c r="I99" s="45"/>
      <c r="J99" s="45">
        <f>8188061.04*415.72</f>
        <v>3403940735.5488005</v>
      </c>
      <c r="K99" s="45">
        <f xml:space="preserve"> 91305.3*424.48</f>
        <v>38757273.744000003</v>
      </c>
      <c r="L99" s="45">
        <f>14490.1*424.48</f>
        <v>6150757.648</v>
      </c>
      <c r="M99" s="115">
        <f>76815.1*424.48</f>
        <v>32606473.648000006</v>
      </c>
      <c r="N99" s="45">
        <f>8366767.6*424.48</f>
        <v>3551525510.848</v>
      </c>
      <c r="O99" s="45">
        <f>37095.9*424.48</f>
        <v>15746467.632000001</v>
      </c>
      <c r="P99" s="73">
        <f>7804290*416.68</f>
        <v>3251891557.2000003</v>
      </c>
      <c r="Q99" s="112">
        <f t="shared" si="36"/>
        <v>1.1326332769292938E-2</v>
      </c>
      <c r="R99" s="73">
        <f>8329671.7 *424.48</f>
        <v>3535779043.2160001</v>
      </c>
      <c r="S99" s="50">
        <f t="shared" si="37"/>
        <v>1.1630012789211011E-2</v>
      </c>
      <c r="T99" s="51">
        <f t="shared" si="38"/>
        <v>8.7299186034492951E-2</v>
      </c>
      <c r="U99" s="52">
        <f>(L99/R99)</f>
        <v>1.7395763628955509E-3</v>
      </c>
      <c r="V99" s="53">
        <f>M99/R99</f>
        <v>9.2218640501761928E-3</v>
      </c>
      <c r="W99" s="54">
        <f t="shared" si="39"/>
        <v>435.38994835258023</v>
      </c>
      <c r="X99" s="54">
        <f>M99/AE99</f>
        <v>4.0151069125207286</v>
      </c>
      <c r="Y99" s="65">
        <f xml:space="preserve"> 1.0257*424.48</f>
        <v>435.38913600000006</v>
      </c>
      <c r="Z99" s="65">
        <f xml:space="preserve"> 1.0257*424.48</f>
        <v>435.38913600000006</v>
      </c>
      <c r="AA99" s="122">
        <v>267</v>
      </c>
      <c r="AB99" s="48">
        <v>7681752.5</v>
      </c>
      <c r="AC99" s="122">
        <v>482228.1</v>
      </c>
      <c r="AD99" s="124">
        <v>43032.800000000003</v>
      </c>
      <c r="AE99" s="45">
        <v>8120947.7999999998</v>
      </c>
      <c r="AF99" s="5"/>
    </row>
    <row r="100" spans="1:241" ht="16.5" customHeight="1" x14ac:dyDescent="0.25">
      <c r="A100" s="41">
        <v>88</v>
      </c>
      <c r="B100" s="42" t="s">
        <v>123</v>
      </c>
      <c r="C100" s="56" t="s">
        <v>89</v>
      </c>
      <c r="D100" s="45"/>
      <c r="E100" s="45"/>
      <c r="F100" s="45"/>
      <c r="G100" s="45">
        <f>164093.16*410.64</f>
        <v>67383215.222399995</v>
      </c>
      <c r="H100" s="45"/>
      <c r="I100" s="45"/>
      <c r="J100" s="45">
        <f>164093.16*410.64</f>
        <v>67383215.222399995</v>
      </c>
      <c r="K100" s="45">
        <f>1317.98*410.64</f>
        <v>541215.30720000004</v>
      </c>
      <c r="L100" s="45">
        <f>90.34*410.64</f>
        <v>37097.217600000004</v>
      </c>
      <c r="M100" s="115">
        <f>1227.64*410.64</f>
        <v>504118.08960000001</v>
      </c>
      <c r="N100" s="45">
        <f>209959.01*410.64</f>
        <v>86217567.866400003</v>
      </c>
      <c r="O100" s="45">
        <f>2990.65*410.64</f>
        <v>1228080.5160000001</v>
      </c>
      <c r="P100" s="73">
        <f>200952.85*416.68</f>
        <v>83733033.538000003</v>
      </c>
      <c r="Q100" s="50">
        <f t="shared" si="36"/>
        <v>2.9164201356405363E-4</v>
      </c>
      <c r="R100" s="73">
        <f>207765.95*410.64</f>
        <v>85317009.708000004</v>
      </c>
      <c r="S100" s="50">
        <f t="shared" si="37"/>
        <v>2.8062780561615103E-4</v>
      </c>
      <c r="T100" s="51">
        <f t="shared" si="38"/>
        <v>1.891698058784836E-2</v>
      </c>
      <c r="U100" s="52">
        <f>(L100/R100)</f>
        <v>4.34816195820345E-4</v>
      </c>
      <c r="V100" s="53">
        <f>M100/R100</f>
        <v>5.9087641646766468E-3</v>
      </c>
      <c r="W100" s="54">
        <f t="shared" si="39"/>
        <v>333.94136527780495</v>
      </c>
      <c r="X100" s="54">
        <f>M100/AE100</f>
        <v>1.9731807722566883</v>
      </c>
      <c r="Y100" s="65">
        <v>429.44</v>
      </c>
      <c r="Z100" s="65">
        <v>429.44</v>
      </c>
      <c r="AA100" s="122">
        <v>4</v>
      </c>
      <c r="AB100" s="122">
        <v>261485</v>
      </c>
      <c r="AC100" s="122"/>
      <c r="AD100" s="48">
        <f>AB100-255485</f>
        <v>6000</v>
      </c>
      <c r="AE100" s="122">
        <v>255485</v>
      </c>
      <c r="AF100" s="5"/>
    </row>
    <row r="101" spans="1:241" ht="16.5" customHeight="1" x14ac:dyDescent="0.25">
      <c r="A101" s="41">
        <v>89</v>
      </c>
      <c r="B101" s="42" t="s">
        <v>109</v>
      </c>
      <c r="C101" s="42" t="s">
        <v>23</v>
      </c>
      <c r="D101" s="45"/>
      <c r="E101" s="45"/>
      <c r="F101" s="45">
        <f>114530570.55*424.48</f>
        <v>48615936587.064003</v>
      </c>
      <c r="G101" s="45">
        <f>299636955.81*424.48</f>
        <v>127189895002.22881</v>
      </c>
      <c r="H101" s="45"/>
      <c r="I101" s="45"/>
      <c r="J101" s="45">
        <f>414167526.36*424.48</f>
        <v>175805831589.29282</v>
      </c>
      <c r="K101" s="45">
        <f>2697032.75*424.48</f>
        <v>1144836461.72</v>
      </c>
      <c r="L101" s="45">
        <f>676572.59*424.48</f>
        <v>287191533.00319999</v>
      </c>
      <c r="M101" s="115">
        <f>2020460.16*424.48</f>
        <v>857644928.71679997</v>
      </c>
      <c r="N101" s="45">
        <f>416164727.93*424.48</f>
        <v>176653603711.72641</v>
      </c>
      <c r="O101" s="45">
        <f>1611876.39*424.48</f>
        <v>684209290.02719998</v>
      </c>
      <c r="P101" s="73">
        <f>416573766.79*416.68</f>
        <v>173577957146.05722</v>
      </c>
      <c r="Q101" s="50">
        <f t="shared" si="36"/>
        <v>0.60457172985900975</v>
      </c>
      <c r="R101" s="73">
        <f>414552851.54*424.48</f>
        <v>175969394421.69922</v>
      </c>
      <c r="S101" s="50">
        <f t="shared" si="37"/>
        <v>0.57880492039249209</v>
      </c>
      <c r="T101" s="51">
        <f t="shared" si="38"/>
        <v>1.3777309716980496E-2</v>
      </c>
      <c r="U101" s="52">
        <f>(L101/R101)</f>
        <v>1.6320538804319809E-3</v>
      </c>
      <c r="V101" s="53">
        <f>M101/R101</f>
        <v>4.8738300858245246E-3</v>
      </c>
      <c r="W101" s="54">
        <f t="shared" si="39"/>
        <v>567.15294006372153</v>
      </c>
      <c r="X101" s="54">
        <f>M101/AE101</f>
        <v>2.7642070625463995</v>
      </c>
      <c r="Y101" s="65">
        <f>1.3361*424.48</f>
        <v>567.14772800000003</v>
      </c>
      <c r="Z101" s="65">
        <f>1.3361*424.48</f>
        <v>567.14772800000003</v>
      </c>
      <c r="AA101" s="122">
        <v>4306</v>
      </c>
      <c r="AB101" s="122">
        <v>313287092.92000002</v>
      </c>
      <c r="AC101" s="122">
        <v>9697556.9299999997</v>
      </c>
      <c r="AD101" s="122">
        <v>12716674.51</v>
      </c>
      <c r="AE101" s="45">
        <v>310267975.33999997</v>
      </c>
      <c r="AF101" s="5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7"/>
      <c r="BG101" s="17"/>
      <c r="BH101" s="17"/>
      <c r="BI101" s="17"/>
      <c r="BJ101" s="17"/>
      <c r="BK101" s="17"/>
      <c r="BL101" s="17"/>
      <c r="BM101" s="17"/>
      <c r="BN101" s="17"/>
      <c r="BO101" s="17"/>
      <c r="BP101" s="17"/>
      <c r="BQ101" s="17"/>
      <c r="BR101" s="17"/>
      <c r="BS101" s="17"/>
      <c r="BT101" s="17"/>
      <c r="BU101" s="17"/>
      <c r="BV101" s="17"/>
      <c r="BW101" s="17"/>
      <c r="BX101" s="17"/>
      <c r="BY101" s="17"/>
      <c r="BZ101" s="17"/>
      <c r="CA101" s="17"/>
      <c r="CB101" s="17"/>
      <c r="CC101" s="17"/>
      <c r="CD101" s="17"/>
      <c r="CE101" s="17"/>
      <c r="CF101" s="17"/>
      <c r="CG101" s="17"/>
      <c r="CH101" s="17"/>
      <c r="CI101" s="17"/>
      <c r="CJ101" s="17"/>
      <c r="CK101" s="17"/>
      <c r="CL101" s="17"/>
      <c r="CM101" s="17"/>
      <c r="CN101" s="17"/>
      <c r="CO101" s="17"/>
      <c r="CP101" s="17"/>
      <c r="CQ101" s="17"/>
      <c r="CR101" s="17"/>
      <c r="CS101" s="17"/>
      <c r="CT101" s="17"/>
      <c r="CU101" s="17"/>
      <c r="CV101" s="17"/>
      <c r="CW101" s="17"/>
      <c r="CX101" s="17"/>
      <c r="CY101" s="17"/>
      <c r="CZ101" s="17"/>
      <c r="DA101" s="17"/>
      <c r="DB101" s="17"/>
      <c r="DC101" s="17"/>
      <c r="DD101" s="17"/>
      <c r="DE101" s="17"/>
      <c r="DF101" s="17"/>
      <c r="DG101" s="17"/>
      <c r="DH101" s="17"/>
      <c r="DI101" s="17"/>
      <c r="DJ101" s="17"/>
      <c r="DK101" s="17"/>
      <c r="DL101" s="17"/>
      <c r="DM101" s="17"/>
      <c r="DN101" s="17"/>
      <c r="DO101" s="17"/>
      <c r="DP101" s="17"/>
      <c r="DQ101" s="17"/>
      <c r="DR101" s="17"/>
      <c r="DS101" s="17"/>
      <c r="DT101" s="17"/>
      <c r="DU101" s="17"/>
      <c r="DV101" s="17"/>
      <c r="DW101" s="17"/>
      <c r="DX101" s="17"/>
      <c r="DY101" s="17"/>
      <c r="DZ101" s="17"/>
      <c r="EA101" s="17"/>
      <c r="EB101" s="17"/>
      <c r="EC101" s="17"/>
      <c r="ED101" s="17"/>
      <c r="EE101" s="17"/>
      <c r="EF101" s="17"/>
      <c r="EG101" s="17"/>
      <c r="EH101" s="17"/>
      <c r="EI101" s="17"/>
      <c r="EJ101" s="17"/>
      <c r="EK101" s="17"/>
      <c r="EL101" s="17"/>
      <c r="EM101" s="17"/>
      <c r="EN101" s="17"/>
      <c r="EO101" s="17"/>
      <c r="EP101" s="17"/>
      <c r="EQ101" s="17"/>
      <c r="ER101" s="17"/>
      <c r="ES101" s="17"/>
      <c r="ET101" s="17"/>
      <c r="EU101" s="17"/>
      <c r="EV101" s="17"/>
      <c r="EW101" s="17"/>
      <c r="EX101" s="17"/>
      <c r="EY101" s="17"/>
      <c r="EZ101" s="17"/>
      <c r="FA101" s="17"/>
      <c r="FB101" s="17"/>
      <c r="FC101" s="17"/>
      <c r="FD101" s="17"/>
      <c r="FE101" s="17"/>
      <c r="FF101" s="17"/>
      <c r="FG101" s="17"/>
      <c r="FH101" s="17"/>
      <c r="FI101" s="17"/>
      <c r="FJ101" s="17"/>
      <c r="FK101" s="17"/>
      <c r="FL101" s="17"/>
      <c r="FM101" s="17"/>
      <c r="FN101" s="17"/>
      <c r="FO101" s="17"/>
      <c r="FP101" s="17"/>
      <c r="FQ101" s="17"/>
      <c r="FR101" s="17"/>
      <c r="FS101" s="17"/>
      <c r="FT101" s="17"/>
      <c r="FU101" s="17"/>
      <c r="FV101" s="17"/>
      <c r="FW101" s="17"/>
      <c r="FX101" s="17"/>
      <c r="FY101" s="17"/>
      <c r="FZ101" s="17"/>
      <c r="GA101" s="17"/>
      <c r="GB101" s="17"/>
      <c r="GC101" s="17"/>
      <c r="GD101" s="17"/>
      <c r="GE101" s="17"/>
      <c r="GF101" s="17"/>
      <c r="GG101" s="17"/>
      <c r="GH101" s="17"/>
      <c r="GI101" s="17"/>
      <c r="GJ101" s="17"/>
      <c r="GK101" s="17"/>
      <c r="GL101" s="17"/>
      <c r="GM101" s="17"/>
      <c r="GN101" s="17"/>
      <c r="GO101" s="17"/>
      <c r="GP101" s="17"/>
      <c r="GQ101" s="17"/>
      <c r="GR101" s="17"/>
      <c r="GS101" s="17"/>
      <c r="GT101" s="17"/>
      <c r="GU101" s="17"/>
      <c r="GV101" s="17"/>
      <c r="GW101" s="17"/>
      <c r="GX101" s="17"/>
      <c r="GY101" s="17"/>
      <c r="GZ101" s="17"/>
      <c r="HA101" s="17"/>
      <c r="HB101" s="17"/>
      <c r="HC101" s="17"/>
      <c r="HD101" s="17"/>
      <c r="HE101" s="17"/>
      <c r="HF101" s="17"/>
      <c r="HG101" s="17"/>
      <c r="HH101" s="17"/>
      <c r="HI101" s="17"/>
      <c r="HJ101" s="17"/>
      <c r="HK101" s="17"/>
      <c r="HL101" s="17"/>
      <c r="HM101" s="17"/>
      <c r="HN101" s="17"/>
      <c r="HO101" s="17"/>
      <c r="HP101" s="17"/>
      <c r="HQ101" s="17"/>
      <c r="HR101" s="17"/>
      <c r="HS101" s="17"/>
      <c r="HT101" s="17"/>
      <c r="HU101" s="17"/>
      <c r="HV101" s="17"/>
      <c r="HW101" s="17"/>
      <c r="HX101" s="17"/>
      <c r="HY101" s="17"/>
      <c r="HZ101" s="17"/>
      <c r="IA101" s="17"/>
      <c r="IB101" s="17"/>
      <c r="IC101" s="17"/>
      <c r="ID101" s="17"/>
      <c r="IE101" s="17"/>
      <c r="IF101" s="17"/>
      <c r="IG101" s="17"/>
    </row>
    <row r="102" spans="1:241" ht="16.5" customHeight="1" x14ac:dyDescent="0.25">
      <c r="A102" s="41">
        <v>90</v>
      </c>
      <c r="B102" s="56" t="s">
        <v>112</v>
      </c>
      <c r="C102" s="56" t="s">
        <v>44</v>
      </c>
      <c r="D102" s="45"/>
      <c r="E102" s="45"/>
      <c r="F102" s="45">
        <f>424.48*1345280.65</f>
        <v>571044730.31200004</v>
      </c>
      <c r="G102" s="45">
        <f>29802037.5*424.48</f>
        <v>12650368878</v>
      </c>
      <c r="H102" s="45"/>
      <c r="I102" s="45"/>
      <c r="J102" s="45">
        <f>424.48*31147318.15</f>
        <v>13221413608.312</v>
      </c>
      <c r="K102" s="45">
        <f>424.48*122378.95</f>
        <v>51947416.696000002</v>
      </c>
      <c r="L102" s="45">
        <f>424.48*33714.66</f>
        <v>14311198.876800003</v>
      </c>
      <c r="M102" s="115">
        <f>424.48*88664.3</f>
        <v>37636222.064000003</v>
      </c>
      <c r="N102" s="45">
        <f>424.48*31352763.21</f>
        <v>13308620927.3808</v>
      </c>
      <c r="O102" s="45">
        <f>424.48*224209.82</f>
        <v>95172584.393600002</v>
      </c>
      <c r="P102" s="73">
        <f>4898311.12*416.68</f>
        <v>2041028277.4816</v>
      </c>
      <c r="Q102" s="50">
        <f t="shared" si="36"/>
        <v>7.1088980230934505E-3</v>
      </c>
      <c r="R102" s="73">
        <f>424.48*31128553.39</f>
        <v>13213448342.987202</v>
      </c>
      <c r="S102" s="50">
        <f t="shared" si="37"/>
        <v>4.3462153980851112E-2</v>
      </c>
      <c r="T102" s="51">
        <f t="shared" si="38"/>
        <v>5.4739173331253967</v>
      </c>
      <c r="U102" s="52">
        <f>(L102/R102)</f>
        <v>1.083078277927004E-3</v>
      </c>
      <c r="V102" s="53">
        <f>M102/R102</f>
        <v>2.8483270291796876E-3</v>
      </c>
      <c r="W102" s="54">
        <f t="shared" si="39"/>
        <v>428.04907167221359</v>
      </c>
      <c r="X102" s="54">
        <f>M102/AE102</f>
        <v>1.2192237406592394</v>
      </c>
      <c r="Y102" s="65">
        <f>424.48*1.06</f>
        <v>449.94880000000006</v>
      </c>
      <c r="Z102" s="65">
        <f>424.48*1.06</f>
        <v>449.94880000000006</v>
      </c>
      <c r="AA102" s="122">
        <v>286</v>
      </c>
      <c r="AB102" s="122">
        <v>4648488.8499999996</v>
      </c>
      <c r="AC102" s="122">
        <v>26272070</v>
      </c>
      <c r="AD102" s="122">
        <v>51555.23</v>
      </c>
      <c r="AE102" s="45">
        <v>30869003.620000001</v>
      </c>
      <c r="AF102" s="5"/>
    </row>
    <row r="103" spans="1:241" ht="16.5" customHeight="1" x14ac:dyDescent="0.25">
      <c r="A103" s="125"/>
      <c r="C103" s="151" t="s">
        <v>52</v>
      </c>
      <c r="D103" s="126">
        <f>SUM(D84:D102)</f>
        <v>0</v>
      </c>
      <c r="E103" s="126"/>
      <c r="F103" s="126">
        <f>SUM(F84:F102)</f>
        <v>65899794018.597595</v>
      </c>
      <c r="G103" s="126">
        <f>SUM(G84:G102)</f>
        <v>237872872464.8316</v>
      </c>
      <c r="H103" s="126"/>
      <c r="I103" s="126"/>
      <c r="J103" s="126">
        <f t="shared" ref="J103:O103" si="40">SUM(J84:J102)</f>
        <v>303778054782.53839</v>
      </c>
      <c r="K103" s="126">
        <f t="shared" si="40"/>
        <v>2161459681.9215999</v>
      </c>
      <c r="L103" s="126">
        <f t="shared" si="40"/>
        <v>499922612.97839999</v>
      </c>
      <c r="M103" s="126">
        <f t="shared" si="40"/>
        <v>1661883847.8791997</v>
      </c>
      <c r="N103" s="126">
        <f t="shared" si="40"/>
        <v>306152497697.24841</v>
      </c>
      <c r="O103" s="126">
        <f t="shared" si="40"/>
        <v>2126550494.4311998</v>
      </c>
      <c r="P103" s="100">
        <f>SUM(P85:P102)</f>
        <v>287108954278.32324</v>
      </c>
      <c r="Q103" s="83">
        <f>(P103/$P$152)</f>
        <v>0.21116277438576547</v>
      </c>
      <c r="R103" s="100">
        <f>SUM(R85:R102)</f>
        <v>304021939382.224</v>
      </c>
      <c r="S103" s="83">
        <f>(R103/$R$152)</f>
        <v>0.22413040814097818</v>
      </c>
      <c r="T103" s="84">
        <f t="shared" ref="T103" si="41">((R103-P103)/P103)</f>
        <v>5.8907898384476437E-2</v>
      </c>
      <c r="U103" s="85"/>
      <c r="V103" s="86"/>
      <c r="W103" s="87"/>
      <c r="X103" s="87"/>
      <c r="Y103" s="81"/>
      <c r="Z103" s="81"/>
      <c r="AA103" s="127">
        <f>SUM(AA85:AA102)</f>
        <v>9618</v>
      </c>
      <c r="AB103" s="127"/>
      <c r="AC103" s="127"/>
      <c r="AD103" s="127"/>
      <c r="AE103" s="81"/>
      <c r="AF103" s="5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  <c r="BH103" s="17"/>
      <c r="BI103" s="17"/>
      <c r="BJ103" s="17"/>
      <c r="BK103" s="17"/>
      <c r="BL103" s="17"/>
      <c r="BM103" s="17"/>
      <c r="BN103" s="17"/>
      <c r="BO103" s="17"/>
      <c r="BP103" s="17"/>
      <c r="BQ103" s="17"/>
      <c r="BR103" s="17"/>
      <c r="BS103" s="17"/>
      <c r="BT103" s="17"/>
      <c r="BU103" s="17"/>
      <c r="BV103" s="17"/>
      <c r="BW103" s="17"/>
      <c r="BX103" s="17"/>
      <c r="BY103" s="17"/>
      <c r="BZ103" s="17"/>
      <c r="CA103" s="17"/>
      <c r="CB103" s="17"/>
      <c r="CC103" s="17"/>
      <c r="CD103" s="17"/>
      <c r="CE103" s="17"/>
      <c r="CF103" s="17"/>
      <c r="CG103" s="17"/>
      <c r="CH103" s="17"/>
      <c r="CI103" s="17"/>
      <c r="CJ103" s="17"/>
      <c r="CK103" s="17"/>
      <c r="CL103" s="17"/>
      <c r="CM103" s="17"/>
      <c r="CN103" s="17"/>
      <c r="CO103" s="17"/>
      <c r="CP103" s="17"/>
      <c r="CQ103" s="17"/>
      <c r="CR103" s="17"/>
      <c r="CS103" s="17"/>
      <c r="CT103" s="17"/>
      <c r="CU103" s="17"/>
      <c r="CV103" s="17"/>
      <c r="CW103" s="17"/>
      <c r="CX103" s="17"/>
      <c r="CY103" s="17"/>
      <c r="CZ103" s="17"/>
      <c r="DA103" s="17"/>
      <c r="DB103" s="17"/>
      <c r="DC103" s="17"/>
      <c r="DD103" s="17"/>
      <c r="DE103" s="17"/>
      <c r="DF103" s="17"/>
      <c r="DG103" s="17"/>
      <c r="DH103" s="17"/>
      <c r="DI103" s="17"/>
      <c r="DJ103" s="17"/>
      <c r="DK103" s="17"/>
      <c r="DL103" s="17"/>
      <c r="DM103" s="17"/>
      <c r="DN103" s="17"/>
      <c r="DO103" s="17"/>
      <c r="DP103" s="17"/>
      <c r="DQ103" s="17"/>
      <c r="DR103" s="17"/>
      <c r="DS103" s="17"/>
      <c r="DT103" s="17"/>
      <c r="DU103" s="17"/>
      <c r="DV103" s="17"/>
      <c r="DW103" s="17"/>
      <c r="DX103" s="17"/>
      <c r="DY103" s="17"/>
      <c r="DZ103" s="17"/>
      <c r="EA103" s="17"/>
      <c r="EB103" s="17"/>
      <c r="EC103" s="17"/>
      <c r="ED103" s="17"/>
      <c r="EE103" s="17"/>
      <c r="EF103" s="17"/>
      <c r="EG103" s="17"/>
      <c r="EH103" s="17"/>
      <c r="EI103" s="17"/>
      <c r="EJ103" s="17"/>
      <c r="EK103" s="17"/>
      <c r="EL103" s="17"/>
      <c r="EM103" s="17"/>
      <c r="EN103" s="17"/>
      <c r="EO103" s="17"/>
      <c r="EP103" s="17"/>
      <c r="EQ103" s="17"/>
      <c r="ER103" s="17"/>
      <c r="ES103" s="17"/>
      <c r="ET103" s="17"/>
      <c r="EU103" s="17"/>
      <c r="EV103" s="17"/>
      <c r="EW103" s="17"/>
      <c r="EX103" s="17"/>
      <c r="EY103" s="17"/>
      <c r="EZ103" s="17"/>
      <c r="FA103" s="17"/>
      <c r="FB103" s="17"/>
      <c r="FC103" s="17"/>
      <c r="FD103" s="17"/>
      <c r="FE103" s="17"/>
      <c r="FF103" s="17"/>
      <c r="FG103" s="17"/>
      <c r="FH103" s="17"/>
      <c r="FI103" s="17"/>
      <c r="FJ103" s="17"/>
      <c r="FK103" s="17"/>
      <c r="FL103" s="17"/>
      <c r="FM103" s="17"/>
      <c r="FN103" s="17"/>
      <c r="FO103" s="17"/>
      <c r="FP103" s="17"/>
      <c r="FQ103" s="17"/>
      <c r="FR103" s="17"/>
      <c r="FS103" s="17"/>
      <c r="FT103" s="17"/>
      <c r="FU103" s="17"/>
      <c r="FV103" s="17"/>
      <c r="FW103" s="17"/>
      <c r="FX103" s="17"/>
      <c r="FY103" s="17"/>
      <c r="FZ103" s="17"/>
      <c r="GA103" s="17"/>
      <c r="GB103" s="17"/>
      <c r="GC103" s="17"/>
      <c r="GD103" s="17"/>
      <c r="GE103" s="17"/>
      <c r="GF103" s="17"/>
      <c r="GG103" s="17"/>
      <c r="GH103" s="17"/>
      <c r="GI103" s="17"/>
      <c r="GJ103" s="17"/>
      <c r="GK103" s="17"/>
      <c r="GL103" s="17"/>
      <c r="GM103" s="17"/>
      <c r="GN103" s="17"/>
      <c r="GO103" s="17"/>
      <c r="GP103" s="17"/>
      <c r="GQ103" s="17"/>
      <c r="GR103" s="17"/>
      <c r="GS103" s="17"/>
      <c r="GT103" s="17"/>
      <c r="GU103" s="17"/>
      <c r="GV103" s="17"/>
      <c r="GW103" s="17"/>
      <c r="GX103" s="17"/>
      <c r="GY103" s="17"/>
      <c r="GZ103" s="17"/>
      <c r="HA103" s="17"/>
      <c r="HB103" s="17"/>
      <c r="HC103" s="17"/>
      <c r="HD103" s="17"/>
      <c r="HE103" s="17"/>
      <c r="HF103" s="17"/>
      <c r="HG103" s="17"/>
      <c r="HH103" s="17"/>
      <c r="HI103" s="17"/>
      <c r="HJ103" s="17"/>
      <c r="HK103" s="17"/>
      <c r="HL103" s="17"/>
      <c r="HM103" s="17"/>
      <c r="HN103" s="17"/>
      <c r="HO103" s="17"/>
      <c r="HP103" s="17"/>
      <c r="HQ103" s="17"/>
      <c r="HR103" s="17"/>
      <c r="HS103" s="17"/>
      <c r="HT103" s="17"/>
      <c r="HU103" s="17"/>
      <c r="HV103" s="17"/>
      <c r="HW103" s="17"/>
      <c r="HX103" s="17"/>
      <c r="HY103" s="17"/>
      <c r="HZ103" s="17"/>
      <c r="IA103" s="17"/>
      <c r="IB103" s="17"/>
      <c r="IC103" s="17"/>
      <c r="ID103" s="17"/>
      <c r="IE103" s="17"/>
      <c r="IF103" s="17"/>
      <c r="IG103" s="17"/>
    </row>
    <row r="104" spans="1:241" s="22" customFormat="1" ht="16.5" customHeight="1" x14ac:dyDescent="0.3">
      <c r="A104" s="152" t="s">
        <v>124</v>
      </c>
      <c r="B104" s="153"/>
      <c r="C104" s="153"/>
      <c r="D104" s="153"/>
      <c r="E104" s="153"/>
      <c r="F104" s="153"/>
      <c r="G104" s="153"/>
      <c r="H104" s="153"/>
      <c r="I104" s="153"/>
      <c r="J104" s="153"/>
      <c r="K104" s="153"/>
      <c r="L104" s="153"/>
      <c r="M104" s="153"/>
      <c r="N104" s="153"/>
      <c r="O104" s="153"/>
      <c r="P104" s="153"/>
      <c r="Q104" s="153"/>
      <c r="R104" s="153"/>
      <c r="S104" s="153"/>
      <c r="T104" s="153"/>
      <c r="U104" s="153"/>
      <c r="V104" s="153"/>
      <c r="W104" s="153"/>
      <c r="X104" s="153"/>
      <c r="Y104" s="153"/>
      <c r="Z104" s="153"/>
      <c r="AA104" s="153"/>
      <c r="AB104" s="153"/>
      <c r="AC104" s="153"/>
      <c r="AD104" s="153"/>
      <c r="AE104" s="154"/>
      <c r="AF104" s="20"/>
      <c r="AG104" s="21"/>
      <c r="AH104" s="21"/>
      <c r="AI104" s="21"/>
      <c r="AJ104" s="21"/>
      <c r="AK104" s="21"/>
      <c r="AL104" s="21"/>
      <c r="AM104" s="21"/>
      <c r="AN104" s="21"/>
      <c r="AO104" s="21"/>
      <c r="AP104" s="21"/>
      <c r="AQ104" s="21"/>
      <c r="AR104" s="21"/>
      <c r="AS104" s="21"/>
      <c r="AT104" s="21"/>
      <c r="AU104" s="21"/>
      <c r="AV104" s="21"/>
      <c r="AW104" s="21"/>
      <c r="AX104" s="21"/>
      <c r="AY104" s="21"/>
      <c r="AZ104" s="21"/>
      <c r="BA104" s="21"/>
      <c r="BB104" s="21"/>
      <c r="BC104" s="21"/>
      <c r="BD104" s="21"/>
      <c r="BE104" s="21"/>
      <c r="BF104" s="21"/>
      <c r="BG104" s="21"/>
      <c r="BH104" s="21"/>
      <c r="BI104" s="21"/>
      <c r="BJ104" s="21"/>
      <c r="BK104" s="21"/>
      <c r="BL104" s="21"/>
      <c r="BM104" s="21"/>
      <c r="BN104" s="21"/>
      <c r="BO104" s="21"/>
      <c r="BP104" s="21"/>
      <c r="BQ104" s="21"/>
      <c r="BR104" s="21"/>
      <c r="BS104" s="21"/>
      <c r="BT104" s="21"/>
      <c r="BU104" s="21"/>
      <c r="BV104" s="21"/>
      <c r="BW104" s="21"/>
      <c r="BX104" s="21"/>
      <c r="BY104" s="21"/>
      <c r="BZ104" s="21"/>
      <c r="CA104" s="21"/>
      <c r="CB104" s="21"/>
      <c r="CC104" s="21"/>
      <c r="CD104" s="21"/>
      <c r="CE104" s="21"/>
      <c r="CF104" s="21"/>
      <c r="CG104" s="21"/>
      <c r="CH104" s="21"/>
      <c r="CI104" s="21"/>
      <c r="CJ104" s="21"/>
      <c r="CK104" s="21"/>
      <c r="CL104" s="21"/>
      <c r="CM104" s="21"/>
      <c r="CN104" s="21"/>
      <c r="CO104" s="21"/>
      <c r="CP104" s="21"/>
      <c r="CQ104" s="21"/>
      <c r="CR104" s="21"/>
      <c r="CS104" s="21"/>
      <c r="CT104" s="21"/>
      <c r="CU104" s="21"/>
      <c r="CV104" s="21"/>
      <c r="CW104" s="21"/>
      <c r="CX104" s="21"/>
      <c r="CY104" s="21"/>
      <c r="CZ104" s="21"/>
      <c r="DA104" s="21"/>
      <c r="DB104" s="21"/>
      <c r="DC104" s="21"/>
      <c r="DD104" s="21"/>
      <c r="DE104" s="21"/>
      <c r="DF104" s="21"/>
      <c r="DG104" s="21"/>
      <c r="DH104" s="21"/>
      <c r="DI104" s="21"/>
      <c r="DJ104" s="21"/>
      <c r="DK104" s="21"/>
      <c r="DL104" s="21"/>
      <c r="DM104" s="21"/>
      <c r="DN104" s="21"/>
      <c r="DO104" s="21"/>
      <c r="DP104" s="21"/>
      <c r="DQ104" s="21"/>
      <c r="DR104" s="21"/>
      <c r="DS104" s="21"/>
      <c r="DT104" s="21"/>
      <c r="DU104" s="21"/>
      <c r="DV104" s="21"/>
      <c r="DW104" s="21"/>
      <c r="DX104" s="21"/>
      <c r="DY104" s="21"/>
      <c r="DZ104" s="21"/>
      <c r="EA104" s="21"/>
      <c r="EB104" s="21"/>
      <c r="EC104" s="21"/>
      <c r="ED104" s="21"/>
      <c r="EE104" s="21"/>
      <c r="EF104" s="21"/>
      <c r="EG104" s="21"/>
      <c r="EH104" s="21"/>
      <c r="EI104" s="21"/>
      <c r="EJ104" s="21"/>
      <c r="EK104" s="21"/>
      <c r="EL104" s="21"/>
      <c r="EM104" s="21"/>
      <c r="EN104" s="21"/>
      <c r="EO104" s="21"/>
      <c r="EP104" s="21"/>
      <c r="EQ104" s="21"/>
      <c r="ER104" s="21"/>
      <c r="ES104" s="21"/>
      <c r="ET104" s="21"/>
      <c r="EU104" s="21"/>
      <c r="EV104" s="21"/>
      <c r="EW104" s="21"/>
      <c r="EX104" s="21"/>
      <c r="EY104" s="21"/>
      <c r="EZ104" s="21"/>
      <c r="FA104" s="21"/>
      <c r="FB104" s="21"/>
      <c r="FC104" s="21"/>
      <c r="FD104" s="21"/>
      <c r="FE104" s="21"/>
      <c r="FF104" s="21"/>
      <c r="FG104" s="21"/>
      <c r="FH104" s="21"/>
      <c r="FI104" s="21"/>
      <c r="FJ104" s="21"/>
      <c r="FK104" s="21"/>
      <c r="FL104" s="21"/>
      <c r="FM104" s="21"/>
      <c r="FN104" s="21"/>
      <c r="FO104" s="21"/>
      <c r="FP104" s="21"/>
      <c r="FQ104" s="21"/>
      <c r="FR104" s="21"/>
      <c r="FS104" s="21"/>
      <c r="FT104" s="21"/>
      <c r="FU104" s="21"/>
      <c r="FV104" s="21"/>
      <c r="FW104" s="21"/>
      <c r="FX104" s="21"/>
      <c r="FY104" s="21"/>
      <c r="FZ104" s="21"/>
      <c r="GA104" s="21"/>
      <c r="GB104" s="21"/>
      <c r="GC104" s="21"/>
      <c r="GD104" s="21"/>
      <c r="GE104" s="21"/>
      <c r="GF104" s="21"/>
      <c r="GG104" s="21"/>
      <c r="GH104" s="21"/>
      <c r="GI104" s="21"/>
      <c r="GJ104" s="21"/>
      <c r="GK104" s="21"/>
      <c r="GL104" s="21"/>
      <c r="GM104" s="21"/>
      <c r="GN104" s="21"/>
      <c r="GO104" s="21"/>
      <c r="GP104" s="21"/>
      <c r="GQ104" s="21"/>
      <c r="GR104" s="21"/>
      <c r="GS104" s="21"/>
      <c r="GT104" s="21"/>
      <c r="GU104" s="21"/>
      <c r="GV104" s="21"/>
      <c r="GW104" s="21"/>
      <c r="GX104" s="21"/>
      <c r="GY104" s="21"/>
      <c r="GZ104" s="21"/>
      <c r="HA104" s="21"/>
      <c r="HB104" s="21"/>
      <c r="HC104" s="21"/>
      <c r="HD104" s="21"/>
      <c r="HE104" s="21"/>
      <c r="HF104" s="21"/>
      <c r="HG104" s="21"/>
      <c r="HH104" s="21"/>
      <c r="HI104" s="21"/>
      <c r="HJ104" s="21"/>
      <c r="HK104" s="21"/>
      <c r="HL104" s="21"/>
      <c r="HM104" s="21"/>
      <c r="HN104" s="21"/>
      <c r="HO104" s="21"/>
      <c r="HP104" s="21"/>
      <c r="HQ104" s="21"/>
      <c r="HR104" s="21"/>
      <c r="HS104" s="21"/>
      <c r="HT104" s="21"/>
      <c r="HU104" s="21"/>
      <c r="HV104" s="21"/>
      <c r="HW104" s="21"/>
      <c r="HX104" s="21"/>
      <c r="HY104" s="21"/>
      <c r="HZ104" s="21"/>
      <c r="IA104" s="21"/>
      <c r="IB104" s="21"/>
      <c r="IC104" s="21"/>
      <c r="ID104" s="21"/>
      <c r="IE104" s="21"/>
      <c r="IF104" s="21"/>
      <c r="IG104" s="21"/>
    </row>
    <row r="105" spans="1:241" ht="16.5" customHeight="1" x14ac:dyDescent="0.25">
      <c r="A105" s="41">
        <v>91</v>
      </c>
      <c r="B105" s="56" t="s">
        <v>211</v>
      </c>
      <c r="C105" s="56" t="s">
        <v>29</v>
      </c>
      <c r="D105" s="65"/>
      <c r="E105" s="128"/>
      <c r="F105" s="65">
        <v>6993739244</v>
      </c>
      <c r="G105" s="132"/>
      <c r="H105" s="65">
        <v>730060000</v>
      </c>
      <c r="I105" s="129"/>
      <c r="J105" s="65">
        <v>7797052998</v>
      </c>
      <c r="K105" s="65">
        <v>66416006</v>
      </c>
      <c r="L105" s="129">
        <v>11578132</v>
      </c>
      <c r="M105" s="130">
        <v>54837874</v>
      </c>
      <c r="N105" s="65">
        <v>8058776298</v>
      </c>
      <c r="O105" s="65">
        <v>448665312</v>
      </c>
      <c r="P105" s="73">
        <v>7555273113</v>
      </c>
      <c r="Q105" s="50">
        <f>(P105/$P$109)</f>
        <v>0.16570496099163406</v>
      </c>
      <c r="R105" s="73">
        <v>7610110987</v>
      </c>
      <c r="S105" s="50">
        <f>(R105/$R$109)</f>
        <v>0.16616204973901849</v>
      </c>
      <c r="T105" s="51">
        <f>((R105-P105)/P105)</f>
        <v>7.2582252394877787E-3</v>
      </c>
      <c r="U105" s="52">
        <f>(L105/R105)</f>
        <v>1.521414342021869E-3</v>
      </c>
      <c r="V105" s="53">
        <f>M105/R105</f>
        <v>7.2059230270986848E-3</v>
      </c>
      <c r="W105" s="54">
        <f>R105/AE105</f>
        <v>102.63130124072825</v>
      </c>
      <c r="X105" s="54">
        <f>M105/AE105</f>
        <v>0.73955325691166551</v>
      </c>
      <c r="Y105" s="131">
        <v>102.63</v>
      </c>
      <c r="Z105" s="131">
        <v>102.63</v>
      </c>
      <c r="AA105" s="64">
        <v>56</v>
      </c>
      <c r="AB105" s="64">
        <v>74150000</v>
      </c>
      <c r="AC105" s="64">
        <v>0</v>
      </c>
      <c r="AD105" s="64">
        <v>0</v>
      </c>
      <c r="AE105" s="64">
        <v>74150000</v>
      </c>
      <c r="AF105" s="5"/>
    </row>
    <row r="106" spans="1:241" ht="16.5" customHeight="1" x14ac:dyDescent="0.25">
      <c r="A106" s="41">
        <v>92</v>
      </c>
      <c r="B106" s="42" t="s">
        <v>125</v>
      </c>
      <c r="C106" s="42" t="s">
        <v>103</v>
      </c>
      <c r="D106" s="65"/>
      <c r="E106" s="128"/>
      <c r="F106" s="128"/>
      <c r="G106" s="65">
        <v>334658062.45999998</v>
      </c>
      <c r="H106" s="65">
        <f>1820390000+1312777.99</f>
        <v>1821702777.99</v>
      </c>
      <c r="I106" s="129">
        <v>0</v>
      </c>
      <c r="J106" s="65">
        <v>2156360840.4499998</v>
      </c>
      <c r="K106" s="65">
        <v>19462907.77</v>
      </c>
      <c r="L106" s="48">
        <v>4484925.45</v>
      </c>
      <c r="M106" s="130">
        <v>14977982.32</v>
      </c>
      <c r="N106" s="65">
        <v>2486196923.98</v>
      </c>
      <c r="O106" s="65">
        <v>106585407.28</v>
      </c>
      <c r="P106" s="73">
        <v>2364633534.3800001</v>
      </c>
      <c r="Q106" s="50">
        <f>(P106/$P$109)</f>
        <v>5.1861991183315637E-2</v>
      </c>
      <c r="R106" s="73">
        <v>2379611516.6999998</v>
      </c>
      <c r="S106" s="50">
        <f>(R106/$R$109)</f>
        <v>5.1957340421564413E-2</v>
      </c>
      <c r="T106" s="51">
        <f>((R106-P106)/P106)</f>
        <v>6.3341664161617661E-3</v>
      </c>
      <c r="U106" s="52">
        <f>(L106/R106)</f>
        <v>1.8847300992304869E-3</v>
      </c>
      <c r="V106" s="53">
        <f>M106/R106</f>
        <v>6.2942972896564151E-3</v>
      </c>
      <c r="W106" s="54" t="e">
        <f>R106/AE106</f>
        <v>#DIV/0!</v>
      </c>
      <c r="X106" s="54" t="e">
        <f>M106/AE106</f>
        <v>#DIV/0!</v>
      </c>
      <c r="Y106" s="65"/>
      <c r="Z106" s="65"/>
      <c r="AA106" s="65">
        <v>2715</v>
      </c>
      <c r="AB106" s="65"/>
      <c r="AC106" s="65"/>
      <c r="AD106" s="65"/>
      <c r="AE106" s="65"/>
      <c r="AF106" s="5"/>
    </row>
    <row r="107" spans="1:241" ht="16.5" customHeight="1" x14ac:dyDescent="0.25">
      <c r="A107" s="41">
        <v>93</v>
      </c>
      <c r="B107" s="42" t="s">
        <v>126</v>
      </c>
      <c r="C107" s="42" t="s">
        <v>103</v>
      </c>
      <c r="D107" s="65"/>
      <c r="E107" s="128"/>
      <c r="F107" s="128" t="s">
        <v>216</v>
      </c>
      <c r="G107" s="65">
        <v>389020235.29000002</v>
      </c>
      <c r="H107" s="65">
        <v>9932058627.3999996</v>
      </c>
      <c r="I107" s="129">
        <v>136302351.27000001</v>
      </c>
      <c r="J107" s="65">
        <v>10491323758.17</v>
      </c>
      <c r="K107" s="65">
        <v>50912801.369999997</v>
      </c>
      <c r="L107" s="48">
        <v>14306758.859999999</v>
      </c>
      <c r="M107" s="130">
        <v>36606042.509999998</v>
      </c>
      <c r="N107" s="65">
        <v>10915926274.459999</v>
      </c>
      <c r="O107" s="65">
        <v>1130436669.8599999</v>
      </c>
      <c r="P107" s="73">
        <v>9748883562.0900002</v>
      </c>
      <c r="Q107" s="50">
        <f>(P107/$P$109)</f>
        <v>0.21381601249973317</v>
      </c>
      <c r="R107" s="73">
        <v>9785489604.6000004</v>
      </c>
      <c r="S107" s="50">
        <f>(R107/$R$109)</f>
        <v>0.21366009157787247</v>
      </c>
      <c r="T107" s="51">
        <f>((R107-P107)/P107)</f>
        <v>3.7548958582650765E-3</v>
      </c>
      <c r="U107" s="52">
        <f>(L107/R107)</f>
        <v>1.4620381235982943E-3</v>
      </c>
      <c r="V107" s="53">
        <f>M107/R107</f>
        <v>3.7408493585024188E-3</v>
      </c>
      <c r="W107" s="54">
        <f>R107/AE107</f>
        <v>52.01532035055498</v>
      </c>
      <c r="X107" s="54">
        <f>M107/AE107</f>
        <v>0.19458147776567142</v>
      </c>
      <c r="Y107" s="131">
        <v>36.6</v>
      </c>
      <c r="Z107" s="131">
        <v>36.6</v>
      </c>
      <c r="AA107" s="64">
        <v>5251</v>
      </c>
      <c r="AB107" s="64">
        <v>188127066</v>
      </c>
      <c r="AC107" s="64">
        <v>0</v>
      </c>
      <c r="AD107" s="64">
        <v>0</v>
      </c>
      <c r="AE107" s="64">
        <v>188127066</v>
      </c>
      <c r="AF107" s="5"/>
    </row>
    <row r="108" spans="1:241" ht="16.5" customHeight="1" x14ac:dyDescent="0.25">
      <c r="A108" s="41">
        <v>94</v>
      </c>
      <c r="B108" s="42" t="s">
        <v>127</v>
      </c>
      <c r="C108" s="56" t="s">
        <v>187</v>
      </c>
      <c r="D108" s="65">
        <v>917280477.55999994</v>
      </c>
      <c r="E108" s="128"/>
      <c r="F108" s="65">
        <v>1900109739.96</v>
      </c>
      <c r="G108" s="65">
        <v>1603946439.98</v>
      </c>
      <c r="H108" s="65">
        <v>21480000000</v>
      </c>
      <c r="I108" s="129"/>
      <c r="J108" s="65">
        <v>25901336657.5</v>
      </c>
      <c r="K108" s="65">
        <v>136601510.00999999</v>
      </c>
      <c r="L108" s="128" t="s">
        <v>214</v>
      </c>
      <c r="M108" s="130">
        <v>57123423.07</v>
      </c>
      <c r="N108" s="65">
        <v>26131073865.849998</v>
      </c>
      <c r="O108" s="65">
        <v>106953341.02</v>
      </c>
      <c r="P108" s="73">
        <v>25925940737.549999</v>
      </c>
      <c r="Q108" s="50">
        <f>(P108/$P$109)</f>
        <v>0.56861703532531704</v>
      </c>
      <c r="R108" s="73">
        <v>26024120524.830002</v>
      </c>
      <c r="S108" s="50">
        <f>(R108/$R$109)</f>
        <v>0.56822051826154452</v>
      </c>
      <c r="T108" s="51">
        <f>((R108-P108)/P108)</f>
        <v>3.7869324887333127E-3</v>
      </c>
      <c r="U108" s="52">
        <f>(L108/R108)</f>
        <v>3.0540162486631878E-3</v>
      </c>
      <c r="V108" s="53">
        <f>M108/R108</f>
        <v>2.1950183874800953E-3</v>
      </c>
      <c r="W108" s="54">
        <f>R108/AE108</f>
        <v>9.7531829242998143</v>
      </c>
      <c r="X108" s="54">
        <f>M108/AE108</f>
        <v>2.1408415855294977E-2</v>
      </c>
      <c r="Y108" s="131">
        <v>9.74</v>
      </c>
      <c r="Z108" s="131">
        <v>9.74</v>
      </c>
      <c r="AA108" s="64">
        <v>28836</v>
      </c>
      <c r="AB108" s="64">
        <v>2668269500</v>
      </c>
      <c r="AC108" s="64"/>
      <c r="AD108" s="64"/>
      <c r="AE108" s="45">
        <v>2668269500</v>
      </c>
      <c r="AF108" s="5"/>
    </row>
    <row r="109" spans="1:241" ht="16.5" customHeight="1" x14ac:dyDescent="0.25">
      <c r="A109" s="133"/>
      <c r="C109" s="150" t="s">
        <v>52</v>
      </c>
      <c r="D109" s="81"/>
      <c r="E109" s="81"/>
      <c r="F109" s="81">
        <f t="shared" ref="F109:O109" si="42">SUM(F105:F108)</f>
        <v>8893848983.9599991</v>
      </c>
      <c r="G109" s="81">
        <f t="shared" si="42"/>
        <v>2327624737.73</v>
      </c>
      <c r="H109" s="81">
        <f t="shared" si="42"/>
        <v>33963821405.389999</v>
      </c>
      <c r="I109" s="81">
        <f t="shared" si="42"/>
        <v>136302351.27000001</v>
      </c>
      <c r="J109" s="81">
        <f t="shared" si="42"/>
        <v>46346074254.120003</v>
      </c>
      <c r="K109" s="81">
        <f t="shared" si="42"/>
        <v>273393225.14999998</v>
      </c>
      <c r="L109" s="81">
        <f t="shared" si="42"/>
        <v>30369816.309999999</v>
      </c>
      <c r="M109" s="81">
        <f t="shared" si="42"/>
        <v>163545321.89999998</v>
      </c>
      <c r="N109" s="81">
        <f t="shared" si="42"/>
        <v>47591973362.289993</v>
      </c>
      <c r="O109" s="81">
        <f t="shared" si="42"/>
        <v>1792640730.1599998</v>
      </c>
      <c r="P109" s="100">
        <f>SUM(P105:P108)</f>
        <v>45594730947.020004</v>
      </c>
      <c r="Q109" s="83">
        <f>(P109/$P$152)</f>
        <v>3.3533993770225555E-2</v>
      </c>
      <c r="R109" s="100">
        <f>SUM(R105:R108)</f>
        <v>45799332633.130005</v>
      </c>
      <c r="S109" s="83">
        <f>(R109/$R$152)</f>
        <v>3.3764086685673052E-2</v>
      </c>
      <c r="T109" s="84">
        <f>((R109-P109)/P109)</f>
        <v>4.4873975974930721E-3</v>
      </c>
      <c r="U109" s="85"/>
      <c r="V109" s="86"/>
      <c r="W109" s="87"/>
      <c r="X109" s="87"/>
      <c r="Y109" s="81"/>
      <c r="Z109" s="81"/>
      <c r="AA109" s="88">
        <f>SUM(AA105:AA108)</f>
        <v>36858</v>
      </c>
      <c r="AB109" s="88"/>
      <c r="AC109" s="88"/>
      <c r="AD109" s="88"/>
      <c r="AE109" s="81"/>
      <c r="AF109" s="5"/>
    </row>
    <row r="110" spans="1:241" ht="16.5" customHeight="1" x14ac:dyDescent="0.25">
      <c r="A110" s="152" t="s">
        <v>177</v>
      </c>
      <c r="B110" s="153"/>
      <c r="C110" s="153"/>
      <c r="D110" s="153"/>
      <c r="E110" s="153"/>
      <c r="F110" s="153"/>
      <c r="G110" s="153"/>
      <c r="H110" s="153"/>
      <c r="I110" s="153"/>
      <c r="J110" s="153"/>
      <c r="K110" s="153"/>
      <c r="L110" s="153"/>
      <c r="M110" s="153"/>
      <c r="N110" s="153"/>
      <c r="O110" s="153"/>
      <c r="P110" s="153"/>
      <c r="Q110" s="153"/>
      <c r="R110" s="153"/>
      <c r="S110" s="153"/>
      <c r="T110" s="153"/>
      <c r="U110" s="153"/>
      <c r="V110" s="153"/>
      <c r="W110" s="153"/>
      <c r="X110" s="153"/>
      <c r="Y110" s="153"/>
      <c r="Z110" s="153"/>
      <c r="AA110" s="153"/>
      <c r="AB110" s="153"/>
      <c r="AC110" s="153"/>
      <c r="AD110" s="153"/>
      <c r="AE110" s="154"/>
      <c r="AF110" s="5"/>
    </row>
    <row r="111" spans="1:241" s="34" customFormat="1" ht="16.5" customHeight="1" x14ac:dyDescent="0.25">
      <c r="A111" s="41">
        <v>95</v>
      </c>
      <c r="B111" s="42" t="s">
        <v>131</v>
      </c>
      <c r="C111" s="42" t="s">
        <v>58</v>
      </c>
      <c r="D111" s="65">
        <v>76635662.829999998</v>
      </c>
      <c r="E111" s="65"/>
      <c r="F111" s="65">
        <v>62478154.539999999</v>
      </c>
      <c r="G111" s="65">
        <v>35177397.509999998</v>
      </c>
      <c r="H111" s="102"/>
      <c r="I111" s="103"/>
      <c r="J111" s="103">
        <v>175014204.90000001</v>
      </c>
      <c r="K111" s="103">
        <v>1579239.89</v>
      </c>
      <c r="L111" s="65">
        <v>450254.68</v>
      </c>
      <c r="M111" s="47">
        <v>1128985.21</v>
      </c>
      <c r="N111" s="65">
        <v>175014204.90000001</v>
      </c>
      <c r="O111" s="65">
        <v>10215473.27</v>
      </c>
      <c r="P111" s="98">
        <v>162293839.87</v>
      </c>
      <c r="Q111" s="50">
        <f t="shared" ref="Q111:Q132" si="43">(P111/$P$152)</f>
        <v>1.1936380590710048E-4</v>
      </c>
      <c r="R111" s="98">
        <v>164798731.63</v>
      </c>
      <c r="S111" s="50">
        <f>(R111/$R$133)</f>
        <v>5.4931666716686624E-3</v>
      </c>
      <c r="T111" s="51">
        <f>((R111-P111)/P111)</f>
        <v>1.5434299675246142E-2</v>
      </c>
      <c r="U111" s="52">
        <f>(L111/R111)</f>
        <v>2.732148940386842E-3</v>
      </c>
      <c r="V111" s="53">
        <f>M111/R111</f>
        <v>6.8506911359897827E-3</v>
      </c>
      <c r="W111" s="54">
        <f>R111/AE111</f>
        <v>3.7524548736197239</v>
      </c>
      <c r="X111" s="54">
        <f>M111/AE111</f>
        <v>2.5706909340908302E-2</v>
      </c>
      <c r="Y111" s="65">
        <v>3.7158000000000002</v>
      </c>
      <c r="Z111" s="65">
        <v>3.7759999999999998</v>
      </c>
      <c r="AA111" s="64">
        <v>11818</v>
      </c>
      <c r="AB111" s="64">
        <v>43917578.539999999</v>
      </c>
      <c r="AC111" s="64">
        <v>0</v>
      </c>
      <c r="AD111" s="64">
        <v>0</v>
      </c>
      <c r="AE111" s="65">
        <v>43917578.539999999</v>
      </c>
      <c r="AF111" s="3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/>
      <c r="AT111" s="23"/>
      <c r="AU111" s="23"/>
      <c r="AV111" s="23"/>
      <c r="AW111" s="23"/>
      <c r="AX111" s="23"/>
      <c r="AY111" s="23"/>
      <c r="AZ111" s="23"/>
      <c r="BA111" s="23"/>
      <c r="BB111" s="23"/>
      <c r="BC111" s="23"/>
      <c r="BD111" s="23"/>
      <c r="BE111" s="23"/>
      <c r="BF111" s="23"/>
      <c r="BG111" s="23"/>
      <c r="BH111" s="23"/>
      <c r="BI111" s="23"/>
      <c r="BJ111" s="23"/>
      <c r="BK111" s="23"/>
      <c r="BL111" s="23"/>
      <c r="BM111" s="23"/>
      <c r="BN111" s="23"/>
      <c r="BO111" s="23"/>
      <c r="BP111" s="23"/>
      <c r="BQ111" s="23"/>
      <c r="BR111" s="23"/>
      <c r="BS111" s="23"/>
      <c r="BT111" s="23"/>
      <c r="BU111" s="23"/>
      <c r="BV111" s="23"/>
      <c r="BW111" s="23"/>
      <c r="BX111" s="23"/>
      <c r="BY111" s="23"/>
      <c r="BZ111" s="23"/>
      <c r="CA111" s="23"/>
      <c r="CB111" s="23"/>
      <c r="CC111" s="23"/>
      <c r="CD111" s="23"/>
      <c r="CE111" s="23"/>
      <c r="CF111" s="23"/>
      <c r="CG111" s="23"/>
      <c r="CH111" s="23"/>
      <c r="CI111" s="23"/>
      <c r="CJ111" s="23"/>
      <c r="CK111" s="23"/>
      <c r="CL111" s="23"/>
      <c r="CM111" s="23"/>
      <c r="CN111" s="23"/>
      <c r="CO111" s="23"/>
      <c r="CP111" s="23"/>
      <c r="CQ111" s="23"/>
      <c r="CR111" s="23"/>
      <c r="CS111" s="23"/>
      <c r="CT111" s="23"/>
      <c r="CU111" s="23"/>
      <c r="CV111" s="23"/>
      <c r="CW111" s="23"/>
      <c r="CX111" s="23"/>
      <c r="CY111" s="23"/>
      <c r="CZ111" s="23"/>
      <c r="DA111" s="23"/>
      <c r="DB111" s="23"/>
      <c r="DC111" s="23"/>
      <c r="DD111" s="23"/>
      <c r="DE111" s="23"/>
      <c r="DF111" s="23"/>
      <c r="DG111" s="23"/>
      <c r="DH111" s="23"/>
      <c r="DI111" s="23"/>
      <c r="DJ111" s="23"/>
      <c r="DK111" s="23"/>
      <c r="DL111" s="23"/>
      <c r="DM111" s="23"/>
      <c r="DN111" s="23"/>
      <c r="DO111" s="23"/>
      <c r="DP111" s="23"/>
      <c r="DQ111" s="23"/>
      <c r="DR111" s="23"/>
      <c r="DS111" s="23"/>
      <c r="DT111" s="23"/>
      <c r="DU111" s="23"/>
      <c r="DV111" s="23"/>
      <c r="DW111" s="23"/>
      <c r="DX111" s="23"/>
      <c r="DY111" s="23"/>
      <c r="DZ111" s="23"/>
      <c r="EA111" s="23"/>
      <c r="EB111" s="23"/>
      <c r="EC111" s="23"/>
      <c r="ED111" s="23"/>
      <c r="EE111" s="23"/>
      <c r="EF111" s="23"/>
      <c r="EG111" s="23"/>
      <c r="EH111" s="23"/>
      <c r="EI111" s="23"/>
      <c r="EJ111" s="23"/>
      <c r="EK111" s="23"/>
      <c r="EL111" s="23"/>
      <c r="EM111" s="23"/>
      <c r="EN111" s="23"/>
      <c r="EO111" s="23"/>
      <c r="EP111" s="23"/>
      <c r="EQ111" s="23"/>
      <c r="ER111" s="23"/>
      <c r="ES111" s="23"/>
      <c r="ET111" s="23"/>
      <c r="EU111" s="23"/>
      <c r="EV111" s="23"/>
      <c r="EW111" s="23"/>
      <c r="EX111" s="23"/>
      <c r="EY111" s="23"/>
      <c r="EZ111" s="23"/>
      <c r="FA111" s="23"/>
      <c r="FB111" s="23"/>
      <c r="FC111" s="23"/>
      <c r="FD111" s="23"/>
      <c r="FE111" s="23"/>
      <c r="FF111" s="23"/>
      <c r="FG111" s="23"/>
      <c r="FH111" s="23"/>
      <c r="FI111" s="23"/>
      <c r="FJ111" s="23"/>
      <c r="FK111" s="23"/>
      <c r="FL111" s="23"/>
      <c r="FM111" s="23"/>
      <c r="FN111" s="23"/>
      <c r="FO111" s="23"/>
      <c r="FP111" s="23"/>
      <c r="FQ111" s="23"/>
      <c r="FR111" s="23"/>
      <c r="FS111" s="23"/>
      <c r="FT111" s="23"/>
      <c r="FU111" s="23"/>
      <c r="FV111" s="23"/>
      <c r="FW111" s="23"/>
      <c r="FX111" s="23"/>
      <c r="FY111" s="23"/>
      <c r="FZ111" s="23"/>
      <c r="GA111" s="23"/>
      <c r="GB111" s="23"/>
      <c r="GC111" s="23"/>
      <c r="GD111" s="23"/>
      <c r="GE111" s="23"/>
      <c r="GF111" s="23"/>
      <c r="GG111" s="23"/>
      <c r="GH111" s="23"/>
      <c r="GI111" s="23"/>
      <c r="GJ111" s="23"/>
      <c r="GK111" s="23"/>
      <c r="GL111" s="23"/>
      <c r="GM111" s="23"/>
      <c r="GN111" s="23"/>
      <c r="GO111" s="23"/>
      <c r="GP111" s="23"/>
      <c r="GQ111" s="23"/>
      <c r="GR111" s="23"/>
      <c r="GS111" s="23"/>
      <c r="GT111" s="23"/>
      <c r="GU111" s="23"/>
      <c r="GV111" s="23"/>
      <c r="GW111" s="23"/>
      <c r="GX111" s="23"/>
      <c r="GY111" s="23"/>
      <c r="GZ111" s="23"/>
      <c r="HA111" s="23"/>
      <c r="HB111" s="23"/>
      <c r="HC111" s="23"/>
      <c r="HD111" s="23"/>
      <c r="HE111" s="23"/>
      <c r="HF111" s="23"/>
      <c r="HG111" s="23"/>
      <c r="HH111" s="23"/>
      <c r="HI111" s="23"/>
      <c r="HJ111" s="23"/>
      <c r="HK111" s="23"/>
      <c r="HL111" s="23"/>
      <c r="HM111" s="23"/>
      <c r="HN111" s="23"/>
      <c r="HO111" s="23"/>
      <c r="HP111" s="23"/>
      <c r="HQ111" s="23"/>
      <c r="HR111" s="23"/>
      <c r="HS111" s="23"/>
      <c r="HT111" s="23"/>
      <c r="HU111" s="23"/>
      <c r="HV111" s="23"/>
      <c r="HW111" s="23"/>
      <c r="HX111" s="23"/>
      <c r="HY111" s="23"/>
      <c r="HZ111" s="23"/>
      <c r="IA111" s="23"/>
      <c r="IB111" s="23"/>
      <c r="IC111" s="23"/>
      <c r="ID111" s="23"/>
      <c r="IE111" s="23"/>
      <c r="IF111" s="23"/>
      <c r="IG111" s="23"/>
    </row>
    <row r="112" spans="1:241" ht="16.5" customHeight="1" x14ac:dyDescent="0.25">
      <c r="A112" s="41">
        <v>96</v>
      </c>
      <c r="B112" s="42" t="s">
        <v>165</v>
      </c>
      <c r="C112" s="56" t="s">
        <v>35</v>
      </c>
      <c r="D112" s="65">
        <v>2822219333.9000001</v>
      </c>
      <c r="E112" s="65"/>
      <c r="F112" s="65">
        <f>280843695.37+1217034144.22</f>
        <v>1497877839.5900002</v>
      </c>
      <c r="G112" s="65">
        <v>463305436.20999998</v>
      </c>
      <c r="H112" s="114">
        <v>3842447.4</v>
      </c>
      <c r="I112" s="103"/>
      <c r="J112" s="103">
        <v>3570210912.8800001</v>
      </c>
      <c r="K112" s="103">
        <v>47400274.880000003</v>
      </c>
      <c r="L112" s="65">
        <v>9597699.3699999992</v>
      </c>
      <c r="M112" s="47">
        <v>-8272554.79</v>
      </c>
      <c r="N112" s="65">
        <v>4902280549</v>
      </c>
      <c r="O112" s="65">
        <v>143874150</v>
      </c>
      <c r="P112" s="98">
        <v>4771253757</v>
      </c>
      <c r="Q112" s="50">
        <f t="shared" si="43"/>
        <v>3.5091597305249708E-3</v>
      </c>
      <c r="R112" s="98">
        <v>4758406399</v>
      </c>
      <c r="S112" s="50">
        <f>(R112/$R$133)</f>
        <v>0.15860995520237001</v>
      </c>
      <c r="T112" s="51">
        <f>((R112-P112)/P112)</f>
        <v>-2.6926587128490889E-3</v>
      </c>
      <c r="U112" s="52">
        <f>(L112/R112)</f>
        <v>2.016998668297226E-3</v>
      </c>
      <c r="V112" s="53">
        <f>M112/R112</f>
        <v>-1.7385137157974809E-3</v>
      </c>
      <c r="W112" s="54">
        <f>R112/AE112</f>
        <v>5119.5772126186048</v>
      </c>
      <c r="X112" s="54">
        <f>M112/AE112</f>
        <v>-8.9004552032216804</v>
      </c>
      <c r="Y112" s="65">
        <v>509.29250000000002</v>
      </c>
      <c r="Z112" s="65">
        <v>524.6481</v>
      </c>
      <c r="AA112" s="64">
        <v>1872</v>
      </c>
      <c r="AB112" s="64">
        <v>9301353</v>
      </c>
      <c r="AC112" s="64">
        <v>28125</v>
      </c>
      <c r="AD112" s="64">
        <v>33025</v>
      </c>
      <c r="AE112" s="65">
        <v>929453</v>
      </c>
      <c r="AF112" s="5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  <c r="AU112" s="17"/>
      <c r="AV112" s="17"/>
      <c r="AW112" s="17"/>
      <c r="AX112" s="17"/>
      <c r="AY112" s="17"/>
      <c r="AZ112" s="17"/>
      <c r="BA112" s="17"/>
      <c r="BB112" s="17"/>
      <c r="BC112" s="17"/>
      <c r="BD112" s="17"/>
      <c r="BE112" s="17"/>
      <c r="BF112" s="17"/>
      <c r="BG112" s="17"/>
      <c r="BH112" s="17"/>
      <c r="BI112" s="17"/>
      <c r="BJ112" s="17"/>
      <c r="BK112" s="17"/>
      <c r="BL112" s="17"/>
      <c r="BM112" s="17"/>
      <c r="BN112" s="17"/>
      <c r="BO112" s="17"/>
      <c r="BP112" s="17"/>
      <c r="BQ112" s="17"/>
      <c r="BR112" s="17"/>
      <c r="BS112" s="17"/>
      <c r="BT112" s="17"/>
      <c r="BU112" s="17"/>
      <c r="BV112" s="17"/>
      <c r="BW112" s="17"/>
      <c r="BX112" s="17"/>
      <c r="BY112" s="17"/>
      <c r="BZ112" s="17"/>
      <c r="CA112" s="17"/>
      <c r="CB112" s="17"/>
      <c r="CC112" s="17"/>
      <c r="CD112" s="17"/>
      <c r="CE112" s="17"/>
      <c r="CF112" s="17"/>
      <c r="CG112" s="17"/>
      <c r="CH112" s="17"/>
      <c r="CI112" s="17"/>
      <c r="CJ112" s="17"/>
      <c r="CK112" s="17"/>
      <c r="CL112" s="17"/>
      <c r="CM112" s="17"/>
      <c r="CN112" s="17"/>
      <c r="CO112" s="17"/>
      <c r="CP112" s="17"/>
      <c r="CQ112" s="17"/>
      <c r="CR112" s="17"/>
      <c r="CS112" s="17"/>
      <c r="CT112" s="17"/>
      <c r="CU112" s="17"/>
      <c r="CV112" s="17"/>
      <c r="CW112" s="17"/>
      <c r="CX112" s="17"/>
      <c r="CY112" s="17"/>
      <c r="CZ112" s="17"/>
      <c r="DA112" s="17"/>
      <c r="DB112" s="17"/>
      <c r="DC112" s="17"/>
      <c r="DD112" s="17"/>
      <c r="DE112" s="17"/>
      <c r="DF112" s="17"/>
      <c r="DG112" s="17"/>
      <c r="DH112" s="17"/>
      <c r="DI112" s="17"/>
      <c r="DJ112" s="17"/>
      <c r="DK112" s="17"/>
      <c r="DL112" s="17"/>
      <c r="DM112" s="17"/>
      <c r="DN112" s="17"/>
      <c r="DO112" s="17"/>
      <c r="DP112" s="17"/>
      <c r="DQ112" s="17"/>
      <c r="DR112" s="17"/>
      <c r="DS112" s="17"/>
      <c r="DT112" s="17"/>
      <c r="DU112" s="17"/>
      <c r="DV112" s="17"/>
      <c r="DW112" s="17"/>
      <c r="DX112" s="17"/>
      <c r="DY112" s="17"/>
      <c r="DZ112" s="17"/>
      <c r="EA112" s="17"/>
      <c r="EB112" s="17"/>
      <c r="EC112" s="17"/>
      <c r="ED112" s="17"/>
      <c r="EE112" s="17"/>
      <c r="EF112" s="17"/>
      <c r="EG112" s="17"/>
      <c r="EH112" s="17"/>
      <c r="EI112" s="17"/>
      <c r="EJ112" s="17"/>
      <c r="EK112" s="17"/>
      <c r="EL112" s="17"/>
      <c r="EM112" s="17"/>
      <c r="EN112" s="17"/>
      <c r="EO112" s="17"/>
      <c r="EP112" s="17"/>
      <c r="EQ112" s="17"/>
      <c r="ER112" s="17"/>
      <c r="ES112" s="17"/>
      <c r="ET112" s="17"/>
      <c r="EU112" s="17"/>
      <c r="EV112" s="17"/>
      <c r="EW112" s="17"/>
      <c r="EX112" s="17"/>
      <c r="EY112" s="17"/>
      <c r="EZ112" s="17"/>
      <c r="FA112" s="17"/>
      <c r="FB112" s="17"/>
      <c r="FC112" s="17"/>
      <c r="FD112" s="17"/>
      <c r="FE112" s="17"/>
      <c r="FF112" s="17"/>
      <c r="FG112" s="17"/>
      <c r="FH112" s="17"/>
      <c r="FI112" s="17"/>
      <c r="FJ112" s="17"/>
      <c r="FK112" s="17"/>
      <c r="FL112" s="17"/>
      <c r="FM112" s="17"/>
      <c r="FN112" s="17"/>
      <c r="FO112" s="17"/>
      <c r="FP112" s="17"/>
      <c r="FQ112" s="17"/>
      <c r="FR112" s="17"/>
      <c r="FS112" s="17"/>
      <c r="FT112" s="17"/>
      <c r="FU112" s="17"/>
      <c r="FV112" s="17"/>
      <c r="FW112" s="17"/>
      <c r="FX112" s="17"/>
      <c r="FY112" s="17"/>
      <c r="FZ112" s="17"/>
      <c r="GA112" s="17"/>
      <c r="GB112" s="17"/>
      <c r="GC112" s="17"/>
      <c r="GD112" s="17"/>
      <c r="GE112" s="17"/>
      <c r="GF112" s="17"/>
      <c r="GG112" s="17"/>
      <c r="GH112" s="17"/>
      <c r="GI112" s="17"/>
      <c r="GJ112" s="17"/>
      <c r="GK112" s="17"/>
      <c r="GL112" s="17"/>
      <c r="GM112" s="17"/>
      <c r="GN112" s="17"/>
      <c r="GO112" s="17"/>
      <c r="GP112" s="17"/>
      <c r="GQ112" s="17"/>
      <c r="GR112" s="17"/>
      <c r="GS112" s="17"/>
      <c r="GT112" s="17"/>
      <c r="GU112" s="17"/>
      <c r="GV112" s="17"/>
      <c r="GW112" s="17"/>
      <c r="GX112" s="17"/>
      <c r="GY112" s="17"/>
      <c r="GZ112" s="17"/>
      <c r="HA112" s="17"/>
      <c r="HB112" s="17"/>
      <c r="HC112" s="17"/>
      <c r="HD112" s="17"/>
      <c r="HE112" s="17"/>
      <c r="HF112" s="17"/>
      <c r="HG112" s="17"/>
      <c r="HH112" s="17"/>
      <c r="HI112" s="17"/>
      <c r="HJ112" s="17"/>
      <c r="HK112" s="17"/>
      <c r="HL112" s="17"/>
      <c r="HM112" s="17"/>
      <c r="HN112" s="17"/>
      <c r="HO112" s="17"/>
      <c r="HP112" s="17"/>
      <c r="HQ112" s="17"/>
      <c r="HR112" s="17"/>
      <c r="HS112" s="17"/>
      <c r="HT112" s="17"/>
      <c r="HU112" s="17"/>
      <c r="HV112" s="17"/>
      <c r="HW112" s="17"/>
      <c r="HX112" s="17"/>
      <c r="HY112" s="17"/>
      <c r="HZ112" s="17"/>
      <c r="IA112" s="17"/>
      <c r="IB112" s="17"/>
      <c r="IC112" s="17"/>
      <c r="ID112" s="17"/>
      <c r="IE112" s="17"/>
      <c r="IF112" s="17"/>
      <c r="IG112" s="17"/>
    </row>
    <row r="113" spans="1:241" s="34" customFormat="1" ht="16.5" customHeight="1" x14ac:dyDescent="0.25">
      <c r="A113" s="41">
        <v>97</v>
      </c>
      <c r="B113" s="42" t="s">
        <v>130</v>
      </c>
      <c r="C113" s="42" t="s">
        <v>101</v>
      </c>
      <c r="D113" s="65">
        <v>467540823.17000002</v>
      </c>
      <c r="E113" s="65"/>
      <c r="F113" s="65">
        <v>227589836.99000001</v>
      </c>
      <c r="G113" s="65">
        <v>353734529.44999999</v>
      </c>
      <c r="H113" s="48">
        <v>22989626.609999999</v>
      </c>
      <c r="I113" s="103"/>
      <c r="J113" s="103">
        <v>1071854816.22</v>
      </c>
      <c r="K113" s="103">
        <v>-7461096.7699999996</v>
      </c>
      <c r="L113" s="65">
        <v>1867768.08</v>
      </c>
      <c r="M113" s="47">
        <v>-9940789.0500000007</v>
      </c>
      <c r="N113" s="65">
        <v>1079139039.6900001</v>
      </c>
      <c r="O113" s="65">
        <v>68522994.980000004</v>
      </c>
      <c r="P113" s="98">
        <v>1020906538.76</v>
      </c>
      <c r="Q113" s="50">
        <f t="shared" si="43"/>
        <v>7.5085591689400943E-4</v>
      </c>
      <c r="R113" s="98">
        <v>1010616044.71</v>
      </c>
      <c r="S113" s="50">
        <f>(R113/$R$133)</f>
        <v>3.3686438722832904E-2</v>
      </c>
      <c r="T113" s="51">
        <f>((R113-P113)/P113)</f>
        <v>-1.0079761133177633E-2</v>
      </c>
      <c r="U113" s="52">
        <f>(L113/R113)</f>
        <v>1.8481480575899256E-3</v>
      </c>
      <c r="V113" s="53">
        <f>M113/R113</f>
        <v>-9.8363657513992342E-3</v>
      </c>
      <c r="W113" s="54">
        <f>R113/AE113</f>
        <v>2.3191677319727568</v>
      </c>
      <c r="X113" s="54">
        <f>M113/AE113</f>
        <v>-2.2812182050527062E-2</v>
      </c>
      <c r="Y113" s="65">
        <v>2.3283999999999998</v>
      </c>
      <c r="Z113" s="65">
        <v>2.3761000000000001</v>
      </c>
      <c r="AA113" s="64">
        <v>2773</v>
      </c>
      <c r="AB113" s="65">
        <v>435916689.39349997</v>
      </c>
      <c r="AC113" s="64">
        <v>0</v>
      </c>
      <c r="AD113" s="64">
        <v>435916689.39349997</v>
      </c>
      <c r="AE113" s="65">
        <v>435766689.39349997</v>
      </c>
      <c r="AF113" s="3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  <c r="AU113" s="23"/>
      <c r="AV113" s="23"/>
      <c r="AW113" s="23"/>
      <c r="AX113" s="23"/>
      <c r="AY113" s="23"/>
      <c r="AZ113" s="23"/>
      <c r="BA113" s="23"/>
      <c r="BB113" s="23"/>
      <c r="BC113" s="23"/>
      <c r="BD113" s="23"/>
      <c r="BE113" s="23"/>
      <c r="BF113" s="23"/>
      <c r="BG113" s="23"/>
      <c r="BH113" s="23"/>
      <c r="BI113" s="23"/>
      <c r="BJ113" s="23"/>
      <c r="BK113" s="23"/>
      <c r="BL113" s="23"/>
      <c r="BM113" s="23"/>
      <c r="BN113" s="23"/>
      <c r="BO113" s="23"/>
      <c r="BP113" s="23"/>
      <c r="BQ113" s="23"/>
      <c r="BR113" s="23"/>
      <c r="BS113" s="23"/>
      <c r="BT113" s="23"/>
      <c r="BU113" s="23"/>
      <c r="BV113" s="23"/>
      <c r="BW113" s="23"/>
      <c r="BX113" s="23"/>
      <c r="BY113" s="23"/>
      <c r="BZ113" s="23"/>
      <c r="CA113" s="23"/>
      <c r="CB113" s="23"/>
      <c r="CC113" s="23"/>
      <c r="CD113" s="23"/>
      <c r="CE113" s="23"/>
      <c r="CF113" s="23"/>
      <c r="CG113" s="23"/>
      <c r="CH113" s="23"/>
      <c r="CI113" s="23"/>
      <c r="CJ113" s="23"/>
      <c r="CK113" s="23"/>
      <c r="CL113" s="23"/>
      <c r="CM113" s="23"/>
      <c r="CN113" s="23"/>
      <c r="CO113" s="23"/>
      <c r="CP113" s="23"/>
      <c r="CQ113" s="23"/>
      <c r="CR113" s="23"/>
      <c r="CS113" s="23"/>
      <c r="CT113" s="23"/>
      <c r="CU113" s="23"/>
      <c r="CV113" s="23"/>
      <c r="CW113" s="23"/>
      <c r="CX113" s="23"/>
      <c r="CY113" s="23"/>
      <c r="CZ113" s="23"/>
      <c r="DA113" s="23"/>
      <c r="DB113" s="23"/>
      <c r="DC113" s="23"/>
      <c r="DD113" s="23"/>
      <c r="DE113" s="23"/>
      <c r="DF113" s="23"/>
      <c r="DG113" s="23"/>
      <c r="DH113" s="23"/>
      <c r="DI113" s="23"/>
      <c r="DJ113" s="23"/>
      <c r="DK113" s="23"/>
      <c r="DL113" s="23"/>
      <c r="DM113" s="23"/>
      <c r="DN113" s="23"/>
      <c r="DO113" s="23"/>
      <c r="DP113" s="23"/>
      <c r="DQ113" s="23"/>
      <c r="DR113" s="23"/>
      <c r="DS113" s="23"/>
      <c r="DT113" s="23"/>
      <c r="DU113" s="23"/>
      <c r="DV113" s="23"/>
      <c r="DW113" s="23"/>
      <c r="DX113" s="23"/>
      <c r="DY113" s="23"/>
      <c r="DZ113" s="23"/>
      <c r="EA113" s="23"/>
      <c r="EB113" s="23"/>
      <c r="EC113" s="23"/>
      <c r="ED113" s="23"/>
      <c r="EE113" s="23"/>
      <c r="EF113" s="23"/>
      <c r="EG113" s="23"/>
      <c r="EH113" s="23"/>
      <c r="EI113" s="23"/>
      <c r="EJ113" s="23"/>
      <c r="EK113" s="23"/>
      <c r="EL113" s="23"/>
      <c r="EM113" s="23"/>
      <c r="EN113" s="23"/>
      <c r="EO113" s="23"/>
      <c r="EP113" s="23"/>
      <c r="EQ113" s="23"/>
      <c r="ER113" s="23"/>
      <c r="ES113" s="23"/>
      <c r="ET113" s="23"/>
      <c r="EU113" s="23"/>
      <c r="EV113" s="23"/>
      <c r="EW113" s="23"/>
      <c r="EX113" s="23"/>
      <c r="EY113" s="23"/>
      <c r="EZ113" s="23"/>
      <c r="FA113" s="23"/>
      <c r="FB113" s="23"/>
      <c r="FC113" s="23"/>
      <c r="FD113" s="23"/>
      <c r="FE113" s="23"/>
      <c r="FF113" s="23"/>
      <c r="FG113" s="23"/>
      <c r="FH113" s="23"/>
      <c r="FI113" s="23"/>
      <c r="FJ113" s="23"/>
      <c r="FK113" s="23"/>
      <c r="FL113" s="23"/>
      <c r="FM113" s="23"/>
      <c r="FN113" s="23"/>
      <c r="FO113" s="23"/>
      <c r="FP113" s="23"/>
      <c r="FQ113" s="23"/>
      <c r="FR113" s="23"/>
      <c r="FS113" s="23"/>
      <c r="FT113" s="23"/>
      <c r="FU113" s="23"/>
      <c r="FV113" s="23"/>
      <c r="FW113" s="23"/>
      <c r="FX113" s="23"/>
      <c r="FY113" s="23"/>
      <c r="FZ113" s="23"/>
      <c r="GA113" s="23"/>
      <c r="GB113" s="23"/>
      <c r="GC113" s="23"/>
      <c r="GD113" s="23"/>
      <c r="GE113" s="23"/>
      <c r="GF113" s="23"/>
      <c r="GG113" s="23"/>
      <c r="GH113" s="23"/>
      <c r="GI113" s="23"/>
      <c r="GJ113" s="23"/>
      <c r="GK113" s="23"/>
      <c r="GL113" s="23"/>
      <c r="GM113" s="23"/>
      <c r="GN113" s="23"/>
      <c r="GO113" s="23"/>
      <c r="GP113" s="23"/>
      <c r="GQ113" s="23"/>
      <c r="GR113" s="23"/>
      <c r="GS113" s="23"/>
      <c r="GT113" s="23"/>
      <c r="GU113" s="23"/>
      <c r="GV113" s="23"/>
      <c r="GW113" s="23"/>
      <c r="GX113" s="23"/>
      <c r="GY113" s="23"/>
      <c r="GZ113" s="23"/>
      <c r="HA113" s="23"/>
      <c r="HB113" s="23"/>
      <c r="HC113" s="23"/>
      <c r="HD113" s="23"/>
      <c r="HE113" s="23"/>
      <c r="HF113" s="23"/>
      <c r="HG113" s="23"/>
      <c r="HH113" s="23"/>
      <c r="HI113" s="23"/>
      <c r="HJ113" s="23"/>
      <c r="HK113" s="23"/>
      <c r="HL113" s="23"/>
      <c r="HM113" s="23"/>
      <c r="HN113" s="23"/>
      <c r="HO113" s="23"/>
      <c r="HP113" s="23"/>
      <c r="HQ113" s="23"/>
      <c r="HR113" s="23"/>
      <c r="HS113" s="23"/>
      <c r="HT113" s="23"/>
      <c r="HU113" s="23"/>
      <c r="HV113" s="23"/>
      <c r="HW113" s="23"/>
      <c r="HX113" s="23"/>
      <c r="HY113" s="23"/>
      <c r="HZ113" s="23"/>
      <c r="IA113" s="23"/>
      <c r="IB113" s="23"/>
      <c r="IC113" s="23"/>
      <c r="ID113" s="23"/>
      <c r="IE113" s="23"/>
      <c r="IF113" s="23"/>
      <c r="IG113" s="23"/>
    </row>
    <row r="114" spans="1:241" s="34" customFormat="1" ht="16.5" customHeight="1" x14ac:dyDescent="0.25">
      <c r="A114" s="41">
        <v>98</v>
      </c>
      <c r="B114" s="42" t="s">
        <v>171</v>
      </c>
      <c r="C114" s="42" t="s">
        <v>82</v>
      </c>
      <c r="D114" s="65">
        <v>922301724.58000004</v>
      </c>
      <c r="E114" s="65"/>
      <c r="F114" s="65">
        <v>816611020.55999994</v>
      </c>
      <c r="G114" s="65">
        <v>494750072.31</v>
      </c>
      <c r="H114" s="102"/>
      <c r="I114" s="103"/>
      <c r="J114" s="103">
        <v>2233662817.4499998</v>
      </c>
      <c r="K114" s="103">
        <v>35029271.049999997</v>
      </c>
      <c r="L114" s="65">
        <v>5291184.8099999996</v>
      </c>
      <c r="M114" s="47">
        <v>30136589.050000001</v>
      </c>
      <c r="N114" s="65">
        <v>2224395639.8099999</v>
      </c>
      <c r="O114" s="65">
        <v>17829404.629999999</v>
      </c>
      <c r="P114" s="98">
        <v>2240808513.9299998</v>
      </c>
      <c r="Q114" s="50">
        <f t="shared" si="43"/>
        <v>1.6480689146671722E-3</v>
      </c>
      <c r="R114" s="98">
        <v>2206566235.1799998</v>
      </c>
      <c r="S114" s="50">
        <f>(R114/$R$133)</f>
        <v>7.3550542422461548E-2</v>
      </c>
      <c r="T114" s="51">
        <f>((R114-P114)/P114)</f>
        <v>-1.5281215925918107E-2</v>
      </c>
      <c r="U114" s="52">
        <f>(L114/R114)</f>
        <v>2.3979270260012717E-3</v>
      </c>
      <c r="V114" s="53">
        <f>M114/R114</f>
        <v>1.3657686123136756E-2</v>
      </c>
      <c r="W114" s="54">
        <f>R114/AE114</f>
        <v>4049.2449658926721</v>
      </c>
      <c r="X114" s="54">
        <f>M114/AE114</f>
        <v>55.303316779853724</v>
      </c>
      <c r="Y114" s="65">
        <v>4049.24</v>
      </c>
      <c r="Z114" s="65">
        <v>4102.97</v>
      </c>
      <c r="AA114" s="64">
        <v>822</v>
      </c>
      <c r="AB114" s="65">
        <v>546366.91</v>
      </c>
      <c r="AC114" s="64">
        <v>93.86</v>
      </c>
      <c r="AD114" s="64">
        <v>1528</v>
      </c>
      <c r="AE114" s="65">
        <v>544932.76</v>
      </c>
      <c r="AF114" s="33"/>
      <c r="AG114" s="23"/>
      <c r="AH114" s="23"/>
      <c r="AI114" s="23"/>
      <c r="AJ114" s="23"/>
      <c r="AK114" s="23"/>
      <c r="AL114" s="23"/>
      <c r="AM114" s="23"/>
      <c r="AN114" s="23"/>
      <c r="AO114" s="23"/>
      <c r="AP114" s="23"/>
      <c r="AQ114" s="23"/>
      <c r="AR114" s="23"/>
      <c r="AS114" s="23"/>
      <c r="AT114" s="23"/>
      <c r="AU114" s="23"/>
      <c r="AV114" s="23"/>
      <c r="AW114" s="23"/>
      <c r="AX114" s="23"/>
      <c r="AY114" s="23"/>
      <c r="AZ114" s="23"/>
      <c r="BA114" s="23"/>
      <c r="BB114" s="23"/>
      <c r="BC114" s="23"/>
      <c r="BD114" s="23"/>
      <c r="BE114" s="23"/>
      <c r="BF114" s="23"/>
      <c r="BG114" s="23"/>
      <c r="BH114" s="23"/>
      <c r="BI114" s="23"/>
      <c r="BJ114" s="23"/>
      <c r="BK114" s="23"/>
      <c r="BL114" s="23"/>
      <c r="BM114" s="23"/>
      <c r="BN114" s="23"/>
      <c r="BO114" s="23"/>
      <c r="BP114" s="23"/>
      <c r="BQ114" s="23"/>
      <c r="BR114" s="23"/>
      <c r="BS114" s="23"/>
      <c r="BT114" s="23"/>
      <c r="BU114" s="23"/>
      <c r="BV114" s="23"/>
      <c r="BW114" s="23"/>
      <c r="BX114" s="23"/>
      <c r="BY114" s="23"/>
      <c r="BZ114" s="23"/>
      <c r="CA114" s="23"/>
      <c r="CB114" s="23"/>
      <c r="CC114" s="23"/>
      <c r="CD114" s="23"/>
      <c r="CE114" s="23"/>
      <c r="CF114" s="23"/>
      <c r="CG114" s="23"/>
      <c r="CH114" s="23"/>
      <c r="CI114" s="23"/>
      <c r="CJ114" s="23"/>
      <c r="CK114" s="23"/>
      <c r="CL114" s="23"/>
      <c r="CM114" s="23"/>
      <c r="CN114" s="23"/>
      <c r="CO114" s="23"/>
      <c r="CP114" s="23"/>
      <c r="CQ114" s="23"/>
      <c r="CR114" s="23"/>
      <c r="CS114" s="23"/>
      <c r="CT114" s="23"/>
      <c r="CU114" s="23"/>
      <c r="CV114" s="23"/>
      <c r="CW114" s="23"/>
      <c r="CX114" s="23"/>
      <c r="CY114" s="23"/>
      <c r="CZ114" s="23"/>
      <c r="DA114" s="23"/>
      <c r="DB114" s="23"/>
      <c r="DC114" s="23"/>
      <c r="DD114" s="23"/>
      <c r="DE114" s="23"/>
      <c r="DF114" s="23"/>
      <c r="DG114" s="23"/>
      <c r="DH114" s="23"/>
      <c r="DI114" s="23"/>
      <c r="DJ114" s="23"/>
      <c r="DK114" s="23"/>
      <c r="DL114" s="23"/>
      <c r="DM114" s="23"/>
      <c r="DN114" s="23"/>
      <c r="DO114" s="23"/>
      <c r="DP114" s="23"/>
      <c r="DQ114" s="23"/>
      <c r="DR114" s="23"/>
      <c r="DS114" s="23"/>
      <c r="DT114" s="23"/>
      <c r="DU114" s="23"/>
      <c r="DV114" s="23"/>
      <c r="DW114" s="23"/>
      <c r="DX114" s="23"/>
      <c r="DY114" s="23"/>
      <c r="DZ114" s="23"/>
      <c r="EA114" s="23"/>
      <c r="EB114" s="23"/>
      <c r="EC114" s="23"/>
      <c r="ED114" s="23"/>
      <c r="EE114" s="23"/>
      <c r="EF114" s="23"/>
      <c r="EG114" s="23"/>
      <c r="EH114" s="23"/>
      <c r="EI114" s="23"/>
      <c r="EJ114" s="23"/>
      <c r="EK114" s="23"/>
      <c r="EL114" s="23"/>
      <c r="EM114" s="23"/>
      <c r="EN114" s="23"/>
      <c r="EO114" s="23"/>
      <c r="EP114" s="23"/>
      <c r="EQ114" s="23"/>
      <c r="ER114" s="23"/>
      <c r="ES114" s="23"/>
      <c r="ET114" s="23"/>
      <c r="EU114" s="23"/>
      <c r="EV114" s="23"/>
      <c r="EW114" s="23"/>
      <c r="EX114" s="23"/>
      <c r="EY114" s="23"/>
      <c r="EZ114" s="23"/>
      <c r="FA114" s="23"/>
      <c r="FB114" s="23"/>
      <c r="FC114" s="23"/>
      <c r="FD114" s="23"/>
      <c r="FE114" s="23"/>
      <c r="FF114" s="23"/>
      <c r="FG114" s="23"/>
      <c r="FH114" s="23"/>
      <c r="FI114" s="23"/>
      <c r="FJ114" s="23"/>
      <c r="FK114" s="23"/>
      <c r="FL114" s="23"/>
      <c r="FM114" s="23"/>
      <c r="FN114" s="23"/>
      <c r="FO114" s="23"/>
      <c r="FP114" s="23"/>
      <c r="FQ114" s="23"/>
      <c r="FR114" s="23"/>
      <c r="FS114" s="23"/>
      <c r="FT114" s="23"/>
      <c r="FU114" s="23"/>
      <c r="FV114" s="23"/>
      <c r="FW114" s="23"/>
      <c r="FX114" s="23"/>
      <c r="FY114" s="23"/>
      <c r="FZ114" s="23"/>
      <c r="GA114" s="23"/>
      <c r="GB114" s="23"/>
      <c r="GC114" s="23"/>
      <c r="GD114" s="23"/>
      <c r="GE114" s="23"/>
      <c r="GF114" s="23"/>
      <c r="GG114" s="23"/>
      <c r="GH114" s="23"/>
      <c r="GI114" s="23"/>
      <c r="GJ114" s="23"/>
      <c r="GK114" s="23"/>
      <c r="GL114" s="23"/>
      <c r="GM114" s="23"/>
      <c r="GN114" s="23"/>
      <c r="GO114" s="23"/>
      <c r="GP114" s="23"/>
      <c r="GQ114" s="23"/>
      <c r="GR114" s="23"/>
      <c r="GS114" s="23"/>
      <c r="GT114" s="23"/>
      <c r="GU114" s="23"/>
      <c r="GV114" s="23"/>
      <c r="GW114" s="23"/>
      <c r="GX114" s="23"/>
      <c r="GY114" s="23"/>
      <c r="GZ114" s="23"/>
      <c r="HA114" s="23"/>
      <c r="HB114" s="23"/>
      <c r="HC114" s="23"/>
      <c r="HD114" s="23"/>
      <c r="HE114" s="23"/>
      <c r="HF114" s="23"/>
      <c r="HG114" s="23"/>
      <c r="HH114" s="23"/>
      <c r="HI114" s="23"/>
      <c r="HJ114" s="23"/>
      <c r="HK114" s="23"/>
      <c r="HL114" s="23"/>
      <c r="HM114" s="23"/>
      <c r="HN114" s="23"/>
      <c r="HO114" s="23"/>
      <c r="HP114" s="23"/>
      <c r="HQ114" s="23"/>
      <c r="HR114" s="23"/>
      <c r="HS114" s="23"/>
      <c r="HT114" s="23"/>
      <c r="HU114" s="23"/>
      <c r="HV114" s="23"/>
      <c r="HW114" s="23"/>
      <c r="HX114" s="23"/>
      <c r="HY114" s="23"/>
      <c r="HZ114" s="23"/>
      <c r="IA114" s="23"/>
      <c r="IB114" s="23"/>
      <c r="IC114" s="23"/>
      <c r="ID114" s="23"/>
      <c r="IE114" s="23"/>
      <c r="IF114" s="23"/>
      <c r="IG114" s="23"/>
    </row>
    <row r="115" spans="1:241" s="34" customFormat="1" ht="16.5" customHeight="1" x14ac:dyDescent="0.25">
      <c r="A115" s="41">
        <v>99</v>
      </c>
      <c r="B115" s="42" t="s">
        <v>136</v>
      </c>
      <c r="C115" s="56" t="s">
        <v>65</v>
      </c>
      <c r="D115" s="65">
        <v>154079608.40000001</v>
      </c>
      <c r="E115" s="65"/>
      <c r="F115" s="65">
        <v>57614107.979999997</v>
      </c>
      <c r="G115" s="65">
        <v>96978627.909999996</v>
      </c>
      <c r="H115" s="102"/>
      <c r="I115" s="103"/>
      <c r="J115" s="103">
        <v>308672344.29000002</v>
      </c>
      <c r="K115" s="103">
        <v>1445053.16</v>
      </c>
      <c r="L115" s="103">
        <v>675691.5</v>
      </c>
      <c r="M115" s="47">
        <v>344366.74</v>
      </c>
      <c r="N115" s="65">
        <v>341802570.25999999</v>
      </c>
      <c r="O115" s="65">
        <v>8056567.8899999997</v>
      </c>
      <c r="P115" s="98">
        <v>333916503.45999998</v>
      </c>
      <c r="Q115" s="50">
        <f t="shared" si="43"/>
        <v>2.455887712072351E-4</v>
      </c>
      <c r="R115" s="98">
        <v>333746002.37</v>
      </c>
      <c r="S115" s="50">
        <f>(R115/$R$133)</f>
        <v>1.1124614849206741E-2</v>
      </c>
      <c r="T115" s="51">
        <f>((R115-P115)/P115)</f>
        <v>-5.1060995258773783E-4</v>
      </c>
      <c r="U115" s="52">
        <f>(L115/R115)</f>
        <v>2.0245680703342471E-3</v>
      </c>
      <c r="V115" s="53">
        <f>M115/R115</f>
        <v>1.03182281601751E-3</v>
      </c>
      <c r="W115" s="54">
        <f>R115/AE115</f>
        <v>130.3537471517121</v>
      </c>
      <c r="X115" s="54">
        <f>M115/AE115</f>
        <v>0.13450197046451406</v>
      </c>
      <c r="Y115" s="65">
        <v>131.32</v>
      </c>
      <c r="Z115" s="65">
        <v>132.25</v>
      </c>
      <c r="AA115" s="64">
        <v>671</v>
      </c>
      <c r="AB115" s="64">
        <v>2571296</v>
      </c>
      <c r="AC115" s="64">
        <v>7785</v>
      </c>
      <c r="AD115" s="64">
        <v>18771</v>
      </c>
      <c r="AE115" s="65">
        <v>2560310</v>
      </c>
      <c r="AF115" s="3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23"/>
      <c r="AY115" s="23"/>
      <c r="AZ115" s="23"/>
      <c r="BA115" s="23"/>
      <c r="BB115" s="23"/>
      <c r="BC115" s="23"/>
      <c r="BD115" s="23"/>
      <c r="BE115" s="23"/>
      <c r="BF115" s="23"/>
      <c r="BG115" s="23"/>
      <c r="BH115" s="23"/>
      <c r="BI115" s="23"/>
      <c r="BJ115" s="23"/>
      <c r="BK115" s="23"/>
      <c r="BL115" s="23"/>
      <c r="BM115" s="23"/>
      <c r="BN115" s="23"/>
      <c r="BO115" s="23"/>
      <c r="BP115" s="23"/>
      <c r="BQ115" s="23"/>
      <c r="BR115" s="23"/>
      <c r="BS115" s="23"/>
      <c r="BT115" s="23"/>
      <c r="BU115" s="23"/>
      <c r="BV115" s="23"/>
      <c r="BW115" s="23"/>
      <c r="BX115" s="23"/>
      <c r="BY115" s="23"/>
      <c r="BZ115" s="23"/>
      <c r="CA115" s="23"/>
      <c r="CB115" s="23"/>
      <c r="CC115" s="23"/>
      <c r="CD115" s="23"/>
      <c r="CE115" s="23"/>
      <c r="CF115" s="23"/>
      <c r="CG115" s="23"/>
      <c r="CH115" s="23"/>
      <c r="CI115" s="23"/>
      <c r="CJ115" s="23"/>
      <c r="CK115" s="23"/>
      <c r="CL115" s="23"/>
      <c r="CM115" s="23"/>
      <c r="CN115" s="23"/>
      <c r="CO115" s="23"/>
      <c r="CP115" s="23"/>
      <c r="CQ115" s="23"/>
      <c r="CR115" s="23"/>
      <c r="CS115" s="23"/>
      <c r="CT115" s="23"/>
      <c r="CU115" s="23"/>
      <c r="CV115" s="23"/>
      <c r="CW115" s="23"/>
      <c r="CX115" s="23"/>
      <c r="CY115" s="23"/>
      <c r="CZ115" s="23"/>
      <c r="DA115" s="23"/>
      <c r="DB115" s="23"/>
      <c r="DC115" s="23"/>
      <c r="DD115" s="23"/>
      <c r="DE115" s="23"/>
      <c r="DF115" s="23"/>
      <c r="DG115" s="23"/>
      <c r="DH115" s="23"/>
      <c r="DI115" s="23"/>
      <c r="DJ115" s="23"/>
      <c r="DK115" s="23"/>
      <c r="DL115" s="23"/>
      <c r="DM115" s="23"/>
      <c r="DN115" s="23"/>
      <c r="DO115" s="23"/>
      <c r="DP115" s="23"/>
      <c r="DQ115" s="23"/>
      <c r="DR115" s="23"/>
      <c r="DS115" s="23"/>
      <c r="DT115" s="23"/>
      <c r="DU115" s="23"/>
      <c r="DV115" s="23"/>
      <c r="DW115" s="23"/>
      <c r="DX115" s="23"/>
      <c r="DY115" s="23"/>
      <c r="DZ115" s="23"/>
      <c r="EA115" s="23"/>
      <c r="EB115" s="23"/>
      <c r="EC115" s="23"/>
      <c r="ED115" s="23"/>
      <c r="EE115" s="23"/>
      <c r="EF115" s="23"/>
      <c r="EG115" s="23"/>
      <c r="EH115" s="23"/>
      <c r="EI115" s="23"/>
      <c r="EJ115" s="23"/>
      <c r="EK115" s="23"/>
      <c r="EL115" s="23"/>
      <c r="EM115" s="23"/>
      <c r="EN115" s="23"/>
      <c r="EO115" s="23"/>
      <c r="EP115" s="23"/>
      <c r="EQ115" s="23"/>
      <c r="ER115" s="23"/>
      <c r="ES115" s="23"/>
      <c r="ET115" s="23"/>
      <c r="EU115" s="23"/>
      <c r="EV115" s="23"/>
      <c r="EW115" s="23"/>
      <c r="EX115" s="23"/>
      <c r="EY115" s="23"/>
      <c r="EZ115" s="23"/>
      <c r="FA115" s="23"/>
      <c r="FB115" s="23"/>
      <c r="FC115" s="23"/>
      <c r="FD115" s="23"/>
      <c r="FE115" s="23"/>
      <c r="FF115" s="23"/>
      <c r="FG115" s="23"/>
      <c r="FH115" s="23"/>
      <c r="FI115" s="23"/>
      <c r="FJ115" s="23"/>
      <c r="FK115" s="23"/>
      <c r="FL115" s="23"/>
      <c r="FM115" s="23"/>
      <c r="FN115" s="23"/>
      <c r="FO115" s="23"/>
      <c r="FP115" s="23"/>
      <c r="FQ115" s="23"/>
      <c r="FR115" s="23"/>
      <c r="FS115" s="23"/>
      <c r="FT115" s="23"/>
      <c r="FU115" s="23"/>
      <c r="FV115" s="23"/>
      <c r="FW115" s="23"/>
      <c r="FX115" s="23"/>
      <c r="FY115" s="23"/>
      <c r="FZ115" s="23"/>
      <c r="GA115" s="23"/>
      <c r="GB115" s="23"/>
      <c r="GC115" s="23"/>
      <c r="GD115" s="23"/>
      <c r="GE115" s="23"/>
      <c r="GF115" s="23"/>
      <c r="GG115" s="23"/>
      <c r="GH115" s="23"/>
      <c r="GI115" s="23"/>
      <c r="GJ115" s="23"/>
      <c r="GK115" s="23"/>
      <c r="GL115" s="23"/>
      <c r="GM115" s="23"/>
      <c r="GN115" s="23"/>
      <c r="GO115" s="23"/>
      <c r="GP115" s="23"/>
      <c r="GQ115" s="23"/>
      <c r="GR115" s="23"/>
      <c r="GS115" s="23"/>
      <c r="GT115" s="23"/>
      <c r="GU115" s="23"/>
      <c r="GV115" s="23"/>
      <c r="GW115" s="23"/>
      <c r="GX115" s="23"/>
      <c r="GY115" s="23"/>
      <c r="GZ115" s="23"/>
      <c r="HA115" s="23"/>
      <c r="HB115" s="23"/>
      <c r="HC115" s="23"/>
      <c r="HD115" s="23"/>
      <c r="HE115" s="23"/>
      <c r="HF115" s="23"/>
      <c r="HG115" s="23"/>
      <c r="HH115" s="23"/>
      <c r="HI115" s="23"/>
      <c r="HJ115" s="23"/>
      <c r="HK115" s="23"/>
      <c r="HL115" s="23"/>
      <c r="HM115" s="23"/>
      <c r="HN115" s="23"/>
      <c r="HO115" s="23"/>
      <c r="HP115" s="23"/>
      <c r="HQ115" s="23"/>
      <c r="HR115" s="23"/>
      <c r="HS115" s="23"/>
      <c r="HT115" s="23"/>
      <c r="HU115" s="23"/>
      <c r="HV115" s="23"/>
      <c r="HW115" s="23"/>
      <c r="HX115" s="23"/>
      <c r="HY115" s="23"/>
      <c r="HZ115" s="23"/>
      <c r="IA115" s="23"/>
      <c r="IB115" s="23"/>
      <c r="IC115" s="23"/>
      <c r="ID115" s="23"/>
      <c r="IE115" s="23"/>
      <c r="IF115" s="23"/>
      <c r="IG115" s="23"/>
    </row>
    <row r="116" spans="1:241" ht="16.5" customHeight="1" x14ac:dyDescent="0.25">
      <c r="A116" s="41">
        <v>100</v>
      </c>
      <c r="B116" s="42" t="s">
        <v>154</v>
      </c>
      <c r="C116" s="56" t="s">
        <v>152</v>
      </c>
      <c r="D116" s="65">
        <v>506138.2</v>
      </c>
      <c r="E116" s="65"/>
      <c r="F116" s="65">
        <v>2694673.97</v>
      </c>
      <c r="G116" s="65">
        <v>1478459.27</v>
      </c>
      <c r="H116" s="65"/>
      <c r="I116" s="65"/>
      <c r="J116" s="65">
        <v>4173133.24</v>
      </c>
      <c r="K116" s="65">
        <v>14138.45</v>
      </c>
      <c r="L116" s="65">
        <v>8513.3700000000008</v>
      </c>
      <c r="M116" s="47">
        <v>4024.89</v>
      </c>
      <c r="N116" s="65">
        <v>4283141.57</v>
      </c>
      <c r="O116" s="65">
        <v>249259.1</v>
      </c>
      <c r="P116" s="98">
        <v>4029810.89</v>
      </c>
      <c r="Q116" s="50">
        <f t="shared" si="43"/>
        <v>2.963843638807114E-6</v>
      </c>
      <c r="R116" s="98">
        <v>4033882.47</v>
      </c>
      <c r="S116" s="50">
        <f>(R33/$R$133)</f>
        <v>0.35696197073181657</v>
      </c>
      <c r="T116" s="51">
        <f>((R33-P116)/P116)</f>
        <v>2656.4700145271581</v>
      </c>
      <c r="U116" s="52">
        <f>(L33/R33)</f>
        <v>1.5922583994356714E-3</v>
      </c>
      <c r="V116" s="53">
        <f>M33/R33</f>
        <v>7.1454672396264697E-3</v>
      </c>
      <c r="W116" s="54">
        <f>R33/AE116</f>
        <v>286938.04202320345</v>
      </c>
      <c r="X116" s="54">
        <f>M33/AE116</f>
        <v>2050.3063790793635</v>
      </c>
      <c r="Y116" s="65">
        <v>102.5</v>
      </c>
      <c r="Z116" s="65">
        <v>102.73</v>
      </c>
      <c r="AA116" s="64">
        <v>87</v>
      </c>
      <c r="AB116" s="65">
        <v>38872</v>
      </c>
      <c r="AC116" s="64"/>
      <c r="AD116" s="64">
        <f>AB116-AE116</f>
        <v>1550</v>
      </c>
      <c r="AE116" s="65">
        <v>37322</v>
      </c>
      <c r="AF116" s="5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  <c r="AU116" s="17"/>
      <c r="AV116" s="17"/>
      <c r="AW116" s="17"/>
      <c r="AX116" s="17"/>
      <c r="AY116" s="17"/>
      <c r="AZ116" s="17"/>
      <c r="BA116" s="17"/>
      <c r="BB116" s="17"/>
      <c r="BC116" s="17"/>
      <c r="BD116" s="17"/>
      <c r="BE116" s="17"/>
      <c r="BF116" s="17"/>
      <c r="BG116" s="17"/>
      <c r="BH116" s="17"/>
      <c r="BI116" s="17"/>
      <c r="BJ116" s="17"/>
      <c r="BK116" s="17"/>
      <c r="BL116" s="17"/>
      <c r="BM116" s="17"/>
      <c r="BN116" s="17"/>
      <c r="BO116" s="17"/>
      <c r="BP116" s="17"/>
      <c r="BQ116" s="17"/>
      <c r="BR116" s="17"/>
      <c r="BS116" s="17"/>
      <c r="BT116" s="17"/>
      <c r="BU116" s="17"/>
      <c r="BV116" s="17"/>
      <c r="BW116" s="17"/>
      <c r="BX116" s="17"/>
      <c r="BY116" s="17"/>
      <c r="BZ116" s="17"/>
      <c r="CA116" s="17"/>
      <c r="CB116" s="17"/>
      <c r="CC116" s="17"/>
      <c r="CD116" s="17"/>
      <c r="CE116" s="17"/>
      <c r="CF116" s="17"/>
      <c r="CG116" s="17"/>
      <c r="CH116" s="17"/>
      <c r="CI116" s="17"/>
      <c r="CJ116" s="17"/>
      <c r="CK116" s="17"/>
      <c r="CL116" s="17"/>
      <c r="CM116" s="17"/>
      <c r="CN116" s="17"/>
      <c r="CO116" s="17"/>
      <c r="CP116" s="17"/>
      <c r="CQ116" s="17"/>
      <c r="CR116" s="17"/>
      <c r="CS116" s="17"/>
      <c r="CT116" s="17"/>
      <c r="CU116" s="17"/>
      <c r="CV116" s="17"/>
      <c r="CW116" s="17"/>
      <c r="CX116" s="17"/>
      <c r="CY116" s="17"/>
      <c r="CZ116" s="17"/>
      <c r="DA116" s="17"/>
      <c r="DB116" s="17"/>
      <c r="DC116" s="17"/>
      <c r="DD116" s="17"/>
      <c r="DE116" s="17"/>
      <c r="DF116" s="17"/>
      <c r="DG116" s="17"/>
      <c r="DH116" s="17"/>
      <c r="DI116" s="17"/>
      <c r="DJ116" s="17"/>
      <c r="DK116" s="17"/>
      <c r="DL116" s="17"/>
      <c r="DM116" s="17"/>
      <c r="DN116" s="17"/>
      <c r="DO116" s="17"/>
      <c r="DP116" s="17"/>
      <c r="DQ116" s="17"/>
      <c r="DR116" s="17"/>
      <c r="DS116" s="17"/>
      <c r="DT116" s="17"/>
      <c r="DU116" s="17"/>
      <c r="DV116" s="17"/>
      <c r="DW116" s="17"/>
      <c r="DX116" s="17"/>
      <c r="DY116" s="17"/>
      <c r="DZ116" s="17"/>
      <c r="EA116" s="17"/>
      <c r="EB116" s="17"/>
      <c r="EC116" s="17"/>
      <c r="ED116" s="17"/>
      <c r="EE116" s="17"/>
      <c r="EF116" s="17"/>
      <c r="EG116" s="17"/>
      <c r="EH116" s="17"/>
      <c r="EI116" s="17"/>
      <c r="EJ116" s="17"/>
      <c r="EK116" s="17"/>
      <c r="EL116" s="17"/>
      <c r="EM116" s="17"/>
      <c r="EN116" s="17"/>
      <c r="EO116" s="17"/>
      <c r="EP116" s="17"/>
      <c r="EQ116" s="17"/>
      <c r="ER116" s="17"/>
      <c r="ES116" s="17"/>
      <c r="ET116" s="17"/>
      <c r="EU116" s="17"/>
      <c r="EV116" s="17"/>
      <c r="EW116" s="17"/>
      <c r="EX116" s="17"/>
      <c r="EY116" s="17"/>
      <c r="EZ116" s="17"/>
      <c r="FA116" s="17"/>
      <c r="FB116" s="17"/>
      <c r="FC116" s="17"/>
      <c r="FD116" s="17"/>
      <c r="FE116" s="17"/>
      <c r="FF116" s="17"/>
      <c r="FG116" s="17"/>
      <c r="FH116" s="17"/>
      <c r="FI116" s="17"/>
      <c r="FJ116" s="17"/>
      <c r="FK116" s="17"/>
      <c r="FL116" s="17"/>
      <c r="FM116" s="17"/>
      <c r="FN116" s="17"/>
      <c r="FO116" s="17"/>
      <c r="FP116" s="17"/>
      <c r="FQ116" s="17"/>
      <c r="FR116" s="17"/>
      <c r="FS116" s="17"/>
      <c r="FT116" s="17"/>
      <c r="FU116" s="17"/>
      <c r="FV116" s="17"/>
      <c r="FW116" s="17"/>
      <c r="FX116" s="17"/>
      <c r="FY116" s="17"/>
      <c r="FZ116" s="17"/>
      <c r="GA116" s="17"/>
      <c r="GB116" s="17"/>
      <c r="GC116" s="17"/>
      <c r="GD116" s="17"/>
      <c r="GE116" s="17"/>
      <c r="GF116" s="17"/>
      <c r="GG116" s="17"/>
      <c r="GH116" s="17"/>
      <c r="GI116" s="17"/>
      <c r="GJ116" s="17"/>
      <c r="GK116" s="17"/>
      <c r="GL116" s="17"/>
      <c r="GM116" s="17"/>
      <c r="GN116" s="17"/>
      <c r="GO116" s="17"/>
      <c r="GP116" s="17"/>
      <c r="GQ116" s="17"/>
      <c r="GR116" s="17"/>
      <c r="GS116" s="17"/>
      <c r="GT116" s="17"/>
      <c r="GU116" s="17"/>
      <c r="GV116" s="17"/>
      <c r="GW116" s="17"/>
      <c r="GX116" s="17"/>
      <c r="GY116" s="17"/>
      <c r="GZ116" s="17"/>
      <c r="HA116" s="17"/>
      <c r="HB116" s="17"/>
      <c r="HC116" s="17"/>
      <c r="HD116" s="17"/>
      <c r="HE116" s="17"/>
      <c r="HF116" s="17"/>
      <c r="HG116" s="17"/>
      <c r="HH116" s="17"/>
      <c r="HI116" s="17"/>
      <c r="HJ116" s="17"/>
      <c r="HK116" s="17"/>
      <c r="HL116" s="17"/>
      <c r="HM116" s="17"/>
      <c r="HN116" s="17"/>
      <c r="HO116" s="17"/>
      <c r="HP116" s="17"/>
      <c r="HQ116" s="17"/>
      <c r="HR116" s="17"/>
      <c r="HS116" s="17"/>
      <c r="HT116" s="17"/>
      <c r="HU116" s="17"/>
      <c r="HV116" s="17"/>
      <c r="HW116" s="17"/>
      <c r="HX116" s="17"/>
      <c r="HY116" s="17"/>
      <c r="HZ116" s="17"/>
      <c r="IA116" s="17"/>
      <c r="IB116" s="17"/>
      <c r="IC116" s="17"/>
      <c r="ID116" s="17"/>
      <c r="IE116" s="17"/>
      <c r="IF116" s="17"/>
      <c r="IG116" s="17"/>
    </row>
    <row r="117" spans="1:241" s="34" customFormat="1" ht="16.5" customHeight="1" x14ac:dyDescent="0.25">
      <c r="A117" s="41">
        <v>101</v>
      </c>
      <c r="B117" s="42" t="s">
        <v>135</v>
      </c>
      <c r="C117" s="56" t="s">
        <v>72</v>
      </c>
      <c r="D117" s="65">
        <v>52400230.5</v>
      </c>
      <c r="E117" s="65"/>
      <c r="F117" s="65">
        <f>54290658.75+5039178.08+196041.38</f>
        <v>59525878.210000001</v>
      </c>
      <c r="G117" s="65">
        <v>3548475.02</v>
      </c>
      <c r="H117" s="102"/>
      <c r="I117" s="103"/>
      <c r="J117" s="103">
        <f>D117+F117+G117</f>
        <v>115474583.73</v>
      </c>
      <c r="K117" s="103">
        <v>2080601.73</v>
      </c>
      <c r="L117" s="65">
        <v>351659.83</v>
      </c>
      <c r="M117" s="47">
        <v>-3723218.2</v>
      </c>
      <c r="N117" s="65">
        <v>123055574.5</v>
      </c>
      <c r="O117" s="65">
        <v>1422470.16</v>
      </c>
      <c r="P117" s="98">
        <v>125217068.75</v>
      </c>
      <c r="Q117" s="50">
        <f t="shared" si="43"/>
        <v>9.2094597690851079E-5</v>
      </c>
      <c r="R117" s="98">
        <v>121633104.34</v>
      </c>
      <c r="S117" s="50">
        <f t="shared" ref="S117:S126" si="44">(R117/$R$133)</f>
        <v>4.0543450081411588E-3</v>
      </c>
      <c r="T117" s="51">
        <f t="shared" ref="T117:T126" si="45">((R117-P117)/P117)</f>
        <v>-2.862201172553799E-2</v>
      </c>
      <c r="U117" s="52">
        <f t="shared" ref="U117:U126" si="46">(L117/R117)</f>
        <v>2.8911523051899442E-3</v>
      </c>
      <c r="V117" s="53">
        <f t="shared" ref="V117:V124" si="47">M117/R117</f>
        <v>-3.0610237403729493E-2</v>
      </c>
      <c r="W117" s="54">
        <f t="shared" ref="W117:W126" si="48">R117/AE117</f>
        <v>1.1819613934407618</v>
      </c>
      <c r="X117" s="54">
        <f t="shared" ref="X117:X124" si="49">M117/AE117</f>
        <v>-3.6180118855264641E-2</v>
      </c>
      <c r="Y117" s="65">
        <v>1.1756</v>
      </c>
      <c r="Z117" s="65">
        <v>1.1866000000000001</v>
      </c>
      <c r="AA117" s="64">
        <v>172</v>
      </c>
      <c r="AB117" s="64">
        <v>102606444.64</v>
      </c>
      <c r="AC117" s="65">
        <v>102606444.64</v>
      </c>
      <c r="AD117" s="65">
        <v>78405.14</v>
      </c>
      <c r="AE117" s="45">
        <v>102907848.78</v>
      </c>
      <c r="AF117" s="3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  <c r="AS117" s="23"/>
      <c r="AT117" s="23"/>
      <c r="AU117" s="23"/>
      <c r="AV117" s="23"/>
      <c r="AW117" s="23"/>
      <c r="AX117" s="23"/>
      <c r="AY117" s="23"/>
      <c r="AZ117" s="23"/>
      <c r="BA117" s="23"/>
      <c r="BB117" s="23"/>
      <c r="BC117" s="23"/>
      <c r="BD117" s="23"/>
      <c r="BE117" s="23"/>
      <c r="BF117" s="23"/>
      <c r="BG117" s="23"/>
      <c r="BH117" s="23"/>
      <c r="BI117" s="23"/>
      <c r="BJ117" s="23"/>
      <c r="BK117" s="23"/>
      <c r="BL117" s="23"/>
      <c r="BM117" s="23"/>
      <c r="BN117" s="23"/>
      <c r="BO117" s="23"/>
      <c r="BP117" s="23"/>
      <c r="BQ117" s="23"/>
      <c r="BR117" s="23"/>
      <c r="BS117" s="23"/>
      <c r="BT117" s="23"/>
      <c r="BU117" s="23"/>
      <c r="BV117" s="23"/>
      <c r="BW117" s="23"/>
      <c r="BX117" s="23"/>
      <c r="BY117" s="23"/>
      <c r="BZ117" s="23"/>
      <c r="CA117" s="23"/>
      <c r="CB117" s="23"/>
      <c r="CC117" s="23"/>
      <c r="CD117" s="23"/>
      <c r="CE117" s="23"/>
      <c r="CF117" s="23"/>
      <c r="CG117" s="23"/>
      <c r="CH117" s="23"/>
      <c r="CI117" s="23"/>
      <c r="CJ117" s="23"/>
      <c r="CK117" s="23"/>
      <c r="CL117" s="23"/>
      <c r="CM117" s="23"/>
      <c r="CN117" s="23"/>
      <c r="CO117" s="23"/>
      <c r="CP117" s="23"/>
      <c r="CQ117" s="23"/>
      <c r="CR117" s="23"/>
      <c r="CS117" s="23"/>
      <c r="CT117" s="23"/>
      <c r="CU117" s="23"/>
      <c r="CV117" s="23"/>
      <c r="CW117" s="23"/>
      <c r="CX117" s="23"/>
      <c r="CY117" s="23"/>
      <c r="CZ117" s="23"/>
      <c r="DA117" s="23"/>
      <c r="DB117" s="23"/>
      <c r="DC117" s="23"/>
      <c r="DD117" s="23"/>
      <c r="DE117" s="23"/>
      <c r="DF117" s="23"/>
      <c r="DG117" s="23"/>
      <c r="DH117" s="23"/>
      <c r="DI117" s="23"/>
      <c r="DJ117" s="23"/>
      <c r="DK117" s="23"/>
      <c r="DL117" s="23"/>
      <c r="DM117" s="23"/>
      <c r="DN117" s="23"/>
      <c r="DO117" s="23"/>
      <c r="DP117" s="23"/>
      <c r="DQ117" s="23"/>
      <c r="DR117" s="23"/>
      <c r="DS117" s="23"/>
      <c r="DT117" s="23"/>
      <c r="DU117" s="23"/>
      <c r="DV117" s="23"/>
      <c r="DW117" s="23"/>
      <c r="DX117" s="23"/>
      <c r="DY117" s="23"/>
      <c r="DZ117" s="23"/>
      <c r="EA117" s="23"/>
      <c r="EB117" s="23"/>
      <c r="EC117" s="23"/>
      <c r="ED117" s="23"/>
      <c r="EE117" s="23"/>
      <c r="EF117" s="23"/>
      <c r="EG117" s="23"/>
      <c r="EH117" s="23"/>
      <c r="EI117" s="23"/>
      <c r="EJ117" s="23"/>
      <c r="EK117" s="23"/>
      <c r="EL117" s="23"/>
      <c r="EM117" s="23"/>
      <c r="EN117" s="23"/>
      <c r="EO117" s="23"/>
      <c r="EP117" s="23"/>
      <c r="EQ117" s="23"/>
      <c r="ER117" s="23"/>
      <c r="ES117" s="23"/>
      <c r="ET117" s="23"/>
      <c r="EU117" s="23"/>
      <c r="EV117" s="23"/>
      <c r="EW117" s="23"/>
      <c r="EX117" s="23"/>
      <c r="EY117" s="23"/>
      <c r="EZ117" s="23"/>
      <c r="FA117" s="23"/>
      <c r="FB117" s="23"/>
      <c r="FC117" s="23"/>
      <c r="FD117" s="23"/>
      <c r="FE117" s="23"/>
      <c r="FF117" s="23"/>
      <c r="FG117" s="23"/>
      <c r="FH117" s="23"/>
      <c r="FI117" s="23"/>
      <c r="FJ117" s="23"/>
      <c r="FK117" s="23"/>
      <c r="FL117" s="23"/>
      <c r="FM117" s="23"/>
      <c r="FN117" s="23"/>
      <c r="FO117" s="23"/>
      <c r="FP117" s="23"/>
      <c r="FQ117" s="23"/>
      <c r="FR117" s="23"/>
      <c r="FS117" s="23"/>
      <c r="FT117" s="23"/>
      <c r="FU117" s="23"/>
      <c r="FV117" s="23"/>
      <c r="FW117" s="23"/>
      <c r="FX117" s="23"/>
      <c r="FY117" s="23"/>
      <c r="FZ117" s="23"/>
      <c r="GA117" s="23"/>
      <c r="GB117" s="23"/>
      <c r="GC117" s="23"/>
      <c r="GD117" s="23"/>
      <c r="GE117" s="23"/>
      <c r="GF117" s="23"/>
      <c r="GG117" s="23"/>
      <c r="GH117" s="23"/>
      <c r="GI117" s="23"/>
      <c r="GJ117" s="23"/>
      <c r="GK117" s="23"/>
      <c r="GL117" s="23"/>
      <c r="GM117" s="23"/>
      <c r="GN117" s="23"/>
      <c r="GO117" s="23"/>
      <c r="GP117" s="23"/>
      <c r="GQ117" s="23"/>
      <c r="GR117" s="23"/>
      <c r="GS117" s="23"/>
      <c r="GT117" s="23"/>
      <c r="GU117" s="23"/>
      <c r="GV117" s="23"/>
      <c r="GW117" s="23"/>
      <c r="GX117" s="23"/>
      <c r="GY117" s="23"/>
      <c r="GZ117" s="23"/>
      <c r="HA117" s="23"/>
      <c r="HB117" s="23"/>
      <c r="HC117" s="23"/>
      <c r="HD117" s="23"/>
      <c r="HE117" s="23"/>
      <c r="HF117" s="23"/>
      <c r="HG117" s="23"/>
      <c r="HH117" s="23"/>
      <c r="HI117" s="23"/>
      <c r="HJ117" s="23"/>
      <c r="HK117" s="23"/>
      <c r="HL117" s="23"/>
      <c r="HM117" s="23"/>
      <c r="HN117" s="23"/>
      <c r="HO117" s="23"/>
      <c r="HP117" s="23"/>
      <c r="HQ117" s="23"/>
      <c r="HR117" s="23"/>
      <c r="HS117" s="23"/>
      <c r="HT117" s="23"/>
      <c r="HU117" s="23"/>
      <c r="HV117" s="23"/>
      <c r="HW117" s="23"/>
      <c r="HX117" s="23"/>
      <c r="HY117" s="23"/>
      <c r="HZ117" s="23"/>
      <c r="IA117" s="23"/>
      <c r="IB117" s="23"/>
      <c r="IC117" s="23"/>
      <c r="ID117" s="23"/>
      <c r="IE117" s="23"/>
      <c r="IF117" s="23"/>
      <c r="IG117" s="23"/>
    </row>
    <row r="118" spans="1:241" s="34" customFormat="1" ht="16.5" customHeight="1" x14ac:dyDescent="0.25">
      <c r="A118" s="41">
        <v>102</v>
      </c>
      <c r="B118" s="42" t="s">
        <v>185</v>
      </c>
      <c r="C118" s="56" t="s">
        <v>156</v>
      </c>
      <c r="D118" s="65">
        <v>94723208.900000006</v>
      </c>
      <c r="E118" s="65"/>
      <c r="F118" s="65"/>
      <c r="G118" s="65">
        <v>75339902.400000006</v>
      </c>
      <c r="H118" s="102"/>
      <c r="I118" s="103">
        <v>779448.69</v>
      </c>
      <c r="J118" s="103">
        <v>170842559.99000001</v>
      </c>
      <c r="K118" s="103">
        <v>2534307.83</v>
      </c>
      <c r="L118" s="65">
        <v>400228.35</v>
      </c>
      <c r="M118" s="47">
        <v>2134079.48</v>
      </c>
      <c r="N118" s="65">
        <v>216501605.36000001</v>
      </c>
      <c r="O118" s="65">
        <f>N118-R118</f>
        <v>5082582.4200000167</v>
      </c>
      <c r="P118" s="98">
        <v>210870132.63999999</v>
      </c>
      <c r="Q118" s="50">
        <f t="shared" si="43"/>
        <v>1.5509067752791651E-4</v>
      </c>
      <c r="R118" s="98">
        <v>211419022.94</v>
      </c>
      <c r="S118" s="50">
        <f t="shared" si="44"/>
        <v>7.0471411951045998E-3</v>
      </c>
      <c r="T118" s="51">
        <f t="shared" si="45"/>
        <v>2.6029779235596348E-3</v>
      </c>
      <c r="U118" s="52">
        <f t="shared" si="46"/>
        <v>1.8930574194999635E-3</v>
      </c>
      <c r="V118" s="53">
        <f t="shared" si="47"/>
        <v>1.0094075028459689E-2</v>
      </c>
      <c r="W118" s="54">
        <f t="shared" si="48"/>
        <v>1.0419311845750807</v>
      </c>
      <c r="X118" s="54">
        <f t="shared" si="49"/>
        <v>1.0517331551592743E-2</v>
      </c>
      <c r="Y118" s="65">
        <v>1.04</v>
      </c>
      <c r="Z118" s="65">
        <v>1.04</v>
      </c>
      <c r="AA118" s="64">
        <v>81</v>
      </c>
      <c r="AB118" s="64">
        <v>202748639.24000001</v>
      </c>
      <c r="AC118" s="64">
        <v>317396.19</v>
      </c>
      <c r="AD118" s="64">
        <v>155299.99</v>
      </c>
      <c r="AE118" s="65">
        <v>202910735.44</v>
      </c>
      <c r="AF118" s="3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  <c r="AQ118" s="23"/>
      <c r="AR118" s="23"/>
      <c r="AS118" s="23"/>
      <c r="AT118" s="23"/>
      <c r="AU118" s="23"/>
      <c r="AV118" s="23"/>
      <c r="AW118" s="23"/>
      <c r="AX118" s="23"/>
      <c r="AY118" s="23"/>
      <c r="AZ118" s="23"/>
      <c r="BA118" s="23"/>
      <c r="BB118" s="23"/>
      <c r="BC118" s="23"/>
      <c r="BD118" s="23"/>
      <c r="BE118" s="23"/>
      <c r="BF118" s="23"/>
      <c r="BG118" s="23"/>
      <c r="BH118" s="23"/>
      <c r="BI118" s="23"/>
      <c r="BJ118" s="23"/>
      <c r="BK118" s="23"/>
      <c r="BL118" s="23"/>
      <c r="BM118" s="23"/>
      <c r="BN118" s="23"/>
      <c r="BO118" s="23"/>
      <c r="BP118" s="23"/>
      <c r="BQ118" s="23"/>
      <c r="BR118" s="23"/>
      <c r="BS118" s="23"/>
      <c r="BT118" s="23"/>
      <c r="BU118" s="23"/>
      <c r="BV118" s="23"/>
      <c r="BW118" s="23"/>
      <c r="BX118" s="23"/>
      <c r="BY118" s="23"/>
      <c r="BZ118" s="23"/>
      <c r="CA118" s="23"/>
      <c r="CB118" s="23"/>
      <c r="CC118" s="23"/>
      <c r="CD118" s="23"/>
      <c r="CE118" s="23"/>
      <c r="CF118" s="23"/>
      <c r="CG118" s="23"/>
      <c r="CH118" s="23"/>
      <c r="CI118" s="23"/>
      <c r="CJ118" s="23"/>
      <c r="CK118" s="23"/>
      <c r="CL118" s="23"/>
      <c r="CM118" s="23"/>
      <c r="CN118" s="23"/>
      <c r="CO118" s="23"/>
      <c r="CP118" s="23"/>
      <c r="CQ118" s="23"/>
      <c r="CR118" s="23"/>
      <c r="CS118" s="23"/>
      <c r="CT118" s="23"/>
      <c r="CU118" s="23"/>
      <c r="CV118" s="23"/>
      <c r="CW118" s="23"/>
      <c r="CX118" s="23"/>
      <c r="CY118" s="23"/>
      <c r="CZ118" s="23"/>
      <c r="DA118" s="23"/>
      <c r="DB118" s="23"/>
      <c r="DC118" s="23"/>
      <c r="DD118" s="23"/>
      <c r="DE118" s="23"/>
      <c r="DF118" s="23"/>
      <c r="DG118" s="23"/>
      <c r="DH118" s="23"/>
      <c r="DI118" s="23"/>
      <c r="DJ118" s="23"/>
      <c r="DK118" s="23"/>
      <c r="DL118" s="23"/>
      <c r="DM118" s="23"/>
      <c r="DN118" s="23"/>
      <c r="DO118" s="23"/>
      <c r="DP118" s="23"/>
      <c r="DQ118" s="23"/>
      <c r="DR118" s="23"/>
      <c r="DS118" s="23"/>
      <c r="DT118" s="23"/>
      <c r="DU118" s="23"/>
      <c r="DV118" s="23"/>
      <c r="DW118" s="23"/>
      <c r="DX118" s="23"/>
      <c r="DY118" s="23"/>
      <c r="DZ118" s="23"/>
      <c r="EA118" s="23"/>
      <c r="EB118" s="23"/>
      <c r="EC118" s="23"/>
      <c r="ED118" s="23"/>
      <c r="EE118" s="23"/>
      <c r="EF118" s="23"/>
      <c r="EG118" s="23"/>
      <c r="EH118" s="23"/>
      <c r="EI118" s="23"/>
      <c r="EJ118" s="23"/>
      <c r="EK118" s="23"/>
      <c r="EL118" s="23"/>
      <c r="EM118" s="23"/>
      <c r="EN118" s="23"/>
      <c r="EO118" s="23"/>
      <c r="EP118" s="23"/>
      <c r="EQ118" s="23"/>
      <c r="ER118" s="23"/>
      <c r="ES118" s="23"/>
      <c r="ET118" s="23"/>
      <c r="EU118" s="23"/>
      <c r="EV118" s="23"/>
      <c r="EW118" s="23"/>
      <c r="EX118" s="23"/>
      <c r="EY118" s="23"/>
      <c r="EZ118" s="23"/>
      <c r="FA118" s="23"/>
      <c r="FB118" s="23"/>
      <c r="FC118" s="23"/>
      <c r="FD118" s="23"/>
      <c r="FE118" s="23"/>
      <c r="FF118" s="23"/>
      <c r="FG118" s="23"/>
      <c r="FH118" s="23"/>
      <c r="FI118" s="23"/>
      <c r="FJ118" s="23"/>
      <c r="FK118" s="23"/>
      <c r="FL118" s="23"/>
      <c r="FM118" s="23"/>
      <c r="FN118" s="23"/>
      <c r="FO118" s="23"/>
      <c r="FP118" s="23"/>
      <c r="FQ118" s="23"/>
      <c r="FR118" s="23"/>
      <c r="FS118" s="23"/>
      <c r="FT118" s="23"/>
      <c r="FU118" s="23"/>
      <c r="FV118" s="23"/>
      <c r="FW118" s="23"/>
      <c r="FX118" s="23"/>
      <c r="FY118" s="23"/>
      <c r="FZ118" s="23"/>
      <c r="GA118" s="23"/>
      <c r="GB118" s="23"/>
      <c r="GC118" s="23"/>
      <c r="GD118" s="23"/>
      <c r="GE118" s="23"/>
      <c r="GF118" s="23"/>
      <c r="GG118" s="23"/>
      <c r="GH118" s="23"/>
      <c r="GI118" s="23"/>
      <c r="GJ118" s="23"/>
      <c r="GK118" s="23"/>
      <c r="GL118" s="23"/>
      <c r="GM118" s="23"/>
      <c r="GN118" s="23"/>
      <c r="GO118" s="23"/>
      <c r="GP118" s="23"/>
      <c r="GQ118" s="23"/>
      <c r="GR118" s="23"/>
      <c r="GS118" s="23"/>
      <c r="GT118" s="23"/>
      <c r="GU118" s="23"/>
      <c r="GV118" s="23"/>
      <c r="GW118" s="23"/>
      <c r="GX118" s="23"/>
      <c r="GY118" s="23"/>
      <c r="GZ118" s="23"/>
      <c r="HA118" s="23"/>
      <c r="HB118" s="23"/>
      <c r="HC118" s="23"/>
      <c r="HD118" s="23"/>
      <c r="HE118" s="23"/>
      <c r="HF118" s="23"/>
      <c r="HG118" s="23"/>
      <c r="HH118" s="23"/>
      <c r="HI118" s="23"/>
      <c r="HJ118" s="23"/>
      <c r="HK118" s="23"/>
      <c r="HL118" s="23"/>
      <c r="HM118" s="23"/>
      <c r="HN118" s="23"/>
      <c r="HO118" s="23"/>
      <c r="HP118" s="23"/>
      <c r="HQ118" s="23"/>
      <c r="HR118" s="23"/>
      <c r="HS118" s="23"/>
      <c r="HT118" s="23"/>
      <c r="HU118" s="23"/>
      <c r="HV118" s="23"/>
      <c r="HW118" s="23"/>
      <c r="HX118" s="23"/>
      <c r="HY118" s="23"/>
      <c r="HZ118" s="23"/>
      <c r="IA118" s="23"/>
      <c r="IB118" s="23"/>
      <c r="IC118" s="23"/>
      <c r="ID118" s="23"/>
      <c r="IE118" s="23"/>
      <c r="IF118" s="23"/>
      <c r="IG118" s="23"/>
    </row>
    <row r="119" spans="1:241" s="34" customFormat="1" ht="16.5" customHeight="1" x14ac:dyDescent="0.25">
      <c r="A119" s="41">
        <v>103</v>
      </c>
      <c r="B119" s="56" t="s">
        <v>132</v>
      </c>
      <c r="C119" s="56" t="s">
        <v>55</v>
      </c>
      <c r="D119" s="65">
        <v>1835378473.6900001</v>
      </c>
      <c r="E119" s="65"/>
      <c r="F119" s="65">
        <v>1140033070.04</v>
      </c>
      <c r="G119" s="65">
        <v>1788239805.5899999</v>
      </c>
      <c r="H119" s="96"/>
      <c r="I119" s="97"/>
      <c r="J119" s="103">
        <v>4728499523.6899996</v>
      </c>
      <c r="K119" s="103">
        <v>33499062.82</v>
      </c>
      <c r="L119" s="65">
        <v>8154286.3399999999</v>
      </c>
      <c r="M119" s="47">
        <v>-21624590.329999998</v>
      </c>
      <c r="N119" s="65">
        <v>4752820556.4799995</v>
      </c>
      <c r="O119" s="65">
        <v>24321032.789999999</v>
      </c>
      <c r="P119" s="98">
        <v>4750562483.1099997</v>
      </c>
      <c r="Q119" s="50">
        <f t="shared" si="43"/>
        <v>3.4939417210025207E-3</v>
      </c>
      <c r="R119" s="98">
        <v>4728499523.6899996</v>
      </c>
      <c r="S119" s="50">
        <f t="shared" si="44"/>
        <v>0.15761308193106663</v>
      </c>
      <c r="T119" s="51">
        <f t="shared" si="45"/>
        <v>-4.6442835976670191E-3</v>
      </c>
      <c r="U119" s="52">
        <f t="shared" si="46"/>
        <v>1.724497654942472E-3</v>
      </c>
      <c r="V119" s="53">
        <f t="shared" si="47"/>
        <v>-4.5732457456450631E-3</v>
      </c>
      <c r="W119" s="54">
        <f t="shared" si="48"/>
        <v>192.76341508015247</v>
      </c>
      <c r="X119" s="54">
        <f t="shared" si="49"/>
        <v>-0.88155446793132075</v>
      </c>
      <c r="Y119" s="65">
        <v>192.76</v>
      </c>
      <c r="Z119" s="65">
        <v>194</v>
      </c>
      <c r="AA119" s="64">
        <v>5461</v>
      </c>
      <c r="AB119" s="64">
        <v>24560736.23</v>
      </c>
      <c r="AC119" s="64">
        <v>20868.75</v>
      </c>
      <c r="AD119" s="64">
        <v>51537.79</v>
      </c>
      <c r="AE119" s="65">
        <v>24530067.190000001</v>
      </c>
      <c r="AF119" s="3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  <c r="AS119" s="23"/>
      <c r="AT119" s="23"/>
      <c r="AU119" s="23"/>
      <c r="AV119" s="23"/>
      <c r="AW119" s="23"/>
      <c r="AX119" s="23"/>
      <c r="AY119" s="23"/>
      <c r="AZ119" s="23"/>
      <c r="BA119" s="23"/>
      <c r="BB119" s="23"/>
      <c r="BC119" s="23"/>
      <c r="BD119" s="23"/>
      <c r="BE119" s="23"/>
      <c r="BF119" s="23"/>
      <c r="BG119" s="23"/>
      <c r="BH119" s="23"/>
      <c r="BI119" s="23"/>
      <c r="BJ119" s="23"/>
      <c r="BK119" s="23"/>
      <c r="BL119" s="23"/>
      <c r="BM119" s="23"/>
      <c r="BN119" s="23"/>
      <c r="BO119" s="23"/>
      <c r="BP119" s="23"/>
      <c r="BQ119" s="23"/>
      <c r="BR119" s="23"/>
      <c r="BS119" s="23"/>
      <c r="BT119" s="23"/>
      <c r="BU119" s="23"/>
      <c r="BV119" s="23"/>
      <c r="BW119" s="23"/>
      <c r="BX119" s="23"/>
      <c r="BY119" s="23"/>
      <c r="BZ119" s="23"/>
      <c r="CA119" s="23"/>
      <c r="CB119" s="23"/>
      <c r="CC119" s="23"/>
      <c r="CD119" s="23"/>
      <c r="CE119" s="23"/>
      <c r="CF119" s="23"/>
      <c r="CG119" s="23"/>
      <c r="CH119" s="23"/>
      <c r="CI119" s="23"/>
      <c r="CJ119" s="23"/>
      <c r="CK119" s="23"/>
      <c r="CL119" s="23"/>
      <c r="CM119" s="23"/>
      <c r="CN119" s="23"/>
      <c r="CO119" s="23"/>
      <c r="CP119" s="23"/>
      <c r="CQ119" s="23"/>
      <c r="CR119" s="23"/>
      <c r="CS119" s="23"/>
      <c r="CT119" s="23"/>
      <c r="CU119" s="23"/>
      <c r="CV119" s="23"/>
      <c r="CW119" s="23"/>
      <c r="CX119" s="23"/>
      <c r="CY119" s="23"/>
      <c r="CZ119" s="23"/>
      <c r="DA119" s="23"/>
      <c r="DB119" s="23"/>
      <c r="DC119" s="23"/>
      <c r="DD119" s="23"/>
      <c r="DE119" s="23"/>
      <c r="DF119" s="23"/>
      <c r="DG119" s="23"/>
      <c r="DH119" s="23"/>
      <c r="DI119" s="23"/>
      <c r="DJ119" s="23"/>
      <c r="DK119" s="23"/>
      <c r="DL119" s="23"/>
      <c r="DM119" s="23"/>
      <c r="DN119" s="23"/>
      <c r="DO119" s="23"/>
      <c r="DP119" s="23"/>
      <c r="DQ119" s="23"/>
      <c r="DR119" s="23"/>
      <c r="DS119" s="23"/>
      <c r="DT119" s="23"/>
      <c r="DU119" s="23"/>
      <c r="DV119" s="23"/>
      <c r="DW119" s="23"/>
      <c r="DX119" s="23"/>
      <c r="DY119" s="23"/>
      <c r="DZ119" s="23"/>
      <c r="EA119" s="23"/>
      <c r="EB119" s="23"/>
      <c r="EC119" s="23"/>
      <c r="ED119" s="23"/>
      <c r="EE119" s="23"/>
      <c r="EF119" s="23"/>
      <c r="EG119" s="23"/>
      <c r="EH119" s="23"/>
      <c r="EI119" s="23"/>
      <c r="EJ119" s="23"/>
      <c r="EK119" s="23"/>
      <c r="EL119" s="23"/>
      <c r="EM119" s="23"/>
      <c r="EN119" s="23"/>
      <c r="EO119" s="23"/>
      <c r="EP119" s="23"/>
      <c r="EQ119" s="23"/>
      <c r="ER119" s="23"/>
      <c r="ES119" s="23"/>
      <c r="ET119" s="23"/>
      <c r="EU119" s="23"/>
      <c r="EV119" s="23"/>
      <c r="EW119" s="23"/>
      <c r="EX119" s="23"/>
      <c r="EY119" s="23"/>
      <c r="EZ119" s="23"/>
      <c r="FA119" s="23"/>
      <c r="FB119" s="23"/>
      <c r="FC119" s="23"/>
      <c r="FD119" s="23"/>
      <c r="FE119" s="23"/>
      <c r="FF119" s="23"/>
      <c r="FG119" s="23"/>
      <c r="FH119" s="23"/>
      <c r="FI119" s="23"/>
      <c r="FJ119" s="23"/>
      <c r="FK119" s="23"/>
      <c r="FL119" s="23"/>
      <c r="FM119" s="23"/>
      <c r="FN119" s="23"/>
      <c r="FO119" s="23"/>
      <c r="FP119" s="23"/>
      <c r="FQ119" s="23"/>
      <c r="FR119" s="23"/>
      <c r="FS119" s="23"/>
      <c r="FT119" s="23"/>
      <c r="FU119" s="23"/>
      <c r="FV119" s="23"/>
      <c r="FW119" s="23"/>
      <c r="FX119" s="23"/>
      <c r="FY119" s="23"/>
      <c r="FZ119" s="23"/>
      <c r="GA119" s="23"/>
      <c r="GB119" s="23"/>
      <c r="GC119" s="23"/>
      <c r="GD119" s="23"/>
      <c r="GE119" s="23"/>
      <c r="GF119" s="23"/>
      <c r="GG119" s="23"/>
      <c r="GH119" s="23"/>
      <c r="GI119" s="23"/>
      <c r="GJ119" s="23"/>
      <c r="GK119" s="23"/>
      <c r="GL119" s="23"/>
      <c r="GM119" s="23"/>
      <c r="GN119" s="23"/>
      <c r="GO119" s="23"/>
      <c r="GP119" s="23"/>
      <c r="GQ119" s="23"/>
      <c r="GR119" s="23"/>
      <c r="GS119" s="23"/>
      <c r="GT119" s="23"/>
      <c r="GU119" s="23"/>
      <c r="GV119" s="23"/>
      <c r="GW119" s="23"/>
      <c r="GX119" s="23"/>
      <c r="GY119" s="23"/>
      <c r="GZ119" s="23"/>
      <c r="HA119" s="23"/>
      <c r="HB119" s="23"/>
      <c r="HC119" s="23"/>
      <c r="HD119" s="23"/>
      <c r="HE119" s="23"/>
      <c r="HF119" s="23"/>
      <c r="HG119" s="23"/>
      <c r="HH119" s="23"/>
      <c r="HI119" s="23"/>
      <c r="HJ119" s="23"/>
      <c r="HK119" s="23"/>
      <c r="HL119" s="23"/>
      <c r="HM119" s="23"/>
      <c r="HN119" s="23"/>
      <c r="HO119" s="23"/>
      <c r="HP119" s="23"/>
      <c r="HQ119" s="23"/>
      <c r="HR119" s="23"/>
      <c r="HS119" s="23"/>
      <c r="HT119" s="23"/>
      <c r="HU119" s="23"/>
      <c r="HV119" s="23"/>
      <c r="HW119" s="23"/>
      <c r="HX119" s="23"/>
      <c r="HY119" s="23"/>
      <c r="HZ119" s="23"/>
      <c r="IA119" s="23"/>
      <c r="IB119" s="23"/>
      <c r="IC119" s="23"/>
      <c r="ID119" s="23"/>
      <c r="IE119" s="23"/>
      <c r="IF119" s="23"/>
      <c r="IG119" s="23"/>
    </row>
    <row r="120" spans="1:241" s="34" customFormat="1" ht="16.5" customHeight="1" x14ac:dyDescent="0.25">
      <c r="A120" s="41">
        <v>104</v>
      </c>
      <c r="B120" s="134" t="s">
        <v>173</v>
      </c>
      <c r="C120" s="42" t="s">
        <v>78</v>
      </c>
      <c r="D120" s="65">
        <v>912202963.00999999</v>
      </c>
      <c r="E120" s="65"/>
      <c r="F120" s="65">
        <v>89758615.219999999</v>
      </c>
      <c r="G120" s="65">
        <v>721688852.45000005</v>
      </c>
      <c r="H120" s="102"/>
      <c r="I120" s="103"/>
      <c r="J120" s="103">
        <v>1957755001.3599999</v>
      </c>
      <c r="K120" s="103">
        <v>11912105.6</v>
      </c>
      <c r="L120" s="65">
        <v>6361937.9900000002</v>
      </c>
      <c r="M120" s="47">
        <v>5550167.6100000003</v>
      </c>
      <c r="N120" s="65">
        <v>1980534090.5799999</v>
      </c>
      <c r="O120" s="65">
        <v>77530369.109999999</v>
      </c>
      <c r="P120" s="98">
        <v>1873646051.3299999</v>
      </c>
      <c r="Q120" s="50">
        <f t="shared" si="43"/>
        <v>1.3780284192468613E-3</v>
      </c>
      <c r="R120" s="98">
        <v>1903003721.48</v>
      </c>
      <c r="S120" s="50">
        <f t="shared" si="44"/>
        <v>6.3432021081116202E-2</v>
      </c>
      <c r="T120" s="51">
        <f t="shared" si="45"/>
        <v>1.5668738569464959E-2</v>
      </c>
      <c r="U120" s="52">
        <f t="shared" si="46"/>
        <v>3.3431032836090343E-3</v>
      </c>
      <c r="V120" s="53">
        <f t="shared" si="47"/>
        <v>2.9165300873313775E-3</v>
      </c>
      <c r="W120" s="54">
        <f t="shared" si="48"/>
        <v>1.3233775733047086</v>
      </c>
      <c r="X120" s="54">
        <f t="shared" si="49"/>
        <v>3.8596705094427679E-3</v>
      </c>
      <c r="Y120" s="65">
        <v>1.3133999999999999</v>
      </c>
      <c r="Z120" s="65">
        <v>1.3333999999999999</v>
      </c>
      <c r="AA120" s="64">
        <v>10342</v>
      </c>
      <c r="AB120" s="64">
        <v>1444722329.9200001</v>
      </c>
      <c r="AC120" s="65">
        <v>1067553.1399999999</v>
      </c>
      <c r="AD120" s="65">
        <v>7799879.4000000004</v>
      </c>
      <c r="AE120" s="45">
        <v>1437990003.6600001</v>
      </c>
      <c r="AF120" s="33"/>
      <c r="AG120" s="23"/>
      <c r="AH120" s="23"/>
      <c r="AI120" s="23"/>
      <c r="AJ120" s="23"/>
      <c r="AK120" s="23"/>
      <c r="AL120" s="23"/>
      <c r="AM120" s="23"/>
      <c r="AN120" s="23"/>
      <c r="AO120" s="23"/>
      <c r="AP120" s="23"/>
      <c r="AQ120" s="23"/>
      <c r="AR120" s="23"/>
      <c r="AS120" s="23"/>
      <c r="AT120" s="23"/>
      <c r="AU120" s="23"/>
      <c r="AV120" s="23"/>
      <c r="AW120" s="23"/>
      <c r="AX120" s="23"/>
      <c r="AY120" s="23"/>
      <c r="AZ120" s="23"/>
      <c r="BA120" s="23"/>
      <c r="BB120" s="23"/>
      <c r="BC120" s="23"/>
      <c r="BD120" s="23"/>
      <c r="BE120" s="23"/>
      <c r="BF120" s="23"/>
      <c r="BG120" s="23"/>
      <c r="BH120" s="23"/>
      <c r="BI120" s="23"/>
      <c r="BJ120" s="23"/>
      <c r="BK120" s="23"/>
      <c r="BL120" s="23"/>
      <c r="BM120" s="23"/>
      <c r="BN120" s="23"/>
      <c r="BO120" s="23"/>
      <c r="BP120" s="23"/>
      <c r="BQ120" s="23"/>
      <c r="BR120" s="23"/>
      <c r="BS120" s="23"/>
      <c r="BT120" s="23"/>
      <c r="BU120" s="23"/>
      <c r="BV120" s="23"/>
      <c r="BW120" s="23"/>
      <c r="BX120" s="23"/>
      <c r="BY120" s="23"/>
      <c r="BZ120" s="23"/>
      <c r="CA120" s="23"/>
      <c r="CB120" s="23"/>
      <c r="CC120" s="23"/>
      <c r="CD120" s="23"/>
      <c r="CE120" s="23"/>
      <c r="CF120" s="23"/>
      <c r="CG120" s="23"/>
      <c r="CH120" s="23"/>
      <c r="CI120" s="23"/>
      <c r="CJ120" s="23"/>
      <c r="CK120" s="23"/>
      <c r="CL120" s="23"/>
      <c r="CM120" s="23"/>
      <c r="CN120" s="23"/>
      <c r="CO120" s="23"/>
      <c r="CP120" s="23"/>
      <c r="CQ120" s="23"/>
      <c r="CR120" s="23"/>
      <c r="CS120" s="23"/>
      <c r="CT120" s="23"/>
      <c r="CU120" s="23"/>
      <c r="CV120" s="23"/>
      <c r="CW120" s="23"/>
      <c r="CX120" s="23"/>
      <c r="CY120" s="23"/>
      <c r="CZ120" s="23"/>
      <c r="DA120" s="23"/>
      <c r="DB120" s="23"/>
      <c r="DC120" s="23"/>
      <c r="DD120" s="23"/>
      <c r="DE120" s="23"/>
      <c r="DF120" s="23"/>
      <c r="DG120" s="23"/>
      <c r="DH120" s="23"/>
      <c r="DI120" s="23"/>
      <c r="DJ120" s="23"/>
      <c r="DK120" s="23"/>
      <c r="DL120" s="23"/>
      <c r="DM120" s="23"/>
      <c r="DN120" s="23"/>
      <c r="DO120" s="23"/>
      <c r="DP120" s="23"/>
      <c r="DQ120" s="23"/>
      <c r="DR120" s="23"/>
      <c r="DS120" s="23"/>
      <c r="DT120" s="23"/>
      <c r="DU120" s="23"/>
      <c r="DV120" s="23"/>
      <c r="DW120" s="23"/>
      <c r="DX120" s="23"/>
      <c r="DY120" s="23"/>
      <c r="DZ120" s="23"/>
      <c r="EA120" s="23"/>
      <c r="EB120" s="23"/>
      <c r="EC120" s="23"/>
      <c r="ED120" s="23"/>
      <c r="EE120" s="23"/>
      <c r="EF120" s="23"/>
      <c r="EG120" s="23"/>
      <c r="EH120" s="23"/>
      <c r="EI120" s="23"/>
      <c r="EJ120" s="23"/>
      <c r="EK120" s="23"/>
      <c r="EL120" s="23"/>
      <c r="EM120" s="23"/>
      <c r="EN120" s="23"/>
      <c r="EO120" s="23"/>
      <c r="EP120" s="23"/>
      <c r="EQ120" s="23"/>
      <c r="ER120" s="23"/>
      <c r="ES120" s="23"/>
      <c r="ET120" s="23"/>
      <c r="EU120" s="23"/>
      <c r="EV120" s="23"/>
      <c r="EW120" s="23"/>
      <c r="EX120" s="23"/>
      <c r="EY120" s="23"/>
      <c r="EZ120" s="23"/>
      <c r="FA120" s="23"/>
      <c r="FB120" s="23"/>
      <c r="FC120" s="23"/>
      <c r="FD120" s="23"/>
      <c r="FE120" s="23"/>
      <c r="FF120" s="23"/>
      <c r="FG120" s="23"/>
      <c r="FH120" s="23"/>
      <c r="FI120" s="23"/>
      <c r="FJ120" s="23"/>
      <c r="FK120" s="23"/>
      <c r="FL120" s="23"/>
      <c r="FM120" s="23"/>
      <c r="FN120" s="23"/>
      <c r="FO120" s="23"/>
      <c r="FP120" s="23"/>
      <c r="FQ120" s="23"/>
      <c r="FR120" s="23"/>
      <c r="FS120" s="23"/>
      <c r="FT120" s="23"/>
      <c r="FU120" s="23"/>
      <c r="FV120" s="23"/>
      <c r="FW120" s="23"/>
      <c r="FX120" s="23"/>
      <c r="FY120" s="23"/>
      <c r="FZ120" s="23"/>
      <c r="GA120" s="23"/>
      <c r="GB120" s="23"/>
      <c r="GC120" s="23"/>
      <c r="GD120" s="23"/>
      <c r="GE120" s="23"/>
      <c r="GF120" s="23"/>
      <c r="GG120" s="23"/>
      <c r="GH120" s="23"/>
      <c r="GI120" s="23"/>
      <c r="GJ120" s="23"/>
      <c r="GK120" s="23"/>
      <c r="GL120" s="23"/>
      <c r="GM120" s="23"/>
      <c r="GN120" s="23"/>
      <c r="GO120" s="23"/>
      <c r="GP120" s="23"/>
      <c r="GQ120" s="23"/>
      <c r="GR120" s="23"/>
      <c r="GS120" s="23"/>
      <c r="GT120" s="23"/>
      <c r="GU120" s="23"/>
      <c r="GV120" s="23"/>
      <c r="GW120" s="23"/>
      <c r="GX120" s="23"/>
      <c r="GY120" s="23"/>
      <c r="GZ120" s="23"/>
      <c r="HA120" s="23"/>
      <c r="HB120" s="23"/>
      <c r="HC120" s="23"/>
      <c r="HD120" s="23"/>
      <c r="HE120" s="23"/>
      <c r="HF120" s="23"/>
      <c r="HG120" s="23"/>
      <c r="HH120" s="23"/>
      <c r="HI120" s="23"/>
      <c r="HJ120" s="23"/>
      <c r="HK120" s="23"/>
      <c r="HL120" s="23"/>
      <c r="HM120" s="23"/>
      <c r="HN120" s="23"/>
      <c r="HO120" s="23"/>
      <c r="HP120" s="23"/>
      <c r="HQ120" s="23"/>
      <c r="HR120" s="23"/>
      <c r="HS120" s="23"/>
      <c r="HT120" s="23"/>
      <c r="HU120" s="23"/>
      <c r="HV120" s="23"/>
      <c r="HW120" s="23"/>
      <c r="HX120" s="23"/>
      <c r="HY120" s="23"/>
      <c r="HZ120" s="23"/>
      <c r="IA120" s="23"/>
      <c r="IB120" s="23"/>
      <c r="IC120" s="23"/>
      <c r="ID120" s="23"/>
      <c r="IE120" s="23"/>
      <c r="IF120" s="23"/>
      <c r="IG120" s="23"/>
    </row>
    <row r="121" spans="1:241" s="34" customFormat="1" ht="16.5" customHeight="1" x14ac:dyDescent="0.25">
      <c r="A121" s="41">
        <v>105</v>
      </c>
      <c r="B121" s="42" t="s">
        <v>209</v>
      </c>
      <c r="C121" s="56" t="s">
        <v>63</v>
      </c>
      <c r="D121" s="65">
        <v>50645862.030000001</v>
      </c>
      <c r="E121" s="65"/>
      <c r="F121" s="65"/>
      <c r="G121" s="65"/>
      <c r="H121" s="102"/>
      <c r="I121" s="103"/>
      <c r="J121" s="65">
        <v>50645862.030000001</v>
      </c>
      <c r="K121" s="103">
        <v>1932150.92</v>
      </c>
      <c r="L121" s="65">
        <v>330232.37</v>
      </c>
      <c r="M121" s="47">
        <v>1601918.55</v>
      </c>
      <c r="N121" s="65">
        <v>230035269.16</v>
      </c>
      <c r="O121" s="65">
        <v>2578652.5</v>
      </c>
      <c r="P121" s="98">
        <v>225692686.06</v>
      </c>
      <c r="Q121" s="50">
        <f t="shared" si="43"/>
        <v>1.6599236295781163E-4</v>
      </c>
      <c r="R121" s="98">
        <v>225870172.63999999</v>
      </c>
      <c r="S121" s="50">
        <f t="shared" si="44"/>
        <v>7.5288352780272854E-3</v>
      </c>
      <c r="T121" s="51">
        <f t="shared" si="45"/>
        <v>7.864082044413208E-4</v>
      </c>
      <c r="U121" s="52">
        <f t="shared" si="46"/>
        <v>1.4620450595145037E-3</v>
      </c>
      <c r="V121" s="53">
        <f t="shared" si="47"/>
        <v>7.0922093487447565E-3</v>
      </c>
      <c r="W121" s="54">
        <f t="shared" si="48"/>
        <v>148.02966269159887</v>
      </c>
      <c r="X121" s="54">
        <f t="shared" si="49"/>
        <v>1.0498573576328905</v>
      </c>
      <c r="Y121" s="65">
        <v>147.55000000000001</v>
      </c>
      <c r="Z121" s="65">
        <v>150.27000000000001</v>
      </c>
      <c r="AA121" s="64">
        <v>39</v>
      </c>
      <c r="AB121" s="64">
        <v>1525844</v>
      </c>
      <c r="AC121" s="64">
        <v>0</v>
      </c>
      <c r="AD121" s="64">
        <v>0</v>
      </c>
      <c r="AE121" s="64">
        <v>1525844</v>
      </c>
      <c r="AF121" s="33"/>
      <c r="AG121" s="23"/>
      <c r="AH121" s="23"/>
      <c r="AI121" s="23"/>
      <c r="AJ121" s="23"/>
      <c r="AK121" s="23"/>
      <c r="AL121" s="23"/>
      <c r="AM121" s="23"/>
      <c r="AN121" s="23"/>
      <c r="AO121" s="23"/>
      <c r="AP121" s="23"/>
      <c r="AQ121" s="23"/>
      <c r="AR121" s="23"/>
      <c r="AS121" s="23"/>
      <c r="AT121" s="23"/>
      <c r="AU121" s="23"/>
      <c r="AV121" s="23"/>
      <c r="AW121" s="23"/>
      <c r="AX121" s="23"/>
      <c r="AY121" s="23"/>
      <c r="AZ121" s="23"/>
      <c r="BA121" s="23"/>
      <c r="BB121" s="23"/>
      <c r="BC121" s="23"/>
      <c r="BD121" s="23"/>
      <c r="BE121" s="23"/>
      <c r="BF121" s="23"/>
      <c r="BG121" s="23"/>
      <c r="BH121" s="23"/>
      <c r="BI121" s="23"/>
      <c r="BJ121" s="23"/>
      <c r="BK121" s="23"/>
      <c r="BL121" s="23"/>
      <c r="BM121" s="23"/>
      <c r="BN121" s="23"/>
      <c r="BO121" s="23"/>
      <c r="BP121" s="23"/>
      <c r="BQ121" s="23"/>
      <c r="BR121" s="23"/>
      <c r="BS121" s="23"/>
      <c r="BT121" s="23"/>
      <c r="BU121" s="23"/>
      <c r="BV121" s="23"/>
      <c r="BW121" s="23"/>
      <c r="BX121" s="23"/>
      <c r="BY121" s="23"/>
      <c r="BZ121" s="23"/>
      <c r="CA121" s="23"/>
      <c r="CB121" s="23"/>
      <c r="CC121" s="23"/>
      <c r="CD121" s="23"/>
      <c r="CE121" s="23"/>
      <c r="CF121" s="23"/>
      <c r="CG121" s="23"/>
      <c r="CH121" s="23"/>
      <c r="CI121" s="23"/>
      <c r="CJ121" s="23"/>
      <c r="CK121" s="23"/>
      <c r="CL121" s="23"/>
      <c r="CM121" s="23"/>
      <c r="CN121" s="23"/>
      <c r="CO121" s="23"/>
      <c r="CP121" s="23"/>
      <c r="CQ121" s="23"/>
      <c r="CR121" s="23"/>
      <c r="CS121" s="23"/>
      <c r="CT121" s="23"/>
      <c r="CU121" s="23"/>
      <c r="CV121" s="23"/>
      <c r="CW121" s="23"/>
      <c r="CX121" s="23"/>
      <c r="CY121" s="23"/>
      <c r="CZ121" s="23"/>
      <c r="DA121" s="23"/>
      <c r="DB121" s="23"/>
      <c r="DC121" s="23"/>
      <c r="DD121" s="23"/>
      <c r="DE121" s="23"/>
      <c r="DF121" s="23"/>
      <c r="DG121" s="23"/>
      <c r="DH121" s="23"/>
      <c r="DI121" s="23"/>
      <c r="DJ121" s="23"/>
      <c r="DK121" s="23"/>
      <c r="DL121" s="23"/>
      <c r="DM121" s="23"/>
      <c r="DN121" s="23"/>
      <c r="DO121" s="23"/>
      <c r="DP121" s="23"/>
      <c r="DQ121" s="23"/>
      <c r="DR121" s="23"/>
      <c r="DS121" s="23"/>
      <c r="DT121" s="23"/>
      <c r="DU121" s="23"/>
      <c r="DV121" s="23"/>
      <c r="DW121" s="23"/>
      <c r="DX121" s="23"/>
      <c r="DY121" s="23"/>
      <c r="DZ121" s="23"/>
      <c r="EA121" s="23"/>
      <c r="EB121" s="23"/>
      <c r="EC121" s="23"/>
      <c r="ED121" s="23"/>
      <c r="EE121" s="23"/>
      <c r="EF121" s="23"/>
      <c r="EG121" s="23"/>
      <c r="EH121" s="23"/>
      <c r="EI121" s="23"/>
      <c r="EJ121" s="23"/>
      <c r="EK121" s="23"/>
      <c r="EL121" s="23"/>
      <c r="EM121" s="23"/>
      <c r="EN121" s="23"/>
      <c r="EO121" s="23"/>
      <c r="EP121" s="23"/>
      <c r="EQ121" s="23"/>
      <c r="ER121" s="23"/>
      <c r="ES121" s="23"/>
      <c r="ET121" s="23"/>
      <c r="EU121" s="23"/>
      <c r="EV121" s="23"/>
      <c r="EW121" s="23"/>
      <c r="EX121" s="23"/>
      <c r="EY121" s="23"/>
      <c r="EZ121" s="23"/>
      <c r="FA121" s="23"/>
      <c r="FB121" s="23"/>
      <c r="FC121" s="23"/>
      <c r="FD121" s="23"/>
      <c r="FE121" s="23"/>
      <c r="FF121" s="23"/>
      <c r="FG121" s="23"/>
      <c r="FH121" s="23"/>
      <c r="FI121" s="23"/>
      <c r="FJ121" s="23"/>
      <c r="FK121" s="23"/>
      <c r="FL121" s="23"/>
      <c r="FM121" s="23"/>
      <c r="FN121" s="23"/>
      <c r="FO121" s="23"/>
      <c r="FP121" s="23"/>
      <c r="FQ121" s="23"/>
      <c r="FR121" s="23"/>
      <c r="FS121" s="23"/>
      <c r="FT121" s="23"/>
      <c r="FU121" s="23"/>
      <c r="FV121" s="23"/>
      <c r="FW121" s="23"/>
      <c r="FX121" s="23"/>
      <c r="FY121" s="23"/>
      <c r="FZ121" s="23"/>
      <c r="GA121" s="23"/>
      <c r="GB121" s="23"/>
      <c r="GC121" s="23"/>
      <c r="GD121" s="23"/>
      <c r="GE121" s="23"/>
      <c r="GF121" s="23"/>
      <c r="GG121" s="23"/>
      <c r="GH121" s="23"/>
      <c r="GI121" s="23"/>
      <c r="GJ121" s="23"/>
      <c r="GK121" s="23"/>
      <c r="GL121" s="23"/>
      <c r="GM121" s="23"/>
      <c r="GN121" s="23"/>
      <c r="GO121" s="23"/>
      <c r="GP121" s="23"/>
      <c r="GQ121" s="23"/>
      <c r="GR121" s="23"/>
      <c r="GS121" s="23"/>
      <c r="GT121" s="23"/>
      <c r="GU121" s="23"/>
      <c r="GV121" s="23"/>
      <c r="GW121" s="23"/>
      <c r="GX121" s="23"/>
      <c r="GY121" s="23"/>
      <c r="GZ121" s="23"/>
      <c r="HA121" s="23"/>
      <c r="HB121" s="23"/>
      <c r="HC121" s="23"/>
      <c r="HD121" s="23"/>
      <c r="HE121" s="23"/>
      <c r="HF121" s="23"/>
      <c r="HG121" s="23"/>
      <c r="HH121" s="23"/>
      <c r="HI121" s="23"/>
      <c r="HJ121" s="23"/>
      <c r="HK121" s="23"/>
      <c r="HL121" s="23"/>
      <c r="HM121" s="23"/>
      <c r="HN121" s="23"/>
      <c r="HO121" s="23"/>
      <c r="HP121" s="23"/>
      <c r="HQ121" s="23"/>
      <c r="HR121" s="23"/>
      <c r="HS121" s="23"/>
      <c r="HT121" s="23"/>
      <c r="HU121" s="23"/>
      <c r="HV121" s="23"/>
      <c r="HW121" s="23"/>
      <c r="HX121" s="23"/>
      <c r="HY121" s="23"/>
      <c r="HZ121" s="23"/>
      <c r="IA121" s="23"/>
      <c r="IB121" s="23"/>
      <c r="IC121" s="23"/>
      <c r="ID121" s="23"/>
      <c r="IE121" s="23"/>
      <c r="IF121" s="23"/>
      <c r="IG121" s="23"/>
    </row>
    <row r="122" spans="1:241" s="34" customFormat="1" ht="16.5" customHeight="1" x14ac:dyDescent="0.25">
      <c r="A122" s="41">
        <v>106</v>
      </c>
      <c r="B122" s="56" t="s">
        <v>139</v>
      </c>
      <c r="C122" s="56" t="s">
        <v>113</v>
      </c>
      <c r="D122" s="65">
        <v>64561025.049999997</v>
      </c>
      <c r="E122" s="65"/>
      <c r="F122" s="65">
        <v>62672737.530000001</v>
      </c>
      <c r="G122" s="65">
        <v>26360054.350000001</v>
      </c>
      <c r="H122" s="102"/>
      <c r="I122" s="97"/>
      <c r="J122" s="103">
        <v>155217679.81</v>
      </c>
      <c r="K122" s="103">
        <v>2748610.98</v>
      </c>
      <c r="L122" s="65">
        <v>3243371.24</v>
      </c>
      <c r="M122" s="47">
        <v>494760.26</v>
      </c>
      <c r="N122" s="65">
        <v>155217679.81</v>
      </c>
      <c r="O122" s="65">
        <v>4729232.07</v>
      </c>
      <c r="P122" s="98">
        <v>148590417.09</v>
      </c>
      <c r="Q122" s="50">
        <f t="shared" si="43"/>
        <v>1.0928521821526279E-4</v>
      </c>
      <c r="R122" s="98">
        <v>150488447.74000001</v>
      </c>
      <c r="S122" s="50">
        <f t="shared" si="44"/>
        <v>5.0161680094268054E-3</v>
      </c>
      <c r="T122" s="51">
        <f t="shared" si="45"/>
        <v>1.2773573741638967E-2</v>
      </c>
      <c r="U122" s="52">
        <f t="shared" si="46"/>
        <v>2.1552293805326483E-2</v>
      </c>
      <c r="V122" s="53">
        <f t="shared" si="47"/>
        <v>3.2876959489594902E-3</v>
      </c>
      <c r="W122" s="54">
        <f t="shared" si="48"/>
        <v>136.29742927300472</v>
      </c>
      <c r="X122" s="54">
        <f t="shared" si="49"/>
        <v>0.44810450607445029</v>
      </c>
      <c r="Y122" s="65">
        <v>136.29740000000001</v>
      </c>
      <c r="Z122" s="65">
        <v>140.58070000000001</v>
      </c>
      <c r="AA122" s="64">
        <v>131</v>
      </c>
      <c r="AB122" s="64">
        <v>1104228.2</v>
      </c>
      <c r="AC122" s="65">
        <v>21534.25</v>
      </c>
      <c r="AD122" s="65">
        <v>21644.43</v>
      </c>
      <c r="AE122" s="65">
        <v>1104118.02</v>
      </c>
      <c r="AF122" s="33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  <c r="AQ122" s="23"/>
      <c r="AR122" s="23"/>
      <c r="AS122" s="23"/>
      <c r="AT122" s="23"/>
      <c r="AU122" s="23"/>
      <c r="AV122" s="23"/>
      <c r="AW122" s="23"/>
      <c r="AX122" s="23"/>
      <c r="AY122" s="23"/>
      <c r="AZ122" s="23"/>
      <c r="BA122" s="23"/>
      <c r="BB122" s="23"/>
      <c r="BC122" s="23"/>
      <c r="BD122" s="23"/>
      <c r="BE122" s="23"/>
      <c r="BF122" s="23"/>
      <c r="BG122" s="23"/>
      <c r="BH122" s="23"/>
      <c r="BI122" s="23"/>
      <c r="BJ122" s="23"/>
      <c r="BK122" s="23"/>
      <c r="BL122" s="23"/>
      <c r="BM122" s="23"/>
      <c r="BN122" s="23"/>
      <c r="BO122" s="23"/>
      <c r="BP122" s="23"/>
      <c r="BQ122" s="23"/>
      <c r="BR122" s="23"/>
      <c r="BS122" s="23"/>
      <c r="BT122" s="23"/>
      <c r="BU122" s="23"/>
      <c r="BV122" s="23"/>
      <c r="BW122" s="23"/>
      <c r="BX122" s="23"/>
      <c r="BY122" s="23"/>
      <c r="BZ122" s="23"/>
      <c r="CA122" s="23"/>
      <c r="CB122" s="23"/>
      <c r="CC122" s="23"/>
      <c r="CD122" s="23"/>
      <c r="CE122" s="23"/>
      <c r="CF122" s="23"/>
      <c r="CG122" s="23"/>
      <c r="CH122" s="23"/>
      <c r="CI122" s="23"/>
      <c r="CJ122" s="23"/>
      <c r="CK122" s="23"/>
      <c r="CL122" s="23"/>
      <c r="CM122" s="23"/>
      <c r="CN122" s="23"/>
      <c r="CO122" s="23"/>
      <c r="CP122" s="23"/>
      <c r="CQ122" s="23"/>
      <c r="CR122" s="23"/>
      <c r="CS122" s="23"/>
      <c r="CT122" s="23"/>
      <c r="CU122" s="23"/>
      <c r="CV122" s="23"/>
      <c r="CW122" s="23"/>
      <c r="CX122" s="23"/>
      <c r="CY122" s="23"/>
      <c r="CZ122" s="23"/>
      <c r="DA122" s="23"/>
      <c r="DB122" s="23"/>
      <c r="DC122" s="23"/>
      <c r="DD122" s="23"/>
      <c r="DE122" s="23"/>
      <c r="DF122" s="23"/>
      <c r="DG122" s="23"/>
      <c r="DH122" s="23"/>
      <c r="DI122" s="23"/>
      <c r="DJ122" s="23"/>
      <c r="DK122" s="23"/>
      <c r="DL122" s="23"/>
      <c r="DM122" s="23"/>
      <c r="DN122" s="23"/>
      <c r="DO122" s="23"/>
      <c r="DP122" s="23"/>
      <c r="DQ122" s="23"/>
      <c r="DR122" s="23"/>
      <c r="DS122" s="23"/>
      <c r="DT122" s="23"/>
      <c r="DU122" s="23"/>
      <c r="DV122" s="23"/>
      <c r="DW122" s="23"/>
      <c r="DX122" s="23"/>
      <c r="DY122" s="23"/>
      <c r="DZ122" s="23"/>
      <c r="EA122" s="23"/>
      <c r="EB122" s="23"/>
      <c r="EC122" s="23"/>
      <c r="ED122" s="23"/>
      <c r="EE122" s="23"/>
      <c r="EF122" s="23"/>
      <c r="EG122" s="23"/>
      <c r="EH122" s="23"/>
      <c r="EI122" s="23"/>
      <c r="EJ122" s="23"/>
      <c r="EK122" s="23"/>
      <c r="EL122" s="23"/>
      <c r="EM122" s="23"/>
      <c r="EN122" s="23"/>
      <c r="EO122" s="23"/>
      <c r="EP122" s="23"/>
      <c r="EQ122" s="23"/>
      <c r="ER122" s="23"/>
      <c r="ES122" s="23"/>
      <c r="ET122" s="23"/>
      <c r="EU122" s="23"/>
      <c r="EV122" s="23"/>
      <c r="EW122" s="23"/>
      <c r="EX122" s="23"/>
      <c r="EY122" s="23"/>
      <c r="EZ122" s="23"/>
      <c r="FA122" s="23"/>
      <c r="FB122" s="23"/>
      <c r="FC122" s="23"/>
      <c r="FD122" s="23"/>
      <c r="FE122" s="23"/>
      <c r="FF122" s="23"/>
      <c r="FG122" s="23"/>
      <c r="FH122" s="23"/>
      <c r="FI122" s="23"/>
      <c r="FJ122" s="23"/>
      <c r="FK122" s="23"/>
      <c r="FL122" s="23"/>
      <c r="FM122" s="23"/>
      <c r="FN122" s="23"/>
      <c r="FO122" s="23"/>
      <c r="FP122" s="23"/>
      <c r="FQ122" s="23"/>
      <c r="FR122" s="23"/>
      <c r="FS122" s="23"/>
      <c r="FT122" s="23"/>
      <c r="FU122" s="23"/>
      <c r="FV122" s="23"/>
      <c r="FW122" s="23"/>
      <c r="FX122" s="23"/>
      <c r="FY122" s="23"/>
      <c r="FZ122" s="23"/>
      <c r="GA122" s="23"/>
      <c r="GB122" s="23"/>
      <c r="GC122" s="23"/>
      <c r="GD122" s="23"/>
      <c r="GE122" s="23"/>
      <c r="GF122" s="23"/>
      <c r="GG122" s="23"/>
      <c r="GH122" s="23"/>
      <c r="GI122" s="23"/>
      <c r="GJ122" s="23"/>
      <c r="GK122" s="23"/>
      <c r="GL122" s="23"/>
      <c r="GM122" s="23"/>
      <c r="GN122" s="23"/>
      <c r="GO122" s="23"/>
      <c r="GP122" s="23"/>
      <c r="GQ122" s="23"/>
      <c r="GR122" s="23"/>
      <c r="GS122" s="23"/>
      <c r="GT122" s="23"/>
      <c r="GU122" s="23"/>
      <c r="GV122" s="23"/>
      <c r="GW122" s="23"/>
      <c r="GX122" s="23"/>
      <c r="GY122" s="23"/>
      <c r="GZ122" s="23"/>
      <c r="HA122" s="23"/>
      <c r="HB122" s="23"/>
      <c r="HC122" s="23"/>
      <c r="HD122" s="23"/>
      <c r="HE122" s="23"/>
      <c r="HF122" s="23"/>
      <c r="HG122" s="23"/>
      <c r="HH122" s="23"/>
      <c r="HI122" s="23"/>
      <c r="HJ122" s="23"/>
      <c r="HK122" s="23"/>
      <c r="HL122" s="23"/>
      <c r="HM122" s="23"/>
      <c r="HN122" s="23"/>
      <c r="HO122" s="23"/>
      <c r="HP122" s="23"/>
      <c r="HQ122" s="23"/>
      <c r="HR122" s="23"/>
      <c r="HS122" s="23"/>
      <c r="HT122" s="23"/>
      <c r="HU122" s="23"/>
      <c r="HV122" s="23"/>
      <c r="HW122" s="23"/>
      <c r="HX122" s="23"/>
      <c r="HY122" s="23"/>
      <c r="HZ122" s="23"/>
      <c r="IA122" s="23"/>
      <c r="IB122" s="23"/>
      <c r="IC122" s="23"/>
      <c r="ID122" s="23"/>
      <c r="IE122" s="23"/>
      <c r="IF122" s="23"/>
      <c r="IG122" s="23"/>
    </row>
    <row r="123" spans="1:241" s="34" customFormat="1" ht="16.5" customHeight="1" x14ac:dyDescent="0.25">
      <c r="A123" s="41">
        <v>107</v>
      </c>
      <c r="B123" s="42" t="s">
        <v>134</v>
      </c>
      <c r="C123" s="56" t="s">
        <v>27</v>
      </c>
      <c r="D123" s="113" t="s">
        <v>218</v>
      </c>
      <c r="E123" s="65"/>
      <c r="F123" s="65">
        <v>877504855.99000001</v>
      </c>
      <c r="G123" s="65"/>
      <c r="H123" s="102"/>
      <c r="I123" s="103"/>
      <c r="J123" s="113" t="s">
        <v>219</v>
      </c>
      <c r="K123" s="103">
        <v>8196568.5800000001</v>
      </c>
      <c r="L123" s="65">
        <v>2183478.6800000002</v>
      </c>
      <c r="M123" s="47">
        <v>6013089.9000000004</v>
      </c>
      <c r="N123" s="65">
        <v>1250632132.99</v>
      </c>
      <c r="O123" s="65">
        <v>31125633.199999999</v>
      </c>
      <c r="P123" s="98">
        <v>1211151263.45</v>
      </c>
      <c r="Q123" s="50">
        <f t="shared" si="43"/>
        <v>8.9077702795365701E-4</v>
      </c>
      <c r="R123" s="98">
        <v>1219506499.79</v>
      </c>
      <c r="S123" s="50">
        <f t="shared" si="44"/>
        <v>4.0649296231053372E-2</v>
      </c>
      <c r="T123" s="51">
        <f t="shared" si="45"/>
        <v>6.898590285246268E-3</v>
      </c>
      <c r="U123" s="52">
        <f t="shared" si="46"/>
        <v>1.7904608793606243E-3</v>
      </c>
      <c r="V123" s="53">
        <f t="shared" si="47"/>
        <v>4.9307567454830786E-3</v>
      </c>
      <c r="W123" s="54">
        <f t="shared" si="48"/>
        <v>1634.836785025806</v>
      </c>
      <c r="X123" s="54">
        <f t="shared" si="49"/>
        <v>8.0609825055298625</v>
      </c>
      <c r="Y123" s="65">
        <v>552.20000000000005</v>
      </c>
      <c r="Z123" s="65">
        <v>552.20000000000005</v>
      </c>
      <c r="AA123" s="64">
        <v>830</v>
      </c>
      <c r="AB123" s="64">
        <v>745950</v>
      </c>
      <c r="AC123" s="64">
        <v>0</v>
      </c>
      <c r="AD123" s="64">
        <v>0</v>
      </c>
      <c r="AE123" s="64">
        <v>745950</v>
      </c>
      <c r="AF123" s="3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  <c r="AR123" s="23"/>
      <c r="AS123" s="23"/>
      <c r="AT123" s="23"/>
      <c r="AU123" s="23"/>
      <c r="AV123" s="23"/>
      <c r="AW123" s="23"/>
      <c r="AX123" s="23"/>
      <c r="AY123" s="23"/>
      <c r="AZ123" s="23"/>
      <c r="BA123" s="23"/>
      <c r="BB123" s="23"/>
      <c r="BC123" s="23"/>
      <c r="BD123" s="23"/>
      <c r="BE123" s="23"/>
      <c r="BF123" s="23"/>
      <c r="BG123" s="23"/>
      <c r="BH123" s="23"/>
      <c r="BI123" s="23"/>
      <c r="BJ123" s="23"/>
      <c r="BK123" s="23"/>
      <c r="BL123" s="23"/>
      <c r="BM123" s="23"/>
      <c r="BN123" s="23"/>
      <c r="BO123" s="23"/>
      <c r="BP123" s="23"/>
      <c r="BQ123" s="23"/>
      <c r="BR123" s="23"/>
      <c r="BS123" s="23"/>
      <c r="BT123" s="23"/>
      <c r="BU123" s="23"/>
      <c r="BV123" s="23"/>
      <c r="BW123" s="23"/>
      <c r="BX123" s="23"/>
      <c r="BY123" s="23"/>
      <c r="BZ123" s="23"/>
      <c r="CA123" s="23"/>
      <c r="CB123" s="23"/>
      <c r="CC123" s="23"/>
      <c r="CD123" s="23"/>
      <c r="CE123" s="23"/>
      <c r="CF123" s="23"/>
      <c r="CG123" s="23"/>
      <c r="CH123" s="23"/>
      <c r="CI123" s="23"/>
      <c r="CJ123" s="23"/>
      <c r="CK123" s="23"/>
      <c r="CL123" s="23"/>
      <c r="CM123" s="23"/>
      <c r="CN123" s="23"/>
      <c r="CO123" s="23"/>
      <c r="CP123" s="23"/>
      <c r="CQ123" s="23"/>
      <c r="CR123" s="23"/>
      <c r="CS123" s="23"/>
      <c r="CT123" s="23"/>
      <c r="CU123" s="23"/>
      <c r="CV123" s="23"/>
      <c r="CW123" s="23"/>
      <c r="CX123" s="23"/>
      <c r="CY123" s="23"/>
      <c r="CZ123" s="23"/>
      <c r="DA123" s="23"/>
      <c r="DB123" s="23"/>
      <c r="DC123" s="23"/>
      <c r="DD123" s="23"/>
      <c r="DE123" s="23"/>
      <c r="DF123" s="23"/>
      <c r="DG123" s="23"/>
      <c r="DH123" s="23"/>
      <c r="DI123" s="23"/>
      <c r="DJ123" s="23"/>
      <c r="DK123" s="23"/>
      <c r="DL123" s="23"/>
      <c r="DM123" s="23"/>
      <c r="DN123" s="23"/>
      <c r="DO123" s="23"/>
      <c r="DP123" s="23"/>
      <c r="DQ123" s="23"/>
      <c r="DR123" s="23"/>
      <c r="DS123" s="23"/>
      <c r="DT123" s="23"/>
      <c r="DU123" s="23"/>
      <c r="DV123" s="23"/>
      <c r="DW123" s="23"/>
      <c r="DX123" s="23"/>
      <c r="DY123" s="23"/>
      <c r="DZ123" s="23"/>
      <c r="EA123" s="23"/>
      <c r="EB123" s="23"/>
      <c r="EC123" s="23"/>
      <c r="ED123" s="23"/>
      <c r="EE123" s="23"/>
      <c r="EF123" s="23"/>
      <c r="EG123" s="23"/>
      <c r="EH123" s="23"/>
      <c r="EI123" s="23"/>
      <c r="EJ123" s="23"/>
      <c r="EK123" s="23"/>
      <c r="EL123" s="23"/>
      <c r="EM123" s="23"/>
      <c r="EN123" s="23"/>
      <c r="EO123" s="23"/>
      <c r="EP123" s="23"/>
      <c r="EQ123" s="23"/>
      <c r="ER123" s="23"/>
      <c r="ES123" s="23"/>
      <c r="ET123" s="23"/>
      <c r="EU123" s="23"/>
      <c r="EV123" s="23"/>
      <c r="EW123" s="23"/>
      <c r="EX123" s="23"/>
      <c r="EY123" s="23"/>
      <c r="EZ123" s="23"/>
      <c r="FA123" s="23"/>
      <c r="FB123" s="23"/>
      <c r="FC123" s="23"/>
      <c r="FD123" s="23"/>
      <c r="FE123" s="23"/>
      <c r="FF123" s="23"/>
      <c r="FG123" s="23"/>
      <c r="FH123" s="23"/>
      <c r="FI123" s="23"/>
      <c r="FJ123" s="23"/>
      <c r="FK123" s="23"/>
      <c r="FL123" s="23"/>
      <c r="FM123" s="23"/>
      <c r="FN123" s="23"/>
      <c r="FO123" s="23"/>
      <c r="FP123" s="23"/>
      <c r="FQ123" s="23"/>
      <c r="FR123" s="23"/>
      <c r="FS123" s="23"/>
      <c r="FT123" s="23"/>
      <c r="FU123" s="23"/>
      <c r="FV123" s="23"/>
      <c r="FW123" s="23"/>
      <c r="FX123" s="23"/>
      <c r="FY123" s="23"/>
      <c r="FZ123" s="23"/>
      <c r="GA123" s="23"/>
      <c r="GB123" s="23"/>
      <c r="GC123" s="23"/>
      <c r="GD123" s="23"/>
      <c r="GE123" s="23"/>
      <c r="GF123" s="23"/>
      <c r="GG123" s="23"/>
      <c r="GH123" s="23"/>
      <c r="GI123" s="23"/>
      <c r="GJ123" s="23"/>
      <c r="GK123" s="23"/>
      <c r="GL123" s="23"/>
      <c r="GM123" s="23"/>
      <c r="GN123" s="23"/>
      <c r="GO123" s="23"/>
      <c r="GP123" s="23"/>
      <c r="GQ123" s="23"/>
      <c r="GR123" s="23"/>
      <c r="GS123" s="23"/>
      <c r="GT123" s="23"/>
      <c r="GU123" s="23"/>
      <c r="GV123" s="23"/>
      <c r="GW123" s="23"/>
      <c r="GX123" s="23"/>
      <c r="GY123" s="23"/>
      <c r="GZ123" s="23"/>
      <c r="HA123" s="23"/>
      <c r="HB123" s="23"/>
      <c r="HC123" s="23"/>
      <c r="HD123" s="23"/>
      <c r="HE123" s="23"/>
      <c r="HF123" s="23"/>
      <c r="HG123" s="23"/>
      <c r="HH123" s="23"/>
      <c r="HI123" s="23"/>
      <c r="HJ123" s="23"/>
      <c r="HK123" s="23"/>
      <c r="HL123" s="23"/>
      <c r="HM123" s="23"/>
      <c r="HN123" s="23"/>
      <c r="HO123" s="23"/>
      <c r="HP123" s="23"/>
      <c r="HQ123" s="23"/>
      <c r="HR123" s="23"/>
      <c r="HS123" s="23"/>
      <c r="HT123" s="23"/>
      <c r="HU123" s="23"/>
      <c r="HV123" s="23"/>
      <c r="HW123" s="23"/>
      <c r="HX123" s="23"/>
      <c r="HY123" s="23"/>
      <c r="HZ123" s="23"/>
      <c r="IA123" s="23"/>
      <c r="IB123" s="23"/>
      <c r="IC123" s="23"/>
      <c r="ID123" s="23"/>
      <c r="IE123" s="23"/>
      <c r="IF123" s="23"/>
      <c r="IG123" s="23"/>
    </row>
    <row r="124" spans="1:241" s="34" customFormat="1" ht="16.5" customHeight="1" x14ac:dyDescent="0.25">
      <c r="A124" s="41">
        <v>108</v>
      </c>
      <c r="B124" s="42" t="s">
        <v>184</v>
      </c>
      <c r="C124" s="56" t="s">
        <v>89</v>
      </c>
      <c r="D124" s="65">
        <v>7249846.4500000002</v>
      </c>
      <c r="E124" s="65"/>
      <c r="F124" s="65">
        <v>6099858.3899999997</v>
      </c>
      <c r="G124" s="65">
        <v>3593655.09</v>
      </c>
      <c r="H124" s="102"/>
      <c r="I124" s="97"/>
      <c r="J124" s="103">
        <f>D124+F124+G124</f>
        <v>16943359.93</v>
      </c>
      <c r="K124" s="103">
        <v>239171.9</v>
      </c>
      <c r="L124" s="65">
        <v>8184.49</v>
      </c>
      <c r="M124" s="47">
        <v>197010.11</v>
      </c>
      <c r="N124" s="65">
        <v>18417780.27</v>
      </c>
      <c r="O124" s="65">
        <v>371998.12</v>
      </c>
      <c r="P124" s="98">
        <v>17818173.77</v>
      </c>
      <c r="Q124" s="50">
        <f t="shared" si="43"/>
        <v>1.3104903040096323E-5</v>
      </c>
      <c r="R124" s="98">
        <v>17795142.27</v>
      </c>
      <c r="S124" s="50">
        <f t="shared" si="44"/>
        <v>5.9315797802761416E-4</v>
      </c>
      <c r="T124" s="51">
        <f t="shared" si="45"/>
        <v>-1.2925847675129055E-3</v>
      </c>
      <c r="U124" s="52">
        <f t="shared" si="46"/>
        <v>4.5992832627125715E-4</v>
      </c>
      <c r="V124" s="53">
        <f t="shared" si="47"/>
        <v>1.1071005053560607E-2</v>
      </c>
      <c r="W124" s="54">
        <f t="shared" si="48"/>
        <v>1.1287666209667107</v>
      </c>
      <c r="X124" s="54">
        <f t="shared" si="49"/>
        <v>1.2496580965012985E-2</v>
      </c>
      <c r="Y124" s="65">
        <v>1.1480999999999999</v>
      </c>
      <c r="Z124" s="65">
        <v>1.1480999999999999</v>
      </c>
      <c r="AA124" s="64">
        <v>4</v>
      </c>
      <c r="AB124" s="64">
        <v>17641620.09</v>
      </c>
      <c r="AC124" s="64">
        <v>153522.18</v>
      </c>
      <c r="AD124" s="65">
        <v>2030021.3499999996</v>
      </c>
      <c r="AE124" s="65">
        <f>(AB124+AC124)-AD124</f>
        <v>15765120.92</v>
      </c>
      <c r="AF124" s="33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  <c r="AQ124" s="23"/>
      <c r="AR124" s="23"/>
      <c r="AS124" s="23"/>
      <c r="AT124" s="23"/>
      <c r="AU124" s="23"/>
      <c r="AV124" s="23"/>
      <c r="AW124" s="23"/>
      <c r="AX124" s="23"/>
      <c r="AY124" s="23"/>
      <c r="AZ124" s="23"/>
      <c r="BA124" s="23"/>
      <c r="BB124" s="23"/>
      <c r="BC124" s="23"/>
      <c r="BD124" s="23"/>
      <c r="BE124" s="23"/>
      <c r="BF124" s="23"/>
      <c r="BG124" s="23"/>
      <c r="BH124" s="23"/>
      <c r="BI124" s="23"/>
      <c r="BJ124" s="23"/>
      <c r="BK124" s="23"/>
      <c r="BL124" s="23"/>
      <c r="BM124" s="23"/>
      <c r="BN124" s="23"/>
      <c r="BO124" s="23"/>
      <c r="BP124" s="23"/>
      <c r="BQ124" s="23"/>
      <c r="BR124" s="23"/>
      <c r="BS124" s="23"/>
      <c r="BT124" s="23"/>
      <c r="BU124" s="23"/>
      <c r="BV124" s="23"/>
      <c r="BW124" s="23"/>
      <c r="BX124" s="23"/>
      <c r="BY124" s="23"/>
      <c r="BZ124" s="23"/>
      <c r="CA124" s="23"/>
      <c r="CB124" s="23"/>
      <c r="CC124" s="23"/>
      <c r="CD124" s="23"/>
      <c r="CE124" s="23"/>
      <c r="CF124" s="23"/>
      <c r="CG124" s="23"/>
      <c r="CH124" s="23"/>
      <c r="CI124" s="23"/>
      <c r="CJ124" s="23"/>
      <c r="CK124" s="23"/>
      <c r="CL124" s="23"/>
      <c r="CM124" s="23"/>
      <c r="CN124" s="23"/>
      <c r="CO124" s="23"/>
      <c r="CP124" s="23"/>
      <c r="CQ124" s="23"/>
      <c r="CR124" s="23"/>
      <c r="CS124" s="23"/>
      <c r="CT124" s="23"/>
      <c r="CU124" s="23"/>
      <c r="CV124" s="23"/>
      <c r="CW124" s="23"/>
      <c r="CX124" s="23"/>
      <c r="CY124" s="23"/>
      <c r="CZ124" s="23"/>
      <c r="DA124" s="23"/>
      <c r="DB124" s="23"/>
      <c r="DC124" s="23"/>
      <c r="DD124" s="23"/>
      <c r="DE124" s="23"/>
      <c r="DF124" s="23"/>
      <c r="DG124" s="23"/>
      <c r="DH124" s="23"/>
      <c r="DI124" s="23"/>
      <c r="DJ124" s="23"/>
      <c r="DK124" s="23"/>
      <c r="DL124" s="23"/>
      <c r="DM124" s="23"/>
      <c r="DN124" s="23"/>
      <c r="DO124" s="23"/>
      <c r="DP124" s="23"/>
      <c r="DQ124" s="23"/>
      <c r="DR124" s="23"/>
      <c r="DS124" s="23"/>
      <c r="DT124" s="23"/>
      <c r="DU124" s="23"/>
      <c r="DV124" s="23"/>
      <c r="DW124" s="23"/>
      <c r="DX124" s="23"/>
      <c r="DY124" s="23"/>
      <c r="DZ124" s="23"/>
      <c r="EA124" s="23"/>
      <c r="EB124" s="23"/>
      <c r="EC124" s="23"/>
      <c r="ED124" s="23"/>
      <c r="EE124" s="23"/>
      <c r="EF124" s="23"/>
      <c r="EG124" s="23"/>
      <c r="EH124" s="23"/>
      <c r="EI124" s="23"/>
      <c r="EJ124" s="23"/>
      <c r="EK124" s="23"/>
      <c r="EL124" s="23"/>
      <c r="EM124" s="23"/>
      <c r="EN124" s="23"/>
      <c r="EO124" s="23"/>
      <c r="EP124" s="23"/>
      <c r="EQ124" s="23"/>
      <c r="ER124" s="23"/>
      <c r="ES124" s="23"/>
      <c r="ET124" s="23"/>
      <c r="EU124" s="23"/>
      <c r="EV124" s="23"/>
      <c r="EW124" s="23"/>
      <c r="EX124" s="23"/>
      <c r="EY124" s="23"/>
      <c r="EZ124" s="23"/>
      <c r="FA124" s="23"/>
      <c r="FB124" s="23"/>
      <c r="FC124" s="23"/>
      <c r="FD124" s="23"/>
      <c r="FE124" s="23"/>
      <c r="FF124" s="23"/>
      <c r="FG124" s="23"/>
      <c r="FH124" s="23"/>
      <c r="FI124" s="23"/>
      <c r="FJ124" s="23"/>
      <c r="FK124" s="23"/>
      <c r="FL124" s="23"/>
      <c r="FM124" s="23"/>
      <c r="FN124" s="23"/>
      <c r="FO124" s="23"/>
      <c r="FP124" s="23"/>
      <c r="FQ124" s="23"/>
      <c r="FR124" s="23"/>
      <c r="FS124" s="23"/>
      <c r="FT124" s="23"/>
      <c r="FU124" s="23"/>
      <c r="FV124" s="23"/>
      <c r="FW124" s="23"/>
      <c r="FX124" s="23"/>
      <c r="FY124" s="23"/>
      <c r="FZ124" s="23"/>
      <c r="GA124" s="23"/>
      <c r="GB124" s="23"/>
      <c r="GC124" s="23"/>
      <c r="GD124" s="23"/>
      <c r="GE124" s="23"/>
      <c r="GF124" s="23"/>
      <c r="GG124" s="23"/>
      <c r="GH124" s="23"/>
      <c r="GI124" s="23"/>
      <c r="GJ124" s="23"/>
      <c r="GK124" s="23"/>
      <c r="GL124" s="23"/>
      <c r="GM124" s="23"/>
      <c r="GN124" s="23"/>
      <c r="GO124" s="23"/>
      <c r="GP124" s="23"/>
      <c r="GQ124" s="23"/>
      <c r="GR124" s="23"/>
      <c r="GS124" s="23"/>
      <c r="GT124" s="23"/>
      <c r="GU124" s="23"/>
      <c r="GV124" s="23"/>
      <c r="GW124" s="23"/>
      <c r="GX124" s="23"/>
      <c r="GY124" s="23"/>
      <c r="GZ124" s="23"/>
      <c r="HA124" s="23"/>
      <c r="HB124" s="23"/>
      <c r="HC124" s="23"/>
      <c r="HD124" s="23"/>
      <c r="HE124" s="23"/>
      <c r="HF124" s="23"/>
      <c r="HG124" s="23"/>
      <c r="HH124" s="23"/>
      <c r="HI124" s="23"/>
      <c r="HJ124" s="23"/>
      <c r="HK124" s="23"/>
      <c r="HL124" s="23"/>
      <c r="HM124" s="23"/>
      <c r="HN124" s="23"/>
      <c r="HO124" s="23"/>
      <c r="HP124" s="23"/>
      <c r="HQ124" s="23"/>
      <c r="HR124" s="23"/>
      <c r="HS124" s="23"/>
      <c r="HT124" s="23"/>
      <c r="HU124" s="23"/>
      <c r="HV124" s="23"/>
      <c r="HW124" s="23"/>
      <c r="HX124" s="23"/>
      <c r="HY124" s="23"/>
      <c r="HZ124" s="23"/>
      <c r="IA124" s="23"/>
      <c r="IB124" s="23"/>
      <c r="IC124" s="23"/>
      <c r="ID124" s="23"/>
      <c r="IE124" s="23"/>
      <c r="IF124" s="23"/>
      <c r="IG124" s="23"/>
    </row>
    <row r="125" spans="1:241" s="34" customFormat="1" ht="16.5" customHeight="1" x14ac:dyDescent="0.25">
      <c r="A125" s="41">
        <v>109</v>
      </c>
      <c r="B125" s="56" t="s">
        <v>138</v>
      </c>
      <c r="C125" s="56" t="s">
        <v>46</v>
      </c>
      <c r="D125" s="65">
        <v>67783886.599999994</v>
      </c>
      <c r="E125" s="65"/>
      <c r="F125" s="65">
        <v>47668270.649999999</v>
      </c>
      <c r="G125" s="65">
        <v>48713003.710000001</v>
      </c>
      <c r="H125" s="114">
        <v>924000</v>
      </c>
      <c r="I125" s="103"/>
      <c r="J125" s="103">
        <v>165089160.96000001</v>
      </c>
      <c r="K125" s="103">
        <v>557730.71</v>
      </c>
      <c r="L125" s="65">
        <v>208349.86</v>
      </c>
      <c r="M125" s="47">
        <v>349380.85</v>
      </c>
      <c r="N125" s="65">
        <v>166123515.13</v>
      </c>
      <c r="O125" s="65">
        <v>3021058.14</v>
      </c>
      <c r="P125" s="98">
        <v>162692126.38</v>
      </c>
      <c r="Q125" s="50">
        <f t="shared" si="43"/>
        <v>1.1965673750396908E-4</v>
      </c>
      <c r="R125" s="98">
        <v>163102457</v>
      </c>
      <c r="S125" s="50">
        <f t="shared" si="44"/>
        <v>5.4366254642737337E-3</v>
      </c>
      <c r="T125" s="51">
        <f t="shared" si="45"/>
        <v>2.5221295531020079E-3</v>
      </c>
      <c r="U125" s="52">
        <f t="shared" si="46"/>
        <v>1.2774170532575116E-3</v>
      </c>
      <c r="V125" s="53">
        <f>M124/R125</f>
        <v>1.2078917364193968E-3</v>
      </c>
      <c r="W125" s="54">
        <f t="shared" si="48"/>
        <v>1.6471698488394499</v>
      </c>
      <c r="X125" s="54">
        <f>M124/AE125</f>
        <v>1.9896028488923584E-3</v>
      </c>
      <c r="Y125" s="65">
        <v>1.6472</v>
      </c>
      <c r="Z125" s="65">
        <v>16777</v>
      </c>
      <c r="AA125" s="64">
        <v>100</v>
      </c>
      <c r="AB125" s="64">
        <v>99063849</v>
      </c>
      <c r="AC125" s="64">
        <v>101654</v>
      </c>
      <c r="AD125" s="64">
        <v>145686</v>
      </c>
      <c r="AE125" s="65">
        <v>99019817</v>
      </c>
      <c r="AF125" s="3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  <c r="AQ125" s="23"/>
      <c r="AR125" s="23"/>
      <c r="AS125" s="23"/>
      <c r="AT125" s="23"/>
      <c r="AU125" s="23"/>
      <c r="AV125" s="23"/>
      <c r="AW125" s="23"/>
      <c r="AX125" s="23"/>
      <c r="AY125" s="23"/>
      <c r="AZ125" s="23"/>
      <c r="BA125" s="23"/>
      <c r="BB125" s="23"/>
      <c r="BC125" s="23"/>
      <c r="BD125" s="23"/>
      <c r="BE125" s="23"/>
      <c r="BF125" s="23"/>
      <c r="BG125" s="23"/>
      <c r="BH125" s="23"/>
      <c r="BI125" s="23"/>
      <c r="BJ125" s="23"/>
      <c r="BK125" s="23"/>
      <c r="BL125" s="23"/>
      <c r="BM125" s="23"/>
      <c r="BN125" s="23"/>
      <c r="BO125" s="23"/>
      <c r="BP125" s="23"/>
      <c r="BQ125" s="23"/>
      <c r="BR125" s="23"/>
      <c r="BS125" s="23"/>
      <c r="BT125" s="23"/>
      <c r="BU125" s="23"/>
      <c r="BV125" s="23"/>
      <c r="BW125" s="23"/>
      <c r="BX125" s="23"/>
      <c r="BY125" s="23"/>
      <c r="BZ125" s="23"/>
      <c r="CA125" s="23"/>
      <c r="CB125" s="23"/>
      <c r="CC125" s="23"/>
      <c r="CD125" s="23"/>
      <c r="CE125" s="23"/>
      <c r="CF125" s="23"/>
      <c r="CG125" s="23"/>
      <c r="CH125" s="23"/>
      <c r="CI125" s="23"/>
      <c r="CJ125" s="23"/>
      <c r="CK125" s="23"/>
      <c r="CL125" s="23"/>
      <c r="CM125" s="23"/>
      <c r="CN125" s="23"/>
      <c r="CO125" s="23"/>
      <c r="CP125" s="23"/>
      <c r="CQ125" s="23"/>
      <c r="CR125" s="23"/>
      <c r="CS125" s="23"/>
      <c r="CT125" s="23"/>
      <c r="CU125" s="23"/>
      <c r="CV125" s="23"/>
      <c r="CW125" s="23"/>
      <c r="CX125" s="23"/>
      <c r="CY125" s="23"/>
      <c r="CZ125" s="23"/>
      <c r="DA125" s="23"/>
      <c r="DB125" s="23"/>
      <c r="DC125" s="23"/>
      <c r="DD125" s="23"/>
      <c r="DE125" s="23"/>
      <c r="DF125" s="23"/>
      <c r="DG125" s="23"/>
      <c r="DH125" s="23"/>
      <c r="DI125" s="23"/>
      <c r="DJ125" s="23"/>
      <c r="DK125" s="23"/>
      <c r="DL125" s="23"/>
      <c r="DM125" s="23"/>
      <c r="DN125" s="23"/>
      <c r="DO125" s="23"/>
      <c r="DP125" s="23"/>
      <c r="DQ125" s="23"/>
      <c r="DR125" s="23"/>
      <c r="DS125" s="23"/>
      <c r="DT125" s="23"/>
      <c r="DU125" s="23"/>
      <c r="DV125" s="23"/>
      <c r="DW125" s="23"/>
      <c r="DX125" s="23"/>
      <c r="DY125" s="23"/>
      <c r="DZ125" s="23"/>
      <c r="EA125" s="23"/>
      <c r="EB125" s="23"/>
      <c r="EC125" s="23"/>
      <c r="ED125" s="23"/>
      <c r="EE125" s="23"/>
      <c r="EF125" s="23"/>
      <c r="EG125" s="23"/>
      <c r="EH125" s="23"/>
      <c r="EI125" s="23"/>
      <c r="EJ125" s="23"/>
      <c r="EK125" s="23"/>
      <c r="EL125" s="23"/>
      <c r="EM125" s="23"/>
      <c r="EN125" s="23"/>
      <c r="EO125" s="23"/>
      <c r="EP125" s="23"/>
      <c r="EQ125" s="23"/>
      <c r="ER125" s="23"/>
      <c r="ES125" s="23"/>
      <c r="ET125" s="23"/>
      <c r="EU125" s="23"/>
      <c r="EV125" s="23"/>
      <c r="EW125" s="23"/>
      <c r="EX125" s="23"/>
      <c r="EY125" s="23"/>
      <c r="EZ125" s="23"/>
      <c r="FA125" s="23"/>
      <c r="FB125" s="23"/>
      <c r="FC125" s="23"/>
      <c r="FD125" s="23"/>
      <c r="FE125" s="23"/>
      <c r="FF125" s="23"/>
      <c r="FG125" s="23"/>
      <c r="FH125" s="23"/>
      <c r="FI125" s="23"/>
      <c r="FJ125" s="23"/>
      <c r="FK125" s="23"/>
      <c r="FL125" s="23"/>
      <c r="FM125" s="23"/>
      <c r="FN125" s="23"/>
      <c r="FO125" s="23"/>
      <c r="FP125" s="23"/>
      <c r="FQ125" s="23"/>
      <c r="FR125" s="23"/>
      <c r="FS125" s="23"/>
      <c r="FT125" s="23"/>
      <c r="FU125" s="23"/>
      <c r="FV125" s="23"/>
      <c r="FW125" s="23"/>
      <c r="FX125" s="23"/>
      <c r="FY125" s="23"/>
      <c r="FZ125" s="23"/>
      <c r="GA125" s="23"/>
      <c r="GB125" s="23"/>
      <c r="GC125" s="23"/>
      <c r="GD125" s="23"/>
      <c r="GE125" s="23"/>
      <c r="GF125" s="23"/>
      <c r="GG125" s="23"/>
      <c r="GH125" s="23"/>
      <c r="GI125" s="23"/>
      <c r="GJ125" s="23"/>
      <c r="GK125" s="23"/>
      <c r="GL125" s="23"/>
      <c r="GM125" s="23"/>
      <c r="GN125" s="23"/>
      <c r="GO125" s="23"/>
      <c r="GP125" s="23"/>
      <c r="GQ125" s="23"/>
      <c r="GR125" s="23"/>
      <c r="GS125" s="23"/>
      <c r="GT125" s="23"/>
      <c r="GU125" s="23"/>
      <c r="GV125" s="23"/>
      <c r="GW125" s="23"/>
      <c r="GX125" s="23"/>
      <c r="GY125" s="23"/>
      <c r="GZ125" s="23"/>
      <c r="HA125" s="23"/>
      <c r="HB125" s="23"/>
      <c r="HC125" s="23"/>
      <c r="HD125" s="23"/>
      <c r="HE125" s="23"/>
      <c r="HF125" s="23"/>
      <c r="HG125" s="23"/>
      <c r="HH125" s="23"/>
      <c r="HI125" s="23"/>
      <c r="HJ125" s="23"/>
      <c r="HK125" s="23"/>
      <c r="HL125" s="23"/>
      <c r="HM125" s="23"/>
      <c r="HN125" s="23"/>
      <c r="HO125" s="23"/>
      <c r="HP125" s="23"/>
      <c r="HQ125" s="23"/>
      <c r="HR125" s="23"/>
      <c r="HS125" s="23"/>
      <c r="HT125" s="23"/>
      <c r="HU125" s="23"/>
      <c r="HV125" s="23"/>
      <c r="HW125" s="23"/>
      <c r="HX125" s="23"/>
      <c r="HY125" s="23"/>
      <c r="HZ125" s="23"/>
      <c r="IA125" s="23"/>
      <c r="IB125" s="23"/>
      <c r="IC125" s="23"/>
      <c r="ID125" s="23"/>
      <c r="IE125" s="23"/>
      <c r="IF125" s="23"/>
      <c r="IG125" s="23"/>
    </row>
    <row r="126" spans="1:241" s="34" customFormat="1" ht="16.5" customHeight="1" x14ac:dyDescent="0.25">
      <c r="A126" s="41">
        <v>110</v>
      </c>
      <c r="B126" s="42" t="s">
        <v>128</v>
      </c>
      <c r="C126" s="42" t="s">
        <v>23</v>
      </c>
      <c r="D126" s="65">
        <v>742746002.79999995</v>
      </c>
      <c r="E126" s="65"/>
      <c r="F126" s="65">
        <v>495707159.80000001</v>
      </c>
      <c r="G126" s="65">
        <v>1072439451.5599999</v>
      </c>
      <c r="H126" s="102"/>
      <c r="I126" s="103"/>
      <c r="J126" s="103">
        <v>1568146611.3599999</v>
      </c>
      <c r="K126" s="103">
        <v>8837507.4000000004</v>
      </c>
      <c r="L126" s="65">
        <v>3627987.18</v>
      </c>
      <c r="M126" s="47">
        <v>-21917433.43</v>
      </c>
      <c r="N126" s="65">
        <v>1592945543.5599999</v>
      </c>
      <c r="O126" s="65">
        <v>7614764.1699999999</v>
      </c>
      <c r="P126" s="98">
        <v>1607353057.73</v>
      </c>
      <c r="Q126" s="50">
        <f t="shared" si="43"/>
        <v>1.1821753589708087E-3</v>
      </c>
      <c r="R126" s="98">
        <v>1585330779.3900001</v>
      </c>
      <c r="S126" s="50">
        <f t="shared" si="44"/>
        <v>5.2843162776687047E-2</v>
      </c>
      <c r="T126" s="51">
        <f t="shared" si="45"/>
        <v>-1.3700958998454945E-2</v>
      </c>
      <c r="U126" s="52">
        <f t="shared" si="46"/>
        <v>2.2884733124250377E-3</v>
      </c>
      <c r="V126" s="53">
        <f>M126/R126</f>
        <v>-1.3825148489473811E-2</v>
      </c>
      <c r="W126" s="54">
        <f t="shared" si="48"/>
        <v>3566.8209417979383</v>
      </c>
      <c r="X126" s="54">
        <f>M126/AE126</f>
        <v>-49.311829155721327</v>
      </c>
      <c r="Y126" s="65">
        <v>3544.68</v>
      </c>
      <c r="Z126" s="65">
        <v>3578.94</v>
      </c>
      <c r="AA126" s="64">
        <v>1426</v>
      </c>
      <c r="AB126" s="64">
        <v>442833.45</v>
      </c>
      <c r="AC126" s="64">
        <v>7400.72</v>
      </c>
      <c r="AD126" s="64">
        <v>5768.13</v>
      </c>
      <c r="AE126" s="45">
        <v>444466.04</v>
      </c>
      <c r="AF126" s="3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  <c r="AQ126" s="23"/>
      <c r="AR126" s="23"/>
      <c r="AS126" s="23"/>
      <c r="AT126" s="23"/>
      <c r="AU126" s="23"/>
      <c r="AV126" s="23"/>
      <c r="AW126" s="23"/>
      <c r="AX126" s="23"/>
      <c r="AY126" s="23"/>
      <c r="AZ126" s="23"/>
      <c r="BA126" s="23"/>
      <c r="BB126" s="23"/>
      <c r="BC126" s="23"/>
      <c r="BD126" s="23"/>
      <c r="BE126" s="23"/>
      <c r="BF126" s="23"/>
      <c r="BG126" s="23"/>
      <c r="BH126" s="23"/>
      <c r="BI126" s="23"/>
      <c r="BJ126" s="23"/>
      <c r="BK126" s="23"/>
      <c r="BL126" s="23"/>
      <c r="BM126" s="23"/>
      <c r="BN126" s="23"/>
      <c r="BO126" s="23"/>
      <c r="BP126" s="23"/>
      <c r="BQ126" s="23"/>
      <c r="BR126" s="23"/>
      <c r="BS126" s="23"/>
      <c r="BT126" s="23"/>
      <c r="BU126" s="23"/>
      <c r="BV126" s="23"/>
      <c r="BW126" s="23"/>
      <c r="BX126" s="23"/>
      <c r="BY126" s="23"/>
      <c r="BZ126" s="23"/>
      <c r="CA126" s="23"/>
      <c r="CB126" s="23"/>
      <c r="CC126" s="23"/>
      <c r="CD126" s="23"/>
      <c r="CE126" s="23"/>
      <c r="CF126" s="23"/>
      <c r="CG126" s="23"/>
      <c r="CH126" s="23"/>
      <c r="CI126" s="23"/>
      <c r="CJ126" s="23"/>
      <c r="CK126" s="23"/>
      <c r="CL126" s="23"/>
      <c r="CM126" s="23"/>
      <c r="CN126" s="23"/>
      <c r="CO126" s="23"/>
      <c r="CP126" s="23"/>
      <c r="CQ126" s="23"/>
      <c r="CR126" s="23"/>
      <c r="CS126" s="23"/>
      <c r="CT126" s="23"/>
      <c r="CU126" s="23"/>
      <c r="CV126" s="23"/>
      <c r="CW126" s="23"/>
      <c r="CX126" s="23"/>
      <c r="CY126" s="23"/>
      <c r="CZ126" s="23"/>
      <c r="DA126" s="23"/>
      <c r="DB126" s="23"/>
      <c r="DC126" s="23"/>
      <c r="DD126" s="23"/>
      <c r="DE126" s="23"/>
      <c r="DF126" s="23"/>
      <c r="DG126" s="23"/>
      <c r="DH126" s="23"/>
      <c r="DI126" s="23"/>
      <c r="DJ126" s="23"/>
      <c r="DK126" s="23"/>
      <c r="DL126" s="23"/>
      <c r="DM126" s="23"/>
      <c r="DN126" s="23"/>
      <c r="DO126" s="23"/>
      <c r="DP126" s="23"/>
      <c r="DQ126" s="23"/>
      <c r="DR126" s="23"/>
      <c r="DS126" s="23"/>
      <c r="DT126" s="23"/>
      <c r="DU126" s="23"/>
      <c r="DV126" s="23"/>
      <c r="DW126" s="23"/>
      <c r="DX126" s="23"/>
      <c r="DY126" s="23"/>
      <c r="DZ126" s="23"/>
      <c r="EA126" s="23"/>
      <c r="EB126" s="23"/>
      <c r="EC126" s="23"/>
      <c r="ED126" s="23"/>
      <c r="EE126" s="23"/>
      <c r="EF126" s="23"/>
      <c r="EG126" s="23"/>
      <c r="EH126" s="23"/>
      <c r="EI126" s="23"/>
      <c r="EJ126" s="23"/>
      <c r="EK126" s="23"/>
      <c r="EL126" s="23"/>
      <c r="EM126" s="23"/>
      <c r="EN126" s="23"/>
      <c r="EO126" s="23"/>
      <c r="EP126" s="23"/>
      <c r="EQ126" s="23"/>
      <c r="ER126" s="23"/>
      <c r="ES126" s="23"/>
      <c r="ET126" s="23"/>
      <c r="EU126" s="23"/>
      <c r="EV126" s="23"/>
      <c r="EW126" s="23"/>
      <c r="EX126" s="23"/>
      <c r="EY126" s="23"/>
      <c r="EZ126" s="23"/>
      <c r="FA126" s="23"/>
      <c r="FB126" s="23"/>
      <c r="FC126" s="23"/>
      <c r="FD126" s="23"/>
      <c r="FE126" s="23"/>
      <c r="FF126" s="23"/>
      <c r="FG126" s="23"/>
      <c r="FH126" s="23"/>
      <c r="FI126" s="23"/>
      <c r="FJ126" s="23"/>
      <c r="FK126" s="23"/>
      <c r="FL126" s="23"/>
      <c r="FM126" s="23"/>
      <c r="FN126" s="23"/>
      <c r="FO126" s="23"/>
      <c r="FP126" s="23"/>
      <c r="FQ126" s="23"/>
      <c r="FR126" s="23"/>
      <c r="FS126" s="23"/>
      <c r="FT126" s="23"/>
      <c r="FU126" s="23"/>
      <c r="FV126" s="23"/>
      <c r="FW126" s="23"/>
      <c r="FX126" s="23"/>
      <c r="FY126" s="23"/>
      <c r="FZ126" s="23"/>
      <c r="GA126" s="23"/>
      <c r="GB126" s="23"/>
      <c r="GC126" s="23"/>
      <c r="GD126" s="23"/>
      <c r="GE126" s="23"/>
      <c r="GF126" s="23"/>
      <c r="GG126" s="23"/>
      <c r="GH126" s="23"/>
      <c r="GI126" s="23"/>
      <c r="GJ126" s="23"/>
      <c r="GK126" s="23"/>
      <c r="GL126" s="23"/>
      <c r="GM126" s="23"/>
      <c r="GN126" s="23"/>
      <c r="GO126" s="23"/>
      <c r="GP126" s="23"/>
      <c r="GQ126" s="23"/>
      <c r="GR126" s="23"/>
      <c r="GS126" s="23"/>
      <c r="GT126" s="23"/>
      <c r="GU126" s="23"/>
      <c r="GV126" s="23"/>
      <c r="GW126" s="23"/>
      <c r="GX126" s="23"/>
      <c r="GY126" s="23"/>
      <c r="GZ126" s="23"/>
      <c r="HA126" s="23"/>
      <c r="HB126" s="23"/>
      <c r="HC126" s="23"/>
      <c r="HD126" s="23"/>
      <c r="HE126" s="23"/>
      <c r="HF126" s="23"/>
      <c r="HG126" s="23"/>
      <c r="HH126" s="23"/>
      <c r="HI126" s="23"/>
      <c r="HJ126" s="23"/>
      <c r="HK126" s="23"/>
      <c r="HL126" s="23"/>
      <c r="HM126" s="23"/>
      <c r="HN126" s="23"/>
      <c r="HO126" s="23"/>
      <c r="HP126" s="23"/>
      <c r="HQ126" s="23"/>
      <c r="HR126" s="23"/>
      <c r="HS126" s="23"/>
      <c r="HT126" s="23"/>
      <c r="HU126" s="23"/>
      <c r="HV126" s="23"/>
      <c r="HW126" s="23"/>
      <c r="HX126" s="23"/>
      <c r="HY126" s="23"/>
      <c r="HZ126" s="23"/>
      <c r="IA126" s="23"/>
      <c r="IB126" s="23"/>
      <c r="IC126" s="23"/>
      <c r="ID126" s="23"/>
      <c r="IE126" s="23"/>
      <c r="IF126" s="23"/>
      <c r="IG126" s="23"/>
    </row>
    <row r="127" spans="1:241" ht="16.5" customHeight="1" x14ac:dyDescent="0.25">
      <c r="A127" s="41">
        <v>111</v>
      </c>
      <c r="B127" s="42" t="s">
        <v>129</v>
      </c>
      <c r="C127" s="42" t="s">
        <v>33</v>
      </c>
      <c r="D127" s="65">
        <v>393058599.85000002</v>
      </c>
      <c r="E127" s="39"/>
      <c r="F127" s="65">
        <f>9753744+352989604</f>
        <v>362743348</v>
      </c>
      <c r="G127" s="65">
        <v>293863656</v>
      </c>
      <c r="H127" s="39"/>
      <c r="I127" s="39"/>
      <c r="J127" s="103">
        <f>D127+F127+G127</f>
        <v>1049665603.85</v>
      </c>
      <c r="K127" s="103">
        <v>18028797</v>
      </c>
      <c r="L127" s="103">
        <v>2014363</v>
      </c>
      <c r="M127" s="47">
        <v>-10949866</v>
      </c>
      <c r="N127" s="65">
        <v>1050789694</v>
      </c>
      <c r="O127" s="65">
        <v>16448174</v>
      </c>
      <c r="P127" s="98">
        <v>1038425637.71</v>
      </c>
      <c r="Q127" s="50">
        <f t="shared" si="43"/>
        <v>7.6374085650977137E-4</v>
      </c>
      <c r="R127" s="98">
        <v>1034341519.5700001</v>
      </c>
      <c r="S127" s="50">
        <f>(R137/$R$133)</f>
        <v>1.939516891604175E-2</v>
      </c>
      <c r="T127" s="51">
        <f>((R137-P127)/P127)</f>
        <v>-0.43966306166788066</v>
      </c>
      <c r="U127" s="52">
        <f>(L137/R137)</f>
        <v>7.2933337478959135E-3</v>
      </c>
      <c r="V127" s="53">
        <f>M137/R137</f>
        <v>-3.8663970734279629E-2</v>
      </c>
      <c r="W127" s="54">
        <f>R137/AE137</f>
        <v>15.603702229020575</v>
      </c>
      <c r="X127" s="54">
        <f>M137/AE137</f>
        <v>-0.60330108632926527</v>
      </c>
      <c r="Y127" s="65">
        <v>1.34</v>
      </c>
      <c r="Z127" s="65">
        <v>1.36</v>
      </c>
      <c r="AA127" s="64">
        <v>1330</v>
      </c>
      <c r="AB127" s="64">
        <v>768891429</v>
      </c>
      <c r="AC127" s="64">
        <v>182711</v>
      </c>
      <c r="AD127" s="64">
        <v>18321</v>
      </c>
      <c r="AE127" s="64">
        <v>769055818</v>
      </c>
      <c r="AF127" s="5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  <c r="AQ127" s="17"/>
      <c r="AR127" s="17"/>
      <c r="AS127" s="17"/>
      <c r="AT127" s="17"/>
      <c r="AU127" s="17"/>
      <c r="AV127" s="17"/>
      <c r="AW127" s="17"/>
      <c r="AX127" s="17"/>
      <c r="AY127" s="17"/>
      <c r="AZ127" s="17"/>
      <c r="BA127" s="17"/>
      <c r="BB127" s="17"/>
      <c r="BC127" s="17"/>
      <c r="BD127" s="17"/>
      <c r="BE127" s="17"/>
      <c r="BF127" s="17"/>
      <c r="BG127" s="17"/>
      <c r="BH127" s="17"/>
      <c r="BI127" s="17"/>
      <c r="BJ127" s="17"/>
      <c r="BK127" s="17"/>
      <c r="BL127" s="17"/>
      <c r="BM127" s="17"/>
      <c r="BN127" s="17"/>
      <c r="BO127" s="17"/>
      <c r="BP127" s="17"/>
      <c r="BQ127" s="17"/>
      <c r="BR127" s="17"/>
      <c r="BS127" s="17"/>
      <c r="BT127" s="17"/>
      <c r="BU127" s="17"/>
      <c r="BV127" s="17"/>
      <c r="BW127" s="17"/>
      <c r="BX127" s="17"/>
      <c r="BY127" s="17"/>
      <c r="BZ127" s="17"/>
      <c r="CA127" s="17"/>
      <c r="CB127" s="17"/>
      <c r="CC127" s="17"/>
      <c r="CD127" s="17"/>
      <c r="CE127" s="17"/>
      <c r="CF127" s="17"/>
      <c r="CG127" s="17"/>
      <c r="CH127" s="17"/>
      <c r="CI127" s="17"/>
      <c r="CJ127" s="17"/>
      <c r="CK127" s="17"/>
      <c r="CL127" s="17"/>
      <c r="CM127" s="17"/>
      <c r="CN127" s="17"/>
      <c r="CO127" s="17"/>
      <c r="CP127" s="17"/>
      <c r="CQ127" s="17"/>
      <c r="CR127" s="17"/>
      <c r="CS127" s="17"/>
      <c r="CT127" s="17"/>
      <c r="CU127" s="17"/>
      <c r="CV127" s="17"/>
      <c r="CW127" s="17"/>
      <c r="CX127" s="17"/>
      <c r="CY127" s="17"/>
      <c r="CZ127" s="17"/>
      <c r="DA127" s="17"/>
      <c r="DB127" s="17"/>
      <c r="DC127" s="17"/>
      <c r="DD127" s="17"/>
      <c r="DE127" s="17"/>
      <c r="DF127" s="17"/>
      <c r="DG127" s="17"/>
      <c r="DH127" s="17"/>
      <c r="DI127" s="17"/>
      <c r="DJ127" s="17"/>
      <c r="DK127" s="17"/>
      <c r="DL127" s="17"/>
      <c r="DM127" s="17"/>
      <c r="DN127" s="17"/>
      <c r="DO127" s="17"/>
      <c r="DP127" s="17"/>
      <c r="DQ127" s="17"/>
      <c r="DR127" s="17"/>
      <c r="DS127" s="17"/>
      <c r="DT127" s="17"/>
      <c r="DU127" s="17"/>
      <c r="DV127" s="17"/>
      <c r="DW127" s="17"/>
      <c r="DX127" s="17"/>
      <c r="DY127" s="17"/>
      <c r="DZ127" s="17"/>
      <c r="EA127" s="17"/>
      <c r="EB127" s="17"/>
      <c r="EC127" s="17"/>
      <c r="ED127" s="17"/>
      <c r="EE127" s="17"/>
      <c r="EF127" s="17"/>
      <c r="EG127" s="17"/>
      <c r="EH127" s="17"/>
      <c r="EI127" s="17"/>
      <c r="EJ127" s="17"/>
      <c r="EK127" s="17"/>
      <c r="EL127" s="17"/>
      <c r="EM127" s="17"/>
      <c r="EN127" s="17"/>
      <c r="EO127" s="17"/>
      <c r="EP127" s="17"/>
      <c r="EQ127" s="17"/>
      <c r="ER127" s="17"/>
      <c r="ES127" s="17"/>
      <c r="ET127" s="17"/>
      <c r="EU127" s="17"/>
      <c r="EV127" s="17"/>
      <c r="EW127" s="17"/>
      <c r="EX127" s="17"/>
      <c r="EY127" s="17"/>
      <c r="EZ127" s="17"/>
      <c r="FA127" s="17"/>
      <c r="FB127" s="17"/>
      <c r="FC127" s="17"/>
      <c r="FD127" s="17"/>
      <c r="FE127" s="17"/>
      <c r="FF127" s="17"/>
      <c r="FG127" s="17"/>
      <c r="FH127" s="17"/>
      <c r="FI127" s="17"/>
      <c r="FJ127" s="17"/>
      <c r="FK127" s="17"/>
      <c r="FL127" s="17"/>
      <c r="FM127" s="17"/>
      <c r="FN127" s="17"/>
      <c r="FO127" s="17"/>
      <c r="FP127" s="17"/>
      <c r="FQ127" s="17"/>
      <c r="FR127" s="17"/>
      <c r="FS127" s="17"/>
      <c r="FT127" s="17"/>
      <c r="FU127" s="17"/>
      <c r="FV127" s="17"/>
      <c r="FW127" s="17"/>
      <c r="FX127" s="17"/>
      <c r="FY127" s="17"/>
      <c r="FZ127" s="17"/>
      <c r="GA127" s="17"/>
      <c r="GB127" s="17"/>
      <c r="GC127" s="17"/>
      <c r="GD127" s="17"/>
      <c r="GE127" s="17"/>
      <c r="GF127" s="17"/>
      <c r="GG127" s="17"/>
      <c r="GH127" s="17"/>
      <c r="GI127" s="17"/>
      <c r="GJ127" s="17"/>
      <c r="GK127" s="17"/>
      <c r="GL127" s="17"/>
      <c r="GM127" s="17"/>
      <c r="GN127" s="17"/>
      <c r="GO127" s="17"/>
      <c r="GP127" s="17"/>
      <c r="GQ127" s="17"/>
      <c r="GR127" s="17"/>
      <c r="GS127" s="17"/>
      <c r="GT127" s="17"/>
      <c r="GU127" s="17"/>
      <c r="GV127" s="17"/>
      <c r="GW127" s="17"/>
      <c r="GX127" s="17"/>
      <c r="GY127" s="17"/>
      <c r="GZ127" s="17"/>
      <c r="HA127" s="17"/>
      <c r="HB127" s="17"/>
      <c r="HC127" s="17"/>
      <c r="HD127" s="17"/>
      <c r="HE127" s="17"/>
      <c r="HF127" s="17"/>
      <c r="HG127" s="17"/>
      <c r="HH127" s="17"/>
      <c r="HI127" s="17"/>
      <c r="HJ127" s="17"/>
      <c r="HK127" s="17"/>
      <c r="HL127" s="17"/>
      <c r="HM127" s="17"/>
      <c r="HN127" s="17"/>
      <c r="HO127" s="17"/>
      <c r="HP127" s="17"/>
      <c r="HQ127" s="17"/>
      <c r="HR127" s="17"/>
      <c r="HS127" s="17"/>
      <c r="HT127" s="17"/>
      <c r="HU127" s="17"/>
      <c r="HV127" s="17"/>
      <c r="HW127" s="17"/>
      <c r="HX127" s="17"/>
      <c r="HY127" s="17"/>
      <c r="HZ127" s="17"/>
      <c r="IA127" s="17"/>
      <c r="IB127" s="17"/>
      <c r="IC127" s="17"/>
      <c r="ID127" s="17"/>
      <c r="IE127" s="17"/>
      <c r="IF127" s="17"/>
      <c r="IG127" s="17"/>
    </row>
    <row r="128" spans="1:241" ht="16.5" customHeight="1" x14ac:dyDescent="0.25">
      <c r="A128" s="41">
        <v>112</v>
      </c>
      <c r="B128" s="95" t="s">
        <v>133</v>
      </c>
      <c r="C128" s="42" t="s">
        <v>87</v>
      </c>
      <c r="D128" s="65">
        <v>2736111957.0500002</v>
      </c>
      <c r="E128" s="65"/>
      <c r="F128" s="65">
        <f>177460613.2+786955881.98</f>
        <v>964416495.18000007</v>
      </c>
      <c r="G128" s="65">
        <v>1030363891.17</v>
      </c>
      <c r="H128" s="102"/>
      <c r="I128" s="103"/>
      <c r="J128" s="103">
        <v>3949141942.4299998</v>
      </c>
      <c r="K128" s="103">
        <v>33806342.890000001</v>
      </c>
      <c r="L128" s="65">
        <v>6892129.1699999999</v>
      </c>
      <c r="M128" s="115">
        <v>-83301905.790000007</v>
      </c>
      <c r="N128" s="65">
        <v>4757300723.8299999</v>
      </c>
      <c r="O128" s="65">
        <v>17638758.199999999</v>
      </c>
      <c r="P128" s="98">
        <v>4820075875.1499996</v>
      </c>
      <c r="Q128" s="50">
        <f t="shared" si="43"/>
        <v>3.545067401694117E-3</v>
      </c>
      <c r="R128" s="98">
        <v>4739661965.6300001</v>
      </c>
      <c r="S128" s="50">
        <f>(R128/$R$133)</f>
        <v>0.15798515490415793</v>
      </c>
      <c r="T128" s="51">
        <f>((R128-P128)/P128)</f>
        <v>-1.6683121096614902E-2</v>
      </c>
      <c r="U128" s="52">
        <f>(L128/R128)</f>
        <v>1.4541393922137846E-3</v>
      </c>
      <c r="V128" s="53">
        <f>M128/R128</f>
        <v>-1.7575495128992272E-2</v>
      </c>
      <c r="W128" s="54">
        <f>R128/AE128</f>
        <v>191.13265772784891</v>
      </c>
      <c r="X128" s="54">
        <f>M128/AE128</f>
        <v>-3.3592510948871555</v>
      </c>
      <c r="Y128" s="65">
        <v>188.81559999999999</v>
      </c>
      <c r="Z128" s="65">
        <v>188.81559999999999</v>
      </c>
      <c r="AA128" s="64">
        <v>27</v>
      </c>
      <c r="AB128" s="64">
        <v>24797761</v>
      </c>
      <c r="AC128" s="64">
        <v>0</v>
      </c>
      <c r="AD128" s="64">
        <v>0</v>
      </c>
      <c r="AE128" s="65">
        <v>24797761</v>
      </c>
      <c r="AF128" s="5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  <c r="AT128" s="17"/>
      <c r="AU128" s="17"/>
      <c r="AV128" s="17"/>
      <c r="AW128" s="17"/>
      <c r="AX128" s="17"/>
      <c r="AY128" s="17"/>
      <c r="AZ128" s="17"/>
      <c r="BA128" s="17"/>
      <c r="BB128" s="17"/>
      <c r="BC128" s="17"/>
      <c r="BD128" s="17"/>
      <c r="BE128" s="17"/>
      <c r="BF128" s="17"/>
      <c r="BG128" s="17"/>
      <c r="BH128" s="17"/>
      <c r="BI128" s="17"/>
      <c r="BJ128" s="17"/>
      <c r="BK128" s="17"/>
      <c r="BL128" s="17"/>
      <c r="BM128" s="17"/>
      <c r="BN128" s="17"/>
      <c r="BO128" s="17"/>
      <c r="BP128" s="17"/>
      <c r="BQ128" s="17"/>
      <c r="BR128" s="17"/>
      <c r="BS128" s="17"/>
      <c r="BT128" s="17"/>
      <c r="BU128" s="17"/>
      <c r="BV128" s="17"/>
      <c r="BW128" s="17"/>
      <c r="BX128" s="17"/>
      <c r="BY128" s="17"/>
      <c r="BZ128" s="17"/>
      <c r="CA128" s="17"/>
      <c r="CB128" s="17"/>
      <c r="CC128" s="17"/>
      <c r="CD128" s="17"/>
      <c r="CE128" s="17"/>
      <c r="CF128" s="17"/>
      <c r="CG128" s="17"/>
      <c r="CH128" s="17"/>
      <c r="CI128" s="17"/>
      <c r="CJ128" s="17"/>
      <c r="CK128" s="17"/>
      <c r="CL128" s="17"/>
      <c r="CM128" s="17"/>
      <c r="CN128" s="17"/>
      <c r="CO128" s="17"/>
      <c r="CP128" s="17"/>
      <c r="CQ128" s="17"/>
      <c r="CR128" s="17"/>
      <c r="CS128" s="17"/>
      <c r="CT128" s="17"/>
      <c r="CU128" s="17"/>
      <c r="CV128" s="17"/>
      <c r="CW128" s="17"/>
      <c r="CX128" s="17"/>
      <c r="CY128" s="17"/>
      <c r="CZ128" s="17"/>
      <c r="DA128" s="17"/>
      <c r="DB128" s="17"/>
      <c r="DC128" s="17"/>
      <c r="DD128" s="17"/>
      <c r="DE128" s="17"/>
      <c r="DF128" s="17"/>
      <c r="DG128" s="17"/>
      <c r="DH128" s="17"/>
      <c r="DI128" s="17"/>
      <c r="DJ128" s="17"/>
      <c r="DK128" s="17"/>
      <c r="DL128" s="17"/>
      <c r="DM128" s="17"/>
      <c r="DN128" s="17"/>
      <c r="DO128" s="17"/>
      <c r="DP128" s="17"/>
      <c r="DQ128" s="17"/>
      <c r="DR128" s="17"/>
      <c r="DS128" s="17"/>
      <c r="DT128" s="17"/>
      <c r="DU128" s="17"/>
      <c r="DV128" s="17"/>
      <c r="DW128" s="17"/>
      <c r="DX128" s="17"/>
      <c r="DY128" s="17"/>
      <c r="DZ128" s="17"/>
      <c r="EA128" s="17"/>
      <c r="EB128" s="17"/>
      <c r="EC128" s="17"/>
      <c r="ED128" s="17"/>
      <c r="EE128" s="17"/>
      <c r="EF128" s="17"/>
      <c r="EG128" s="17"/>
      <c r="EH128" s="17"/>
      <c r="EI128" s="17"/>
      <c r="EJ128" s="17"/>
      <c r="EK128" s="17"/>
      <c r="EL128" s="17"/>
      <c r="EM128" s="17"/>
      <c r="EN128" s="17"/>
      <c r="EO128" s="17"/>
      <c r="EP128" s="17"/>
      <c r="EQ128" s="17"/>
      <c r="ER128" s="17"/>
      <c r="ES128" s="17"/>
      <c r="ET128" s="17"/>
      <c r="EU128" s="17"/>
      <c r="EV128" s="17"/>
      <c r="EW128" s="17"/>
      <c r="EX128" s="17"/>
      <c r="EY128" s="17"/>
      <c r="EZ128" s="17"/>
      <c r="FA128" s="17"/>
      <c r="FB128" s="17"/>
      <c r="FC128" s="17"/>
      <c r="FD128" s="17"/>
      <c r="FE128" s="17"/>
      <c r="FF128" s="17"/>
      <c r="FG128" s="17"/>
      <c r="FH128" s="17"/>
      <c r="FI128" s="17"/>
      <c r="FJ128" s="17"/>
      <c r="FK128" s="17"/>
      <c r="FL128" s="17"/>
      <c r="FM128" s="17"/>
      <c r="FN128" s="17"/>
      <c r="FO128" s="17"/>
      <c r="FP128" s="17"/>
      <c r="FQ128" s="17"/>
      <c r="FR128" s="17"/>
      <c r="FS128" s="17"/>
      <c r="FT128" s="17"/>
      <c r="FU128" s="17"/>
      <c r="FV128" s="17"/>
      <c r="FW128" s="17"/>
      <c r="FX128" s="17"/>
      <c r="FY128" s="17"/>
      <c r="FZ128" s="17"/>
      <c r="GA128" s="17"/>
      <c r="GB128" s="17"/>
      <c r="GC128" s="17"/>
      <c r="GD128" s="17"/>
      <c r="GE128" s="17"/>
      <c r="GF128" s="17"/>
      <c r="GG128" s="17"/>
      <c r="GH128" s="17"/>
      <c r="GI128" s="17"/>
      <c r="GJ128" s="17"/>
      <c r="GK128" s="17"/>
      <c r="GL128" s="17"/>
      <c r="GM128" s="17"/>
      <c r="GN128" s="17"/>
      <c r="GO128" s="17"/>
      <c r="GP128" s="17"/>
      <c r="GQ128" s="17"/>
      <c r="GR128" s="17"/>
      <c r="GS128" s="17"/>
      <c r="GT128" s="17"/>
      <c r="GU128" s="17"/>
      <c r="GV128" s="17"/>
      <c r="GW128" s="17"/>
      <c r="GX128" s="17"/>
      <c r="GY128" s="17"/>
      <c r="GZ128" s="17"/>
      <c r="HA128" s="17"/>
      <c r="HB128" s="17"/>
      <c r="HC128" s="17"/>
      <c r="HD128" s="17"/>
      <c r="HE128" s="17"/>
      <c r="HF128" s="17"/>
      <c r="HG128" s="17"/>
      <c r="HH128" s="17"/>
      <c r="HI128" s="17"/>
      <c r="HJ128" s="17"/>
      <c r="HK128" s="17"/>
      <c r="HL128" s="17"/>
      <c r="HM128" s="17"/>
      <c r="HN128" s="17"/>
      <c r="HO128" s="17"/>
      <c r="HP128" s="17"/>
      <c r="HQ128" s="17"/>
      <c r="HR128" s="17"/>
      <c r="HS128" s="17"/>
      <c r="HT128" s="17"/>
      <c r="HU128" s="17"/>
      <c r="HV128" s="17"/>
      <c r="HW128" s="17"/>
      <c r="HX128" s="17"/>
      <c r="HY128" s="17"/>
      <c r="HZ128" s="17"/>
      <c r="IA128" s="17"/>
      <c r="IB128" s="17"/>
      <c r="IC128" s="17"/>
      <c r="ID128" s="17"/>
      <c r="IE128" s="17"/>
      <c r="IF128" s="17"/>
      <c r="IG128" s="17"/>
    </row>
    <row r="129" spans="1:241" s="34" customFormat="1" ht="17.25" customHeight="1" x14ac:dyDescent="0.25">
      <c r="A129" s="41">
        <v>113</v>
      </c>
      <c r="B129" s="92" t="s">
        <v>137</v>
      </c>
      <c r="C129" s="56" t="s">
        <v>44</v>
      </c>
      <c r="D129" s="65">
        <v>878755710.39999998</v>
      </c>
      <c r="E129" s="65"/>
      <c r="F129" s="65">
        <v>739090621.25</v>
      </c>
      <c r="G129" s="65">
        <v>504608559.00999999</v>
      </c>
      <c r="H129" s="102"/>
      <c r="I129" s="103"/>
      <c r="J129" s="103">
        <v>2122454890.6600001</v>
      </c>
      <c r="K129" s="103">
        <v>13774009.92</v>
      </c>
      <c r="L129" s="65">
        <v>5533612.2999999998</v>
      </c>
      <c r="M129" s="47">
        <v>-61280217.090000004</v>
      </c>
      <c r="N129" s="65">
        <v>2131278584.98</v>
      </c>
      <c r="O129" s="65">
        <v>89188575.640000001</v>
      </c>
      <c r="P129" s="98">
        <v>2028400272.23</v>
      </c>
      <c r="Q129" s="50">
        <f t="shared" si="43"/>
        <v>1.4918469893269615E-3</v>
      </c>
      <c r="R129" s="98">
        <v>2042090009.3399999</v>
      </c>
      <c r="S129" s="50">
        <f>(R129/$R$133)</f>
        <v>6.8068125700380039E-2</v>
      </c>
      <c r="T129" s="51">
        <f>((R129-P129)/P129)</f>
        <v>6.7490313906088933E-3</v>
      </c>
      <c r="U129" s="52">
        <f>(L129/R129)</f>
        <v>2.709778841623369E-3</v>
      </c>
      <c r="V129" s="53">
        <f ca="1">V129/R129</f>
        <v>0</v>
      </c>
      <c r="W129" s="54">
        <f>R129/AE129</f>
        <v>2.771625000548454</v>
      </c>
      <c r="X129" s="54">
        <f>M129/AE129</f>
        <v>-8.3172524692275693E-2</v>
      </c>
      <c r="Y129" s="65">
        <v>2.94</v>
      </c>
      <c r="Z129" s="65">
        <v>2.99</v>
      </c>
      <c r="AA129" s="64">
        <v>2070</v>
      </c>
      <c r="AB129" s="64">
        <v>2042090009.3399999</v>
      </c>
      <c r="AC129" s="64">
        <v>36733000</v>
      </c>
      <c r="AD129" s="64">
        <v>605017.39</v>
      </c>
      <c r="AE129" s="65">
        <v>736784380.62</v>
      </c>
      <c r="AF129" s="33"/>
      <c r="AG129" s="23"/>
      <c r="AH129" s="23"/>
      <c r="AI129" s="23"/>
      <c r="AJ129" s="23"/>
      <c r="AK129" s="23"/>
      <c r="AL129" s="23"/>
      <c r="AM129" s="23"/>
      <c r="AN129" s="23"/>
      <c r="AO129" s="23"/>
      <c r="AP129" s="23"/>
      <c r="AQ129" s="23"/>
      <c r="AR129" s="23"/>
      <c r="AS129" s="23"/>
      <c r="AT129" s="23"/>
      <c r="AU129" s="23"/>
      <c r="AV129" s="23"/>
      <c r="AW129" s="23"/>
      <c r="AX129" s="23"/>
      <c r="AY129" s="23"/>
      <c r="AZ129" s="23"/>
      <c r="BA129" s="23"/>
      <c r="BB129" s="23"/>
      <c r="BC129" s="23"/>
      <c r="BD129" s="23"/>
      <c r="BE129" s="23"/>
      <c r="BF129" s="23"/>
      <c r="BG129" s="23"/>
      <c r="BH129" s="23"/>
      <c r="BI129" s="23"/>
      <c r="BJ129" s="23"/>
      <c r="BK129" s="23"/>
      <c r="BL129" s="23"/>
      <c r="BM129" s="23"/>
      <c r="BN129" s="23"/>
      <c r="BO129" s="23"/>
      <c r="BP129" s="23"/>
      <c r="BQ129" s="23"/>
      <c r="BR129" s="23"/>
      <c r="BS129" s="23"/>
      <c r="BT129" s="23"/>
      <c r="BU129" s="23"/>
      <c r="BV129" s="23"/>
      <c r="BW129" s="23"/>
      <c r="BX129" s="23"/>
      <c r="BY129" s="23"/>
      <c r="BZ129" s="23"/>
      <c r="CA129" s="23"/>
      <c r="CB129" s="23"/>
      <c r="CC129" s="23"/>
      <c r="CD129" s="23"/>
      <c r="CE129" s="23"/>
      <c r="CF129" s="23"/>
      <c r="CG129" s="23"/>
      <c r="CH129" s="23"/>
      <c r="CI129" s="23"/>
      <c r="CJ129" s="23"/>
      <c r="CK129" s="23"/>
      <c r="CL129" s="23"/>
      <c r="CM129" s="23"/>
      <c r="CN129" s="23"/>
      <c r="CO129" s="23"/>
      <c r="CP129" s="23"/>
      <c r="CQ129" s="23"/>
      <c r="CR129" s="23"/>
      <c r="CS129" s="23"/>
      <c r="CT129" s="23"/>
      <c r="CU129" s="23"/>
      <c r="CV129" s="23"/>
      <c r="CW129" s="23"/>
      <c r="CX129" s="23"/>
      <c r="CY129" s="23"/>
      <c r="CZ129" s="23"/>
      <c r="DA129" s="23"/>
      <c r="DB129" s="23"/>
      <c r="DC129" s="23"/>
      <c r="DD129" s="23"/>
      <c r="DE129" s="23"/>
      <c r="DF129" s="23"/>
      <c r="DG129" s="23"/>
      <c r="DH129" s="23"/>
      <c r="DI129" s="23"/>
      <c r="DJ129" s="23"/>
      <c r="DK129" s="23"/>
      <c r="DL129" s="23"/>
      <c r="DM129" s="23"/>
      <c r="DN129" s="23"/>
      <c r="DO129" s="23"/>
      <c r="DP129" s="23"/>
      <c r="DQ129" s="23"/>
      <c r="DR129" s="23"/>
      <c r="DS129" s="23"/>
      <c r="DT129" s="23"/>
      <c r="DU129" s="23"/>
      <c r="DV129" s="23"/>
      <c r="DW129" s="23"/>
      <c r="DX129" s="23"/>
      <c r="DY129" s="23"/>
      <c r="DZ129" s="23"/>
      <c r="EA129" s="23"/>
      <c r="EB129" s="23"/>
      <c r="EC129" s="23"/>
      <c r="ED129" s="23"/>
      <c r="EE129" s="23"/>
      <c r="EF129" s="23"/>
      <c r="EG129" s="23"/>
      <c r="EH129" s="23"/>
      <c r="EI129" s="23"/>
      <c r="EJ129" s="23"/>
      <c r="EK129" s="23"/>
      <c r="EL129" s="23"/>
      <c r="EM129" s="23"/>
      <c r="EN129" s="23"/>
      <c r="EO129" s="23"/>
      <c r="EP129" s="23"/>
      <c r="EQ129" s="23"/>
      <c r="ER129" s="23"/>
      <c r="ES129" s="23"/>
      <c r="ET129" s="23"/>
      <c r="EU129" s="23"/>
      <c r="EV129" s="23"/>
      <c r="EW129" s="23"/>
      <c r="EX129" s="23"/>
      <c r="EY129" s="23"/>
      <c r="EZ129" s="23"/>
      <c r="FA129" s="23"/>
      <c r="FB129" s="23"/>
      <c r="FC129" s="23"/>
      <c r="FD129" s="23"/>
      <c r="FE129" s="23"/>
      <c r="FF129" s="23"/>
      <c r="FG129" s="23"/>
      <c r="FH129" s="23"/>
      <c r="FI129" s="23"/>
      <c r="FJ129" s="23"/>
      <c r="FK129" s="23"/>
      <c r="FL129" s="23"/>
      <c r="FM129" s="23"/>
      <c r="FN129" s="23"/>
      <c r="FO129" s="23"/>
      <c r="FP129" s="23"/>
      <c r="FQ129" s="23"/>
      <c r="FR129" s="23"/>
      <c r="FS129" s="23"/>
      <c r="FT129" s="23"/>
      <c r="FU129" s="23"/>
      <c r="FV129" s="23"/>
      <c r="FW129" s="23"/>
      <c r="FX129" s="23"/>
      <c r="FY129" s="23"/>
      <c r="FZ129" s="23"/>
      <c r="GA129" s="23"/>
      <c r="GB129" s="23"/>
      <c r="GC129" s="23"/>
      <c r="GD129" s="23"/>
      <c r="GE129" s="23"/>
      <c r="GF129" s="23"/>
      <c r="GG129" s="23"/>
      <c r="GH129" s="23"/>
      <c r="GI129" s="23"/>
      <c r="GJ129" s="23"/>
      <c r="GK129" s="23"/>
      <c r="GL129" s="23"/>
      <c r="GM129" s="23"/>
      <c r="GN129" s="23"/>
      <c r="GO129" s="23"/>
      <c r="GP129" s="23"/>
      <c r="GQ129" s="23"/>
      <c r="GR129" s="23"/>
      <c r="GS129" s="23"/>
      <c r="GT129" s="23"/>
      <c r="GU129" s="23"/>
      <c r="GV129" s="23"/>
      <c r="GW129" s="23"/>
      <c r="GX129" s="23"/>
      <c r="GY129" s="23"/>
      <c r="GZ129" s="23"/>
      <c r="HA129" s="23"/>
      <c r="HB129" s="23"/>
      <c r="HC129" s="23"/>
      <c r="HD129" s="23"/>
      <c r="HE129" s="23"/>
      <c r="HF129" s="23"/>
      <c r="HG129" s="23"/>
      <c r="HH129" s="23"/>
      <c r="HI129" s="23"/>
      <c r="HJ129" s="23"/>
      <c r="HK129" s="23"/>
      <c r="HL129" s="23"/>
      <c r="HM129" s="23"/>
      <c r="HN129" s="23"/>
      <c r="HO129" s="23"/>
      <c r="HP129" s="23"/>
      <c r="HQ129" s="23"/>
      <c r="HR129" s="23"/>
      <c r="HS129" s="23"/>
      <c r="HT129" s="23"/>
      <c r="HU129" s="23"/>
      <c r="HV129" s="23"/>
      <c r="HW129" s="23"/>
      <c r="HX129" s="23"/>
      <c r="HY129" s="23"/>
      <c r="HZ129" s="23"/>
      <c r="IA129" s="23"/>
      <c r="IB129" s="23"/>
      <c r="IC129" s="23"/>
      <c r="ID129" s="23"/>
      <c r="IE129" s="23"/>
      <c r="IF129" s="23"/>
      <c r="IG129" s="23"/>
    </row>
    <row r="130" spans="1:241" ht="15.75" customHeight="1" x14ac:dyDescent="0.25">
      <c r="A130" s="41">
        <v>114</v>
      </c>
      <c r="B130" s="42" t="s">
        <v>204</v>
      </c>
      <c r="C130" s="42" t="s">
        <v>33</v>
      </c>
      <c r="D130" s="65">
        <v>241154928</v>
      </c>
      <c r="E130" s="65"/>
      <c r="F130" s="65">
        <f>9752891+396270611</f>
        <v>406023502</v>
      </c>
      <c r="G130" s="65"/>
      <c r="H130" s="102"/>
      <c r="I130" s="103"/>
      <c r="J130" s="103">
        <f>D130+F130</f>
        <v>647178430</v>
      </c>
      <c r="K130" s="103">
        <v>7074431.9199999999</v>
      </c>
      <c r="L130" s="65">
        <v>1205204</v>
      </c>
      <c r="M130" s="47">
        <v>-14024476</v>
      </c>
      <c r="N130" s="65">
        <v>649889714</v>
      </c>
      <c r="O130" s="65">
        <v>19571408</v>
      </c>
      <c r="P130" s="98">
        <v>640035216</v>
      </c>
      <c r="Q130" s="50">
        <f t="shared" si="43"/>
        <v>4.707328346998777E-4</v>
      </c>
      <c r="R130" s="98">
        <v>630318307</v>
      </c>
      <c r="S130" s="50">
        <f>(R130/$R$133)</f>
        <v>2.1010134497447264E-2</v>
      </c>
      <c r="T130" s="51">
        <f>((R130-P130)/P130)</f>
        <v>-1.5181834932032864E-2</v>
      </c>
      <c r="U130" s="52" t="e">
        <f>(#REF!/#REF!)</f>
        <v>#REF!</v>
      </c>
      <c r="V130" s="53" t="e">
        <f>#REF!/#REF!</f>
        <v>#REF!</v>
      </c>
      <c r="W130" s="54" t="e">
        <f>#REF!/#REF!</f>
        <v>#REF!</v>
      </c>
      <c r="X130" s="54" t="e">
        <f>#REF!/#REF!</f>
        <v>#REF!</v>
      </c>
      <c r="Y130" s="65">
        <v>1.1299999999999999</v>
      </c>
      <c r="Z130" s="65">
        <v>1.1499999999999999</v>
      </c>
      <c r="AA130" s="64">
        <v>100</v>
      </c>
      <c r="AB130" s="64">
        <v>554378740</v>
      </c>
      <c r="AC130" s="64">
        <v>1939912</v>
      </c>
      <c r="AD130" s="64">
        <v>534696</v>
      </c>
      <c r="AE130" s="65">
        <v>555783956</v>
      </c>
      <c r="AF130" s="38"/>
      <c r="AG130" s="40"/>
    </row>
    <row r="131" spans="1:241" ht="15.75" customHeight="1" x14ac:dyDescent="0.25">
      <c r="A131" s="41">
        <v>115</v>
      </c>
      <c r="B131" s="42" t="s">
        <v>172</v>
      </c>
      <c r="C131" s="42" t="s">
        <v>29</v>
      </c>
      <c r="D131" s="65">
        <v>108363818.59999999</v>
      </c>
      <c r="E131" s="81"/>
      <c r="F131" s="65">
        <v>31683005.18</v>
      </c>
      <c r="G131" s="65">
        <v>53207395.649999999</v>
      </c>
      <c r="H131" s="102"/>
      <c r="I131" s="103"/>
      <c r="J131" s="103">
        <v>194120297.78999999</v>
      </c>
      <c r="K131" s="103">
        <v>1587203.34</v>
      </c>
      <c r="L131" s="65">
        <v>394369.71</v>
      </c>
      <c r="M131" s="47">
        <v>1192833.6299999999</v>
      </c>
      <c r="N131" s="65">
        <v>194120297.78999999</v>
      </c>
      <c r="O131" s="65">
        <v>1368926.95</v>
      </c>
      <c r="P131" s="98">
        <v>193996584.15000001</v>
      </c>
      <c r="Q131" s="50">
        <f t="shared" si="43"/>
        <v>1.4268052709621976E-4</v>
      </c>
      <c r="R131" s="98">
        <v>192751370.84999999</v>
      </c>
      <c r="S131" s="50">
        <f>(R131/$R$133)</f>
        <v>6.4249002149414577E-3</v>
      </c>
      <c r="T131" s="51">
        <f>((R131-P131)/P131)</f>
        <v>-6.4187382755007743E-3</v>
      </c>
      <c r="U131" s="52">
        <f>(L131/R131)</f>
        <v>2.0460021024021682E-3</v>
      </c>
      <c r="V131" s="53">
        <f>M131/R131</f>
        <v>6.1884573102635341E-3</v>
      </c>
      <c r="W131" s="54">
        <f>R131/AE131</f>
        <v>147.87455022290348</v>
      </c>
      <c r="X131" s="54">
        <f>M131/AE131</f>
        <v>0.91511534132885908</v>
      </c>
      <c r="Y131" s="65">
        <v>146.69999999999999</v>
      </c>
      <c r="Z131" s="65">
        <v>148.49</v>
      </c>
      <c r="AA131" s="64">
        <v>722</v>
      </c>
      <c r="AB131" s="64">
        <v>1309144</v>
      </c>
      <c r="AC131" s="64">
        <v>335</v>
      </c>
      <c r="AD131" s="64">
        <v>6000</v>
      </c>
      <c r="AE131" s="65">
        <v>1303479</v>
      </c>
      <c r="AF131" s="38"/>
    </row>
    <row r="132" spans="1:241" ht="15.75" customHeight="1" x14ac:dyDescent="0.25">
      <c r="A132" s="41">
        <v>116</v>
      </c>
      <c r="B132" s="42" t="s">
        <v>202</v>
      </c>
      <c r="C132" s="42" t="s">
        <v>74</v>
      </c>
      <c r="D132" s="65">
        <v>1075575175.2</v>
      </c>
      <c r="E132" s="65"/>
      <c r="F132" s="65">
        <v>411101775.32999998</v>
      </c>
      <c r="G132" s="65">
        <v>1011693962.88</v>
      </c>
      <c r="H132" s="102"/>
      <c r="I132" s="103"/>
      <c r="J132" s="103">
        <v>2498370913.4099998</v>
      </c>
      <c r="K132" s="103">
        <v>12985650.359999999</v>
      </c>
      <c r="L132" s="65">
        <v>17570339.579999998</v>
      </c>
      <c r="M132" s="47">
        <v>34208715.060000002</v>
      </c>
      <c r="N132" s="65">
        <v>2578714747.1100001</v>
      </c>
      <c r="O132" s="65">
        <v>22014791.27</v>
      </c>
      <c r="P132" s="98">
        <v>2499329225.6700001</v>
      </c>
      <c r="Q132" s="50">
        <f t="shared" si="43"/>
        <v>1.8382056203105697E-3</v>
      </c>
      <c r="R132" s="98">
        <v>2556699955.8400002</v>
      </c>
      <c r="S132" s="50">
        <f>(R132/$R$133)</f>
        <v>8.5221402179289515E-2</v>
      </c>
      <c r="T132" s="51">
        <f>((R132-P132)/P132)</f>
        <v>2.2954450970588156E-2</v>
      </c>
      <c r="U132" s="52">
        <f>(L132/R132)</f>
        <v>6.8722728061483803E-3</v>
      </c>
      <c r="V132" s="53">
        <f>M132/R132</f>
        <v>1.3380027242485236E-2</v>
      </c>
      <c r="W132" s="54">
        <f>R132/AE132</f>
        <v>13.646993158356493</v>
      </c>
      <c r="X132" s="54">
        <f>M132/AE132</f>
        <v>0.1825971402368195</v>
      </c>
      <c r="Y132" s="65">
        <v>13.6471</v>
      </c>
      <c r="Z132" s="65">
        <v>13.7674</v>
      </c>
      <c r="AA132" s="64">
        <v>6353</v>
      </c>
      <c r="AB132" s="65">
        <v>183288754.66</v>
      </c>
      <c r="AC132" s="65">
        <v>4614648.07</v>
      </c>
      <c r="AD132" s="65">
        <v>4614648.07</v>
      </c>
      <c r="AE132" s="65">
        <v>187345294.75999999</v>
      </c>
      <c r="AF132" s="38"/>
    </row>
    <row r="133" spans="1:241" ht="15.75" customHeight="1" x14ac:dyDescent="0.25">
      <c r="A133" s="125"/>
      <c r="C133" s="151" t="s">
        <v>52</v>
      </c>
      <c r="D133" s="81">
        <f>SUM(D111:D132)</f>
        <v>13703994979.210003</v>
      </c>
      <c r="E133" s="81"/>
      <c r="F133" s="81">
        <f>SUM(F111:F132)</f>
        <v>8358894826.4000006</v>
      </c>
      <c r="G133" s="81">
        <f>SUM(G111:G132)</f>
        <v>8079085187.54</v>
      </c>
      <c r="H133" s="81">
        <f>SUM(H111:H132)</f>
        <v>27756074.009999998</v>
      </c>
      <c r="I133" s="81"/>
      <c r="J133" s="81">
        <f t="shared" ref="J133:O133" si="50">SUM(J111:J132)</f>
        <v>26753134649.98</v>
      </c>
      <c r="K133" s="81">
        <f t="shared" si="50"/>
        <v>237801134.56</v>
      </c>
      <c r="L133" s="81">
        <f t="shared" si="50"/>
        <v>76370845.900000006</v>
      </c>
      <c r="M133" s="81">
        <f t="shared" si="50"/>
        <v>-151679129.34</v>
      </c>
      <c r="N133" s="81">
        <f t="shared" si="50"/>
        <v>30575292654.780003</v>
      </c>
      <c r="O133" s="81">
        <f t="shared" si="50"/>
        <v>572776276.61000001</v>
      </c>
      <c r="P133" s="109">
        <f>SUM(P111:P132)</f>
        <v>30087065235.130005</v>
      </c>
      <c r="Q133" s="83">
        <f t="shared" ref="Q133" si="51">(P133/$P$152)</f>
        <v>2.2128422236586572E-2</v>
      </c>
      <c r="R133" s="109">
        <f>SUM(R111:R132)</f>
        <v>30000679294.869999</v>
      </c>
      <c r="S133" s="83">
        <f>(R133/$R$152)</f>
        <v>2.2117037041896322E-2</v>
      </c>
      <c r="T133" s="84">
        <f t="shared" ref="T133" si="52">((R133-P133)/P133)</f>
        <v>-2.8711986225609244E-3</v>
      </c>
      <c r="U133" s="85"/>
      <c r="V133" s="86"/>
      <c r="W133" s="87"/>
      <c r="X133" s="87"/>
      <c r="Y133" s="81"/>
      <c r="Z133" s="81"/>
      <c r="AA133" s="88">
        <f>SUM(AA111:AA132)</f>
        <v>47231</v>
      </c>
      <c r="AB133" s="88"/>
      <c r="AC133" s="88"/>
      <c r="AD133" s="88"/>
      <c r="AE133" s="135"/>
      <c r="AF133" s="38"/>
    </row>
    <row r="134" spans="1:241" ht="15.75" customHeight="1" x14ac:dyDescent="0.25">
      <c r="A134" s="152" t="s">
        <v>140</v>
      </c>
      <c r="B134" s="153"/>
      <c r="C134" s="153"/>
      <c r="D134" s="153"/>
      <c r="E134" s="153"/>
      <c r="F134" s="153"/>
      <c r="G134" s="153"/>
      <c r="H134" s="153"/>
      <c r="I134" s="153"/>
      <c r="J134" s="153"/>
      <c r="K134" s="153"/>
      <c r="L134" s="153"/>
      <c r="M134" s="153"/>
      <c r="N134" s="153"/>
      <c r="O134" s="153"/>
      <c r="P134" s="153"/>
      <c r="Q134" s="153"/>
      <c r="R134" s="153"/>
      <c r="S134" s="153"/>
      <c r="T134" s="153"/>
      <c r="U134" s="153"/>
      <c r="V134" s="153"/>
      <c r="W134" s="153"/>
      <c r="X134" s="153"/>
      <c r="Y134" s="153"/>
      <c r="Z134" s="153"/>
      <c r="AA134" s="153"/>
      <c r="AB134" s="153"/>
      <c r="AC134" s="153"/>
      <c r="AD134" s="153"/>
      <c r="AE134" s="154"/>
      <c r="AF134" s="38"/>
    </row>
    <row r="135" spans="1:241" ht="15.75" customHeight="1" x14ac:dyDescent="0.25">
      <c r="A135" s="41">
        <v>117</v>
      </c>
      <c r="B135" s="56" t="s">
        <v>142</v>
      </c>
      <c r="C135" s="56" t="s">
        <v>35</v>
      </c>
      <c r="D135" s="65">
        <v>205941745</v>
      </c>
      <c r="E135" s="65"/>
      <c r="F135" s="65"/>
      <c r="G135" s="65">
        <v>151451208.59</v>
      </c>
      <c r="H135" s="48">
        <v>1001837.1</v>
      </c>
      <c r="I135" s="65"/>
      <c r="J135" s="65">
        <v>358394790.69</v>
      </c>
      <c r="K135" s="65">
        <v>4592702.01</v>
      </c>
      <c r="L135" s="48">
        <v>1961261.79</v>
      </c>
      <c r="M135" s="47">
        <v>-11597046.220000001</v>
      </c>
      <c r="N135" s="65">
        <v>569790118</v>
      </c>
      <c r="O135" s="65">
        <v>6585273</v>
      </c>
      <c r="P135" s="73">
        <v>552861552</v>
      </c>
      <c r="Q135" s="50">
        <f>(P135/$P$138)</f>
        <v>0.18985489776901504</v>
      </c>
      <c r="R135" s="73">
        <v>563204845</v>
      </c>
      <c r="S135" s="50">
        <f>(R135/$R$138)</f>
        <v>0.19325768709601496</v>
      </c>
      <c r="T135" s="51">
        <f>((R135-P135)/P135)</f>
        <v>1.8708649502904844E-2</v>
      </c>
      <c r="U135" s="52">
        <f>(L135/R135)</f>
        <v>3.482324073401748E-3</v>
      </c>
      <c r="V135" s="53">
        <f>M135/R135</f>
        <v>-2.0591169133141959E-2</v>
      </c>
      <c r="W135" s="54">
        <f>R135/AE135</f>
        <v>42.540809972471074</v>
      </c>
      <c r="X135" s="54">
        <f>M135/AE135</f>
        <v>-0.87596501320400399</v>
      </c>
      <c r="Y135" s="65">
        <v>42.328099999999999</v>
      </c>
      <c r="Z135" s="65">
        <v>43.604300000000002</v>
      </c>
      <c r="AA135" s="64">
        <v>207</v>
      </c>
      <c r="AB135" s="64">
        <v>12744686</v>
      </c>
      <c r="AC135" s="64">
        <v>831945</v>
      </c>
      <c r="AD135" s="64">
        <v>337465</v>
      </c>
      <c r="AE135" s="65">
        <v>13239166</v>
      </c>
      <c r="AF135" s="38"/>
    </row>
    <row r="136" spans="1:241" ht="15.75" customHeight="1" x14ac:dyDescent="0.25">
      <c r="A136" s="41">
        <v>118</v>
      </c>
      <c r="B136" s="56" t="s">
        <v>141</v>
      </c>
      <c r="C136" s="42" t="s">
        <v>23</v>
      </c>
      <c r="D136" s="65">
        <v>1191492207.0999999</v>
      </c>
      <c r="E136" s="65"/>
      <c r="F136" s="65">
        <v>569481731.40999997</v>
      </c>
      <c r="G136" s="65">
        <v>1205112439.1400001</v>
      </c>
      <c r="H136" s="102"/>
      <c r="I136" s="65"/>
      <c r="J136" s="65">
        <v>1774594170.55</v>
      </c>
      <c r="K136" s="65">
        <v>10459214.82</v>
      </c>
      <c r="L136" s="65">
        <v>5746756.7699999996</v>
      </c>
      <c r="M136" s="47">
        <v>-42734460.350000001</v>
      </c>
      <c r="N136" s="65">
        <v>1782627234.04</v>
      </c>
      <c r="O136" s="65">
        <v>13431536.380000001</v>
      </c>
      <c r="P136" s="73">
        <v>1762386387.6700001</v>
      </c>
      <c r="Q136" s="50">
        <f>(P136/$P$138)</f>
        <v>0.60521062868302256</v>
      </c>
      <c r="R136" s="73">
        <v>1769195697.6600001</v>
      </c>
      <c r="S136" s="50">
        <f>(R136/$R$138)</f>
        <v>0.60708048161409578</v>
      </c>
      <c r="T136" s="51">
        <f>((R136-P136)/P136)</f>
        <v>3.8636873489487178E-3</v>
      </c>
      <c r="U136" s="52">
        <f>(L136/R136)</f>
        <v>3.2482312598888074E-3</v>
      </c>
      <c r="V136" s="53">
        <f>M136/R136</f>
        <v>-2.4154739018708946E-2</v>
      </c>
      <c r="W136" s="54">
        <f>R136/AE136</f>
        <v>1.4134006971153621</v>
      </c>
      <c r="X136" s="54">
        <f>M136/AE136</f>
        <v>-3.4140324967682864E-2</v>
      </c>
      <c r="Y136" s="65">
        <v>1.4</v>
      </c>
      <c r="Z136" s="65">
        <v>1.42</v>
      </c>
      <c r="AA136" s="64">
        <v>9500</v>
      </c>
      <c r="AB136" s="64">
        <v>1217559515.8099999</v>
      </c>
      <c r="AC136" s="64">
        <v>42960039.659999996</v>
      </c>
      <c r="AD136" s="64">
        <v>8789808.0199999996</v>
      </c>
      <c r="AE136" s="45">
        <v>1251729747.46</v>
      </c>
      <c r="AF136" s="38"/>
    </row>
    <row r="137" spans="1:241" ht="15.75" customHeight="1" x14ac:dyDescent="0.25">
      <c r="A137" s="41">
        <v>119</v>
      </c>
      <c r="B137" s="56" t="s">
        <v>201</v>
      </c>
      <c r="C137" s="42" t="s">
        <v>74</v>
      </c>
      <c r="D137" s="65">
        <v>263439487.80000001</v>
      </c>
      <c r="E137" s="65"/>
      <c r="F137" s="90"/>
      <c r="G137" s="65">
        <v>250442204.25999999</v>
      </c>
      <c r="H137" s="102"/>
      <c r="I137" s="65"/>
      <c r="J137" s="65">
        <v>581460138.35000002</v>
      </c>
      <c r="K137" s="65">
        <v>2981293.47</v>
      </c>
      <c r="L137" s="48">
        <v>4243759.29</v>
      </c>
      <c r="M137" s="47">
        <v>-22497336.699999999</v>
      </c>
      <c r="N137" s="65">
        <v>587166284.38</v>
      </c>
      <c r="O137" s="65">
        <v>5298041.8600000003</v>
      </c>
      <c r="P137" s="73">
        <v>596773601.5</v>
      </c>
      <c r="Q137" s="50">
        <f>(P137/$P$138)</f>
        <v>0.20493447354796238</v>
      </c>
      <c r="R137" s="73">
        <v>581868242.51999998</v>
      </c>
      <c r="S137" s="50">
        <f>(R137/$R$138)</f>
        <v>0.19966183128988937</v>
      </c>
      <c r="T137" s="51">
        <f>((R137-P137)/P137)</f>
        <v>-2.497657225878484E-2</v>
      </c>
      <c r="U137" s="52">
        <f>(L137/R137)</f>
        <v>7.2933337478959135E-3</v>
      </c>
      <c r="V137" s="53">
        <f>M137/R137</f>
        <v>-3.8663970734279629E-2</v>
      </c>
      <c r="W137" s="54">
        <f>R137/AE137</f>
        <v>15.603702229020575</v>
      </c>
      <c r="X137" s="54">
        <f>M137/AE137</f>
        <v>-0.60330108632926527</v>
      </c>
      <c r="Y137" s="65">
        <v>15.6038</v>
      </c>
      <c r="Z137" s="65">
        <v>15.751799999999999</v>
      </c>
      <c r="AA137" s="64">
        <v>1525</v>
      </c>
      <c r="AB137" s="64">
        <v>37348400.049999997</v>
      </c>
      <c r="AC137" s="64">
        <v>1221.81</v>
      </c>
      <c r="AD137" s="64">
        <v>59225.39</v>
      </c>
      <c r="AE137" s="65">
        <v>37290396.469999999</v>
      </c>
      <c r="AF137" s="38"/>
    </row>
    <row r="138" spans="1:241" ht="15" customHeight="1" x14ac:dyDescent="0.25">
      <c r="A138" s="136"/>
      <c r="C138" s="151" t="s">
        <v>52</v>
      </c>
      <c r="D138" s="81">
        <f>SUM(D135:D137)</f>
        <v>1660873439.8999999</v>
      </c>
      <c r="E138" s="81"/>
      <c r="F138" s="81">
        <f>SUM(F135:F137)</f>
        <v>569481731.40999997</v>
      </c>
      <c r="G138" s="81">
        <f>SUM(G135:G137)</f>
        <v>1607005851.99</v>
      </c>
      <c r="H138" s="81">
        <f>SUM(H135:H137)</f>
        <v>1001837.1</v>
      </c>
      <c r="I138" s="81"/>
      <c r="J138" s="81">
        <f t="shared" ref="J138:O138" si="53">SUM(J135:J137)</f>
        <v>2714449099.5900002</v>
      </c>
      <c r="K138" s="81">
        <f t="shared" si="53"/>
        <v>18033210.300000001</v>
      </c>
      <c r="L138" s="81">
        <f t="shared" si="53"/>
        <v>11951777.85</v>
      </c>
      <c r="M138" s="81">
        <f t="shared" si="53"/>
        <v>-76828843.269999996</v>
      </c>
      <c r="N138" s="81">
        <f t="shared" si="53"/>
        <v>2939583636.4200001</v>
      </c>
      <c r="O138" s="81">
        <f t="shared" si="53"/>
        <v>25314851.240000002</v>
      </c>
      <c r="P138" s="100">
        <f>SUM(P135:P137)</f>
        <v>2912021541.1700001</v>
      </c>
      <c r="Q138" s="83">
        <f>(P138/$P$152)</f>
        <v>2.1417323930220437E-3</v>
      </c>
      <c r="R138" s="100">
        <f>SUM(R135:R137)</f>
        <v>2914268785.1799998</v>
      </c>
      <c r="S138" s="83">
        <f>(R138/$R$152)</f>
        <v>2.1484510413365809E-3</v>
      </c>
      <c r="T138" s="84">
        <f>((R138-P138)/P138)</f>
        <v>7.7171270137543291E-4</v>
      </c>
      <c r="U138" s="85"/>
      <c r="V138" s="86"/>
      <c r="W138" s="87"/>
      <c r="X138" s="87"/>
      <c r="Y138" s="81"/>
      <c r="Z138" s="81"/>
      <c r="AA138" s="88">
        <f>SUM(AA135:AA137)</f>
        <v>11232</v>
      </c>
      <c r="AB138" s="88"/>
      <c r="AC138" s="88"/>
      <c r="AD138" s="88"/>
      <c r="AE138" s="135"/>
      <c r="AF138" s="38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17"/>
      <c r="AS138" s="17"/>
      <c r="AT138" s="17"/>
      <c r="AU138" s="17"/>
      <c r="AV138" s="17"/>
      <c r="AW138" s="17"/>
      <c r="AX138" s="17"/>
      <c r="AY138" s="17"/>
      <c r="AZ138" s="17"/>
      <c r="BA138" s="17"/>
      <c r="BB138" s="17"/>
      <c r="BC138" s="17"/>
      <c r="BD138" s="17"/>
      <c r="BE138" s="17"/>
      <c r="BF138" s="17"/>
      <c r="BG138" s="17"/>
      <c r="BH138" s="17"/>
      <c r="BI138" s="17"/>
      <c r="BJ138" s="17"/>
      <c r="BK138" s="17"/>
      <c r="BL138" s="17"/>
      <c r="BM138" s="17"/>
      <c r="BN138" s="17"/>
      <c r="BO138" s="17"/>
      <c r="BP138" s="17"/>
      <c r="BQ138" s="17"/>
      <c r="BR138" s="17"/>
      <c r="BS138" s="17"/>
      <c r="BT138" s="17"/>
      <c r="BU138" s="17"/>
      <c r="BV138" s="17"/>
      <c r="BW138" s="17"/>
      <c r="BX138" s="17"/>
      <c r="BY138" s="17"/>
      <c r="BZ138" s="17"/>
      <c r="CA138" s="17"/>
      <c r="CB138" s="17"/>
      <c r="CC138" s="17"/>
      <c r="CD138" s="17"/>
      <c r="CE138" s="17"/>
      <c r="CF138" s="17"/>
      <c r="CG138" s="17"/>
      <c r="CH138" s="17"/>
      <c r="CI138" s="17"/>
      <c r="CJ138" s="17"/>
      <c r="CK138" s="17"/>
      <c r="CL138" s="17"/>
      <c r="CM138" s="17"/>
      <c r="CN138" s="17"/>
      <c r="CO138" s="17"/>
      <c r="CP138" s="17"/>
      <c r="CQ138" s="17"/>
      <c r="CR138" s="17"/>
      <c r="CS138" s="17"/>
      <c r="CT138" s="17"/>
      <c r="CU138" s="17"/>
      <c r="CV138" s="17"/>
      <c r="CW138" s="17"/>
      <c r="CX138" s="17"/>
      <c r="CY138" s="17"/>
      <c r="CZ138" s="17"/>
      <c r="DA138" s="17"/>
      <c r="DB138" s="17"/>
      <c r="DC138" s="17"/>
      <c r="DD138" s="17"/>
      <c r="DE138" s="17"/>
      <c r="DF138" s="17"/>
      <c r="DG138" s="17"/>
      <c r="DH138" s="17"/>
      <c r="DI138" s="17"/>
      <c r="DJ138" s="17"/>
      <c r="DK138" s="17"/>
      <c r="DL138" s="17"/>
      <c r="DM138" s="17"/>
      <c r="DN138" s="17"/>
      <c r="DO138" s="17"/>
      <c r="DP138" s="17"/>
      <c r="DQ138" s="17"/>
      <c r="DR138" s="17"/>
      <c r="DS138" s="17"/>
      <c r="DT138" s="17"/>
      <c r="DU138" s="17"/>
      <c r="DV138" s="17"/>
      <c r="DW138" s="17"/>
      <c r="DX138" s="17"/>
      <c r="DY138" s="17"/>
      <c r="DZ138" s="17"/>
      <c r="EA138" s="17"/>
      <c r="EB138" s="17"/>
      <c r="EC138" s="17"/>
      <c r="ED138" s="17"/>
      <c r="EE138" s="17"/>
      <c r="EF138" s="17"/>
      <c r="EG138" s="17"/>
      <c r="EH138" s="17"/>
      <c r="EI138" s="17"/>
      <c r="EJ138" s="17"/>
      <c r="EK138" s="17"/>
      <c r="EL138" s="17"/>
      <c r="EM138" s="17"/>
      <c r="EN138" s="17"/>
      <c r="EO138" s="17"/>
      <c r="EP138" s="17"/>
      <c r="EQ138" s="17"/>
      <c r="ER138" s="17"/>
      <c r="ES138" s="17"/>
      <c r="ET138" s="17"/>
      <c r="EU138" s="17"/>
      <c r="EV138" s="17"/>
      <c r="EW138" s="17"/>
      <c r="EX138" s="17"/>
      <c r="EY138" s="17"/>
      <c r="EZ138" s="17"/>
      <c r="FA138" s="17"/>
      <c r="FB138" s="17"/>
      <c r="FC138" s="17"/>
      <c r="FD138" s="17"/>
      <c r="FE138" s="17"/>
      <c r="FF138" s="17"/>
      <c r="FG138" s="17"/>
      <c r="FH138" s="17"/>
      <c r="FI138" s="17"/>
      <c r="FJ138" s="17"/>
      <c r="FK138" s="17"/>
      <c r="FL138" s="17"/>
      <c r="FM138" s="17"/>
      <c r="FN138" s="17"/>
      <c r="FO138" s="17"/>
      <c r="FP138" s="17"/>
      <c r="FQ138" s="17"/>
      <c r="FR138" s="17"/>
      <c r="FS138" s="17"/>
      <c r="FT138" s="17"/>
      <c r="FU138" s="17"/>
      <c r="FV138" s="17"/>
      <c r="FW138" s="17"/>
      <c r="FX138" s="17"/>
      <c r="FY138" s="17"/>
      <c r="FZ138" s="17"/>
      <c r="GA138" s="17"/>
      <c r="GB138" s="17"/>
      <c r="GC138" s="17"/>
      <c r="GD138" s="17"/>
      <c r="GE138" s="17"/>
      <c r="GF138" s="17"/>
      <c r="GG138" s="17"/>
      <c r="GH138" s="17"/>
      <c r="GI138" s="17"/>
      <c r="GJ138" s="17"/>
      <c r="GK138" s="17"/>
      <c r="GL138" s="17"/>
      <c r="GM138" s="17"/>
      <c r="GN138" s="17"/>
      <c r="GO138" s="17"/>
      <c r="GP138" s="17"/>
      <c r="GQ138" s="17"/>
      <c r="GR138" s="17"/>
      <c r="GS138" s="17"/>
      <c r="GT138" s="17"/>
      <c r="GU138" s="17"/>
      <c r="GV138" s="17"/>
      <c r="GW138" s="17"/>
      <c r="GX138" s="17"/>
      <c r="GY138" s="17"/>
      <c r="GZ138" s="17"/>
      <c r="HA138" s="17"/>
      <c r="HB138" s="17"/>
      <c r="HC138" s="17"/>
      <c r="HD138" s="17"/>
      <c r="HE138" s="17"/>
      <c r="HF138" s="17"/>
      <c r="HG138" s="17"/>
      <c r="HH138" s="17"/>
      <c r="HI138" s="17"/>
      <c r="HJ138" s="17"/>
      <c r="HK138" s="17"/>
      <c r="HL138" s="17"/>
      <c r="HM138" s="17"/>
      <c r="HN138" s="17"/>
      <c r="HO138" s="17"/>
      <c r="HP138" s="17"/>
      <c r="HQ138" s="17"/>
      <c r="HR138" s="17"/>
      <c r="HS138" s="17"/>
      <c r="HT138" s="17"/>
      <c r="HU138" s="17"/>
      <c r="HV138" s="17"/>
      <c r="HW138" s="17"/>
      <c r="HX138" s="17"/>
      <c r="HY138" s="17"/>
      <c r="HZ138" s="17"/>
      <c r="IA138" s="17"/>
      <c r="IB138" s="17"/>
      <c r="IC138" s="17"/>
      <c r="ID138" s="17"/>
      <c r="IE138" s="17"/>
      <c r="IF138" s="17"/>
      <c r="IG138" s="17"/>
    </row>
    <row r="139" spans="1:241" ht="15.75" customHeight="1" x14ac:dyDescent="0.25">
      <c r="A139" s="152" t="s">
        <v>178</v>
      </c>
      <c r="B139" s="153"/>
      <c r="C139" s="153"/>
      <c r="D139" s="153"/>
      <c r="E139" s="153"/>
      <c r="F139" s="153"/>
      <c r="G139" s="153"/>
      <c r="H139" s="153"/>
      <c r="I139" s="153"/>
      <c r="J139" s="153"/>
      <c r="K139" s="153"/>
      <c r="L139" s="153"/>
      <c r="M139" s="153"/>
      <c r="N139" s="153"/>
      <c r="O139" s="153"/>
      <c r="P139" s="153"/>
      <c r="Q139" s="153"/>
      <c r="R139" s="153"/>
      <c r="S139" s="153"/>
      <c r="T139" s="153"/>
      <c r="U139" s="153"/>
      <c r="V139" s="153"/>
      <c r="W139" s="153"/>
      <c r="X139" s="153"/>
      <c r="Y139" s="153"/>
      <c r="Z139" s="153"/>
      <c r="AA139" s="153"/>
      <c r="AB139" s="153"/>
      <c r="AC139" s="153"/>
      <c r="AD139" s="153"/>
      <c r="AE139" s="154"/>
      <c r="AF139" s="38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  <c r="AQ139" s="17"/>
      <c r="AR139" s="17"/>
      <c r="AS139" s="17"/>
      <c r="AT139" s="17"/>
      <c r="AU139" s="17"/>
      <c r="AV139" s="17"/>
      <c r="AW139" s="17"/>
      <c r="AX139" s="17"/>
      <c r="AY139" s="17"/>
      <c r="AZ139" s="17"/>
      <c r="BA139" s="17"/>
      <c r="BB139" s="17"/>
      <c r="BC139" s="17"/>
      <c r="BD139" s="17"/>
      <c r="BE139" s="17"/>
      <c r="BF139" s="17"/>
      <c r="BG139" s="17"/>
      <c r="BH139" s="17"/>
      <c r="BI139" s="17"/>
      <c r="BJ139" s="17"/>
      <c r="BK139" s="17"/>
      <c r="BL139" s="17"/>
      <c r="BM139" s="17"/>
      <c r="BN139" s="17"/>
      <c r="BO139" s="17"/>
      <c r="BP139" s="17"/>
      <c r="BQ139" s="17"/>
      <c r="BR139" s="17"/>
      <c r="BS139" s="17"/>
      <c r="BT139" s="17"/>
      <c r="BU139" s="17"/>
      <c r="BV139" s="17"/>
      <c r="BW139" s="17"/>
      <c r="BX139" s="17"/>
      <c r="BY139" s="17"/>
      <c r="BZ139" s="17"/>
      <c r="CA139" s="17"/>
      <c r="CB139" s="17"/>
      <c r="CC139" s="17"/>
      <c r="CD139" s="17"/>
      <c r="CE139" s="17"/>
      <c r="CF139" s="17"/>
      <c r="CG139" s="17"/>
      <c r="CH139" s="17"/>
      <c r="CI139" s="17"/>
      <c r="CJ139" s="17"/>
      <c r="CK139" s="17"/>
      <c r="CL139" s="17"/>
      <c r="CM139" s="17"/>
      <c r="CN139" s="17"/>
      <c r="CO139" s="17"/>
      <c r="CP139" s="17"/>
      <c r="CQ139" s="17"/>
      <c r="CR139" s="17"/>
      <c r="CS139" s="17"/>
      <c r="CT139" s="17"/>
      <c r="CU139" s="17"/>
      <c r="CV139" s="17"/>
      <c r="CW139" s="17"/>
      <c r="CX139" s="17"/>
      <c r="CY139" s="17"/>
      <c r="CZ139" s="17"/>
      <c r="DA139" s="17"/>
      <c r="DB139" s="17"/>
      <c r="DC139" s="17"/>
      <c r="DD139" s="17"/>
      <c r="DE139" s="17"/>
      <c r="DF139" s="17"/>
      <c r="DG139" s="17"/>
      <c r="DH139" s="17"/>
      <c r="DI139" s="17"/>
      <c r="DJ139" s="17"/>
      <c r="DK139" s="17"/>
      <c r="DL139" s="17"/>
      <c r="DM139" s="17"/>
      <c r="DN139" s="17"/>
      <c r="DO139" s="17"/>
      <c r="DP139" s="17"/>
      <c r="DQ139" s="17"/>
      <c r="DR139" s="17"/>
      <c r="DS139" s="17"/>
      <c r="DT139" s="17"/>
      <c r="DU139" s="17"/>
      <c r="DV139" s="17"/>
      <c r="DW139" s="17"/>
      <c r="DX139" s="17"/>
      <c r="DY139" s="17"/>
      <c r="DZ139" s="17"/>
      <c r="EA139" s="17"/>
      <c r="EB139" s="17"/>
      <c r="EC139" s="17"/>
      <c r="ED139" s="17"/>
      <c r="EE139" s="17"/>
      <c r="EF139" s="17"/>
      <c r="EG139" s="17"/>
      <c r="EH139" s="17"/>
      <c r="EI139" s="17"/>
      <c r="EJ139" s="17"/>
      <c r="EK139" s="17"/>
      <c r="EL139" s="17"/>
      <c r="EM139" s="17"/>
      <c r="EN139" s="17"/>
      <c r="EO139" s="17"/>
      <c r="EP139" s="17"/>
      <c r="EQ139" s="17"/>
      <c r="ER139" s="17"/>
      <c r="ES139" s="17"/>
      <c r="ET139" s="17"/>
      <c r="EU139" s="17"/>
      <c r="EV139" s="17"/>
      <c r="EW139" s="17"/>
      <c r="EX139" s="17"/>
      <c r="EY139" s="17"/>
      <c r="EZ139" s="17"/>
      <c r="FA139" s="17"/>
      <c r="FB139" s="17"/>
      <c r="FC139" s="17"/>
      <c r="FD139" s="17"/>
      <c r="FE139" s="17"/>
      <c r="FF139" s="17"/>
      <c r="FG139" s="17"/>
      <c r="FH139" s="17"/>
      <c r="FI139" s="17"/>
      <c r="FJ139" s="17"/>
      <c r="FK139" s="17"/>
      <c r="FL139" s="17"/>
      <c r="FM139" s="17"/>
      <c r="FN139" s="17"/>
      <c r="FO139" s="17"/>
      <c r="FP139" s="17"/>
      <c r="FQ139" s="17"/>
      <c r="FR139" s="17"/>
      <c r="FS139" s="17"/>
      <c r="FT139" s="17"/>
      <c r="FU139" s="17"/>
      <c r="FV139" s="17"/>
      <c r="FW139" s="17"/>
      <c r="FX139" s="17"/>
      <c r="FY139" s="17"/>
      <c r="FZ139" s="17"/>
      <c r="GA139" s="17"/>
      <c r="GB139" s="17"/>
      <c r="GC139" s="17"/>
      <c r="GD139" s="17"/>
      <c r="GE139" s="17"/>
      <c r="GF139" s="17"/>
      <c r="GG139" s="17"/>
      <c r="GH139" s="17"/>
      <c r="GI139" s="17"/>
      <c r="GJ139" s="17"/>
      <c r="GK139" s="17"/>
      <c r="GL139" s="17"/>
      <c r="GM139" s="17"/>
      <c r="GN139" s="17"/>
      <c r="GO139" s="17"/>
      <c r="GP139" s="17"/>
      <c r="GQ139" s="17"/>
      <c r="GR139" s="17"/>
      <c r="GS139" s="17"/>
      <c r="GT139" s="17"/>
      <c r="GU139" s="17"/>
      <c r="GV139" s="17"/>
      <c r="GW139" s="17"/>
      <c r="GX139" s="17"/>
      <c r="GY139" s="17"/>
      <c r="GZ139" s="17"/>
      <c r="HA139" s="17"/>
      <c r="HB139" s="17"/>
      <c r="HC139" s="17"/>
      <c r="HD139" s="17"/>
      <c r="HE139" s="17"/>
      <c r="HF139" s="17"/>
      <c r="HG139" s="17"/>
      <c r="HH139" s="17"/>
      <c r="HI139" s="17"/>
      <c r="HJ139" s="17"/>
      <c r="HK139" s="17"/>
      <c r="HL139" s="17"/>
      <c r="HM139" s="17"/>
      <c r="HN139" s="17"/>
      <c r="HO139" s="17"/>
      <c r="HP139" s="17"/>
      <c r="HQ139" s="17"/>
      <c r="HR139" s="17"/>
      <c r="HS139" s="17"/>
      <c r="HT139" s="17"/>
      <c r="HU139" s="17"/>
      <c r="HV139" s="17"/>
      <c r="HW139" s="17"/>
      <c r="HX139" s="17"/>
      <c r="HY139" s="17"/>
      <c r="HZ139" s="17"/>
      <c r="IA139" s="17"/>
      <c r="IB139" s="17"/>
      <c r="IC139" s="17"/>
      <c r="ID139" s="17"/>
      <c r="IE139" s="17"/>
      <c r="IF139" s="17"/>
      <c r="IG139" s="17"/>
    </row>
    <row r="140" spans="1:241" ht="15.75" customHeight="1" x14ac:dyDescent="0.25">
      <c r="A140" s="155" t="s">
        <v>2</v>
      </c>
      <c r="B140" s="156"/>
      <c r="C140" s="156"/>
      <c r="D140" s="156"/>
      <c r="E140" s="156"/>
      <c r="F140" s="156"/>
      <c r="G140" s="156"/>
      <c r="H140" s="156"/>
      <c r="I140" s="156"/>
      <c r="J140" s="156"/>
      <c r="K140" s="156"/>
      <c r="L140" s="156"/>
      <c r="M140" s="156"/>
      <c r="N140" s="156"/>
      <c r="O140" s="156"/>
      <c r="P140" s="156"/>
      <c r="Q140" s="156"/>
      <c r="R140" s="156"/>
      <c r="S140" s="156"/>
      <c r="T140" s="156"/>
      <c r="U140" s="156"/>
      <c r="V140" s="156"/>
      <c r="W140" s="156"/>
      <c r="X140" s="156"/>
      <c r="Y140" s="156"/>
      <c r="Z140" s="156"/>
      <c r="AA140" s="156"/>
      <c r="AB140" s="156"/>
      <c r="AC140" s="156"/>
      <c r="AD140" s="156"/>
      <c r="AE140" s="157"/>
      <c r="AF140" s="38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  <c r="AQ140" s="17"/>
      <c r="AR140" s="17"/>
      <c r="AS140" s="17"/>
      <c r="AT140" s="17"/>
      <c r="AU140" s="17"/>
      <c r="AV140" s="17"/>
      <c r="AW140" s="17"/>
      <c r="AX140" s="17"/>
      <c r="AY140" s="17"/>
      <c r="AZ140" s="17"/>
      <c r="BA140" s="17"/>
      <c r="BB140" s="17"/>
      <c r="BC140" s="17"/>
      <c r="BD140" s="17"/>
      <c r="BE140" s="17"/>
      <c r="BF140" s="17"/>
      <c r="BG140" s="17"/>
      <c r="BH140" s="17"/>
      <c r="BI140" s="17"/>
      <c r="BJ140" s="17"/>
      <c r="BK140" s="17"/>
      <c r="BL140" s="17"/>
      <c r="BM140" s="17"/>
      <c r="BN140" s="17"/>
      <c r="BO140" s="17"/>
      <c r="BP140" s="17"/>
      <c r="BQ140" s="17"/>
      <c r="BR140" s="17"/>
      <c r="BS140" s="17"/>
      <c r="BT140" s="17"/>
      <c r="BU140" s="17"/>
      <c r="BV140" s="17"/>
      <c r="BW140" s="17"/>
      <c r="BX140" s="17"/>
      <c r="BY140" s="17"/>
      <c r="BZ140" s="17"/>
      <c r="CA140" s="17"/>
      <c r="CB140" s="17"/>
      <c r="CC140" s="17"/>
      <c r="CD140" s="17"/>
      <c r="CE140" s="17"/>
      <c r="CF140" s="17"/>
      <c r="CG140" s="17"/>
      <c r="CH140" s="17"/>
      <c r="CI140" s="17"/>
      <c r="CJ140" s="17"/>
      <c r="CK140" s="17"/>
      <c r="CL140" s="17"/>
      <c r="CM140" s="17"/>
      <c r="CN140" s="17"/>
      <c r="CO140" s="17"/>
      <c r="CP140" s="17"/>
      <c r="CQ140" s="17"/>
      <c r="CR140" s="17"/>
      <c r="CS140" s="17"/>
      <c r="CT140" s="17"/>
      <c r="CU140" s="17"/>
      <c r="CV140" s="17"/>
      <c r="CW140" s="17"/>
      <c r="CX140" s="17"/>
      <c r="CY140" s="17"/>
      <c r="CZ140" s="17"/>
      <c r="DA140" s="17"/>
      <c r="DB140" s="17"/>
      <c r="DC140" s="17"/>
      <c r="DD140" s="17"/>
      <c r="DE140" s="17"/>
      <c r="DF140" s="17"/>
      <c r="DG140" s="17"/>
      <c r="DH140" s="17"/>
      <c r="DI140" s="17"/>
      <c r="DJ140" s="17"/>
      <c r="DK140" s="17"/>
      <c r="DL140" s="17"/>
      <c r="DM140" s="17"/>
      <c r="DN140" s="17"/>
      <c r="DO140" s="17"/>
      <c r="DP140" s="17"/>
      <c r="DQ140" s="17"/>
      <c r="DR140" s="17"/>
      <c r="DS140" s="17"/>
      <c r="DT140" s="17"/>
      <c r="DU140" s="17"/>
      <c r="DV140" s="17"/>
      <c r="DW140" s="17"/>
      <c r="DX140" s="17"/>
      <c r="DY140" s="17"/>
      <c r="DZ140" s="17"/>
      <c r="EA140" s="17"/>
      <c r="EB140" s="17"/>
      <c r="EC140" s="17"/>
      <c r="ED140" s="17"/>
      <c r="EE140" s="17"/>
      <c r="EF140" s="17"/>
      <c r="EG140" s="17"/>
      <c r="EH140" s="17"/>
      <c r="EI140" s="17"/>
      <c r="EJ140" s="17"/>
      <c r="EK140" s="17"/>
      <c r="EL140" s="17"/>
      <c r="EM140" s="17"/>
      <c r="EN140" s="17"/>
      <c r="EO140" s="17"/>
      <c r="EP140" s="17"/>
      <c r="EQ140" s="17"/>
      <c r="ER140" s="17"/>
      <c r="ES140" s="17"/>
      <c r="ET140" s="17"/>
      <c r="EU140" s="17"/>
      <c r="EV140" s="17"/>
      <c r="EW140" s="17"/>
      <c r="EX140" s="17"/>
      <c r="EY140" s="17"/>
      <c r="EZ140" s="17"/>
      <c r="FA140" s="17"/>
      <c r="FB140" s="17"/>
      <c r="FC140" s="17"/>
      <c r="FD140" s="17"/>
      <c r="FE140" s="17"/>
      <c r="FF140" s="17"/>
      <c r="FG140" s="17"/>
      <c r="FH140" s="17"/>
      <c r="FI140" s="17"/>
      <c r="FJ140" s="17"/>
      <c r="FK140" s="17"/>
      <c r="FL140" s="17"/>
      <c r="FM140" s="17"/>
      <c r="FN140" s="17"/>
      <c r="FO140" s="17"/>
      <c r="FP140" s="17"/>
      <c r="FQ140" s="17"/>
      <c r="FR140" s="17"/>
      <c r="FS140" s="17"/>
      <c r="FT140" s="17"/>
      <c r="FU140" s="17"/>
      <c r="FV140" s="17"/>
      <c r="FW140" s="17"/>
      <c r="FX140" s="17"/>
      <c r="FY140" s="17"/>
      <c r="FZ140" s="17"/>
      <c r="GA140" s="17"/>
      <c r="GB140" s="17"/>
      <c r="GC140" s="17"/>
      <c r="GD140" s="17"/>
      <c r="GE140" s="17"/>
      <c r="GF140" s="17"/>
      <c r="GG140" s="17"/>
      <c r="GH140" s="17"/>
      <c r="GI140" s="17"/>
      <c r="GJ140" s="17"/>
      <c r="GK140" s="17"/>
      <c r="GL140" s="17"/>
      <c r="GM140" s="17"/>
      <c r="GN140" s="17"/>
      <c r="GO140" s="17"/>
      <c r="GP140" s="17"/>
      <c r="GQ140" s="17"/>
      <c r="GR140" s="17"/>
      <c r="GS140" s="17"/>
      <c r="GT140" s="17"/>
      <c r="GU140" s="17"/>
      <c r="GV140" s="17"/>
      <c r="GW140" s="17"/>
      <c r="GX140" s="17"/>
      <c r="GY140" s="17"/>
      <c r="GZ140" s="17"/>
      <c r="HA140" s="17"/>
      <c r="HB140" s="17"/>
      <c r="HC140" s="17"/>
      <c r="HD140" s="17"/>
      <c r="HE140" s="17"/>
      <c r="HF140" s="17"/>
      <c r="HG140" s="17"/>
      <c r="HH140" s="17"/>
      <c r="HI140" s="17"/>
      <c r="HJ140" s="17"/>
      <c r="HK140" s="17"/>
      <c r="HL140" s="17"/>
      <c r="HM140" s="17"/>
      <c r="HN140" s="17"/>
      <c r="HO140" s="17"/>
      <c r="HP140" s="17"/>
      <c r="HQ140" s="17"/>
      <c r="HR140" s="17"/>
      <c r="HS140" s="17"/>
      <c r="HT140" s="17"/>
      <c r="HU140" s="17"/>
      <c r="HV140" s="17"/>
      <c r="HW140" s="17"/>
      <c r="HX140" s="17"/>
      <c r="HY140" s="17"/>
      <c r="HZ140" s="17"/>
      <c r="IA140" s="17"/>
      <c r="IB140" s="17"/>
      <c r="IC140" s="17"/>
      <c r="ID140" s="17"/>
      <c r="IE140" s="17"/>
      <c r="IF140" s="17"/>
      <c r="IG140" s="17"/>
    </row>
    <row r="141" spans="1:241" ht="15.75" customHeight="1" x14ac:dyDescent="0.25">
      <c r="A141" s="41">
        <v>120</v>
      </c>
      <c r="B141" s="56" t="s">
        <v>164</v>
      </c>
      <c r="C141" s="42" t="s">
        <v>107</v>
      </c>
      <c r="D141" s="48">
        <v>1145172553.4000001</v>
      </c>
      <c r="E141" s="90"/>
      <c r="F141" s="48"/>
      <c r="G141" s="65">
        <v>940604290.47000003</v>
      </c>
      <c r="H141" s="65"/>
      <c r="I141" s="48">
        <v>1159629855.0999999</v>
      </c>
      <c r="J141" s="137">
        <v>3254546782.29</v>
      </c>
      <c r="K141" s="103">
        <v>71035622.75</v>
      </c>
      <c r="L141" s="48">
        <v>2141092.84</v>
      </c>
      <c r="M141" s="47">
        <v>27290897.059999999</v>
      </c>
      <c r="N141" s="48">
        <v>3615626360.02</v>
      </c>
      <c r="O141" s="48">
        <v>335945883.88999999</v>
      </c>
      <c r="P141" s="49">
        <v>3256079685.3400002</v>
      </c>
      <c r="Q141" s="50">
        <f>(P141/$P$151)</f>
        <v>0.17244748836117529</v>
      </c>
      <c r="R141" s="49">
        <v>3279680476.1300001</v>
      </c>
      <c r="S141" s="50">
        <f>(R141/$R$151)</f>
        <v>0.16833281684807247</v>
      </c>
      <c r="T141" s="51">
        <f>((R141-P141)/P141)</f>
        <v>7.2482227312368631E-3</v>
      </c>
      <c r="U141" s="52">
        <f>(L141/R141)</f>
        <v>6.528358038483292E-4</v>
      </c>
      <c r="V141" s="53">
        <f>M141/R141</f>
        <v>8.3212060621841635E-3</v>
      </c>
      <c r="W141" s="54">
        <f>R141/AE141</f>
        <v>1.6175196142103043</v>
      </c>
      <c r="X141" s="54">
        <f>M141/AE141</f>
        <v>1.3459714019468574E-2</v>
      </c>
      <c r="Y141" s="103">
        <v>1.6</v>
      </c>
      <c r="Z141" s="103">
        <v>1.63</v>
      </c>
      <c r="AA141" s="138">
        <v>15236</v>
      </c>
      <c r="AB141" s="103">
        <v>2028142015.7</v>
      </c>
      <c r="AC141" s="103">
        <v>2129012</v>
      </c>
      <c r="AD141" s="103">
        <v>2672446</v>
      </c>
      <c r="AE141" s="45">
        <v>2027598582</v>
      </c>
      <c r="AF141" s="38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  <c r="AQ141" s="17"/>
      <c r="AR141" s="17"/>
      <c r="AS141" s="17"/>
      <c r="AT141" s="17"/>
      <c r="AU141" s="17"/>
      <c r="AV141" s="17"/>
      <c r="AW141" s="17"/>
      <c r="AX141" s="17"/>
      <c r="AY141" s="17"/>
      <c r="AZ141" s="17"/>
      <c r="BA141" s="17"/>
      <c r="BB141" s="17"/>
      <c r="BC141" s="17"/>
      <c r="BD141" s="17"/>
      <c r="BE141" s="17"/>
      <c r="BF141" s="17"/>
      <c r="BG141" s="17"/>
      <c r="BH141" s="17"/>
      <c r="BI141" s="17"/>
      <c r="BJ141" s="17"/>
      <c r="BK141" s="17"/>
      <c r="BL141" s="17"/>
      <c r="BM141" s="17"/>
      <c r="BN141" s="17"/>
      <c r="BO141" s="17"/>
      <c r="BP141" s="17"/>
      <c r="BQ141" s="17"/>
      <c r="BR141" s="17"/>
      <c r="BS141" s="17"/>
      <c r="BT141" s="17"/>
      <c r="BU141" s="17"/>
      <c r="BV141" s="17"/>
      <c r="BW141" s="17"/>
      <c r="BX141" s="17"/>
      <c r="BY141" s="17"/>
      <c r="BZ141" s="17"/>
      <c r="CA141" s="17"/>
      <c r="CB141" s="17"/>
      <c r="CC141" s="17"/>
      <c r="CD141" s="17"/>
      <c r="CE141" s="17"/>
      <c r="CF141" s="17"/>
      <c r="CG141" s="17"/>
      <c r="CH141" s="17"/>
      <c r="CI141" s="17"/>
      <c r="CJ141" s="17"/>
      <c r="CK141" s="17"/>
      <c r="CL141" s="17"/>
      <c r="CM141" s="17"/>
      <c r="CN141" s="17"/>
      <c r="CO141" s="17"/>
      <c r="CP141" s="17"/>
      <c r="CQ141" s="17"/>
      <c r="CR141" s="17"/>
      <c r="CS141" s="17"/>
      <c r="CT141" s="17"/>
      <c r="CU141" s="17"/>
      <c r="CV141" s="17"/>
      <c r="CW141" s="17"/>
      <c r="CX141" s="17"/>
      <c r="CY141" s="17"/>
      <c r="CZ141" s="17"/>
      <c r="DA141" s="17"/>
      <c r="DB141" s="17"/>
      <c r="DC141" s="17"/>
      <c r="DD141" s="17"/>
      <c r="DE141" s="17"/>
      <c r="DF141" s="17"/>
      <c r="DG141" s="17"/>
      <c r="DH141" s="17"/>
      <c r="DI141" s="17"/>
      <c r="DJ141" s="17"/>
      <c r="DK141" s="17"/>
      <c r="DL141" s="17"/>
      <c r="DM141" s="17"/>
      <c r="DN141" s="17"/>
      <c r="DO141" s="17"/>
      <c r="DP141" s="17"/>
      <c r="DQ141" s="17"/>
      <c r="DR141" s="17"/>
      <c r="DS141" s="17"/>
      <c r="DT141" s="17"/>
      <c r="DU141" s="17"/>
      <c r="DV141" s="17"/>
      <c r="DW141" s="17"/>
      <c r="DX141" s="17"/>
      <c r="DY141" s="17"/>
      <c r="DZ141" s="17"/>
      <c r="EA141" s="17"/>
      <c r="EB141" s="17"/>
      <c r="EC141" s="17"/>
      <c r="ED141" s="17"/>
      <c r="EE141" s="17"/>
      <c r="EF141" s="17"/>
      <c r="EG141" s="17"/>
      <c r="EH141" s="17"/>
      <c r="EI141" s="17"/>
      <c r="EJ141" s="17"/>
      <c r="EK141" s="17"/>
      <c r="EL141" s="17"/>
      <c r="EM141" s="17"/>
      <c r="EN141" s="17"/>
      <c r="EO141" s="17"/>
      <c r="EP141" s="17"/>
      <c r="EQ141" s="17"/>
      <c r="ER141" s="17"/>
      <c r="ES141" s="17"/>
      <c r="ET141" s="17"/>
      <c r="EU141" s="17"/>
      <c r="EV141" s="17"/>
      <c r="EW141" s="17"/>
      <c r="EX141" s="17"/>
      <c r="EY141" s="17"/>
      <c r="EZ141" s="17"/>
      <c r="FA141" s="17"/>
      <c r="FB141" s="17"/>
      <c r="FC141" s="17"/>
      <c r="FD141" s="17"/>
      <c r="FE141" s="17"/>
      <c r="FF141" s="17"/>
      <c r="FG141" s="17"/>
      <c r="FH141" s="17"/>
      <c r="FI141" s="17"/>
      <c r="FJ141" s="17"/>
      <c r="FK141" s="17"/>
      <c r="FL141" s="17"/>
      <c r="FM141" s="17"/>
      <c r="FN141" s="17"/>
      <c r="FO141" s="17"/>
      <c r="FP141" s="17"/>
      <c r="FQ141" s="17"/>
      <c r="FR141" s="17"/>
      <c r="FS141" s="17"/>
      <c r="FT141" s="17"/>
      <c r="FU141" s="17"/>
      <c r="FV141" s="17"/>
      <c r="FW141" s="17"/>
      <c r="FX141" s="17"/>
      <c r="FY141" s="17"/>
      <c r="FZ141" s="17"/>
      <c r="GA141" s="17"/>
      <c r="GB141" s="17"/>
      <c r="GC141" s="17"/>
      <c r="GD141" s="17"/>
      <c r="GE141" s="17"/>
      <c r="GF141" s="17"/>
      <c r="GG141" s="17"/>
      <c r="GH141" s="17"/>
      <c r="GI141" s="17"/>
      <c r="GJ141" s="17"/>
      <c r="GK141" s="17"/>
      <c r="GL141" s="17"/>
      <c r="GM141" s="17"/>
      <c r="GN141" s="17"/>
      <c r="GO141" s="17"/>
      <c r="GP141" s="17"/>
      <c r="GQ141" s="17"/>
      <c r="GR141" s="17"/>
      <c r="GS141" s="17"/>
      <c r="GT141" s="17"/>
      <c r="GU141" s="17"/>
      <c r="GV141" s="17"/>
      <c r="GW141" s="17"/>
      <c r="GX141" s="17"/>
      <c r="GY141" s="17"/>
      <c r="GZ141" s="17"/>
      <c r="HA141" s="17"/>
      <c r="HB141" s="17"/>
      <c r="HC141" s="17"/>
      <c r="HD141" s="17"/>
      <c r="HE141" s="17"/>
      <c r="HF141" s="17"/>
      <c r="HG141" s="17"/>
      <c r="HH141" s="17"/>
      <c r="HI141" s="17"/>
      <c r="HJ141" s="17"/>
      <c r="HK141" s="17"/>
      <c r="HL141" s="17"/>
      <c r="HM141" s="17"/>
      <c r="HN141" s="17"/>
      <c r="HO141" s="17"/>
      <c r="HP141" s="17"/>
      <c r="HQ141" s="17"/>
      <c r="HR141" s="17"/>
      <c r="HS141" s="17"/>
      <c r="HT141" s="17"/>
      <c r="HU141" s="17"/>
      <c r="HV141" s="17"/>
      <c r="HW141" s="17"/>
      <c r="HX141" s="17"/>
      <c r="HY141" s="17"/>
      <c r="HZ141" s="17"/>
      <c r="IA141" s="17"/>
      <c r="IB141" s="17"/>
      <c r="IC141" s="17"/>
      <c r="ID141" s="17"/>
      <c r="IE141" s="17"/>
      <c r="IF141" s="17"/>
      <c r="IG141" s="17"/>
    </row>
    <row r="142" spans="1:241" ht="15.75" customHeight="1" x14ac:dyDescent="0.25">
      <c r="A142" s="41">
        <v>121</v>
      </c>
      <c r="B142" s="42" t="s">
        <v>143</v>
      </c>
      <c r="C142" s="42" t="s">
        <v>23</v>
      </c>
      <c r="D142" s="45">
        <v>221400499.40000001</v>
      </c>
      <c r="E142" s="45"/>
      <c r="F142" s="45">
        <v>32009550.879999999</v>
      </c>
      <c r="G142" s="45">
        <v>22866271.739999998</v>
      </c>
      <c r="H142" s="45"/>
      <c r="I142" s="45"/>
      <c r="J142" s="45">
        <v>276276322.01999998</v>
      </c>
      <c r="K142" s="45">
        <v>2459742.94</v>
      </c>
      <c r="L142" s="45">
        <v>686628.56</v>
      </c>
      <c r="M142" s="47">
        <v>-9531407.1199999992</v>
      </c>
      <c r="N142" s="65">
        <v>279213111.88</v>
      </c>
      <c r="O142" s="65">
        <v>6462803.1500000004</v>
      </c>
      <c r="P142" s="73">
        <v>328203023.44999999</v>
      </c>
      <c r="Q142" s="50">
        <f>(P142/$P$151)</f>
        <v>1.7382187334455998E-2</v>
      </c>
      <c r="R142" s="73">
        <v>272750308.73000002</v>
      </c>
      <c r="S142" s="50">
        <f>(R142/$R$151)</f>
        <v>1.3999177084128369E-2</v>
      </c>
      <c r="T142" s="51">
        <f>((R142-P142)/P142)</f>
        <v>-0.16895857368129302</v>
      </c>
      <c r="U142" s="52">
        <f t="shared" ref="U142:U151" si="54">(L142/R142)</f>
        <v>2.5174254181310747E-3</v>
      </c>
      <c r="V142" s="53">
        <f>M142/R142</f>
        <v>-3.494554108620751E-2</v>
      </c>
      <c r="W142" s="54">
        <f>R142/AE142</f>
        <v>261.7179246167255</v>
      </c>
      <c r="X142" s="54">
        <f>M142/AE142</f>
        <v>-9.1458744876907403</v>
      </c>
      <c r="Y142" s="65">
        <v>258.89999999999998</v>
      </c>
      <c r="Z142" s="65">
        <v>263.26</v>
      </c>
      <c r="AA142" s="64">
        <v>502</v>
      </c>
      <c r="AB142" s="64">
        <v>1220304.6200000001</v>
      </c>
      <c r="AC142" s="64">
        <v>188351.27</v>
      </c>
      <c r="AD142" s="64">
        <v>366502.17</v>
      </c>
      <c r="AE142" s="45">
        <v>1042153.72</v>
      </c>
      <c r="AF142" s="38"/>
    </row>
    <row r="143" spans="1:241" ht="4.5" customHeight="1" x14ac:dyDescent="0.25">
      <c r="A143" s="69"/>
      <c r="B143" s="120"/>
      <c r="C143" s="120"/>
      <c r="D143" s="45"/>
      <c r="E143" s="45"/>
      <c r="F143" s="45"/>
      <c r="G143" s="45"/>
      <c r="H143" s="45"/>
      <c r="I143" s="45"/>
      <c r="J143" s="45"/>
      <c r="K143" s="45"/>
      <c r="L143" s="45"/>
      <c r="M143" s="47"/>
      <c r="N143" s="65"/>
      <c r="O143" s="65"/>
      <c r="P143" s="98"/>
      <c r="Q143" s="50"/>
      <c r="R143" s="73"/>
      <c r="S143" s="50"/>
      <c r="T143" s="51"/>
      <c r="U143" s="52"/>
      <c r="V143" s="53"/>
      <c r="W143" s="54"/>
      <c r="X143" s="54"/>
      <c r="Y143" s="65"/>
      <c r="Z143" s="65"/>
      <c r="AA143" s="64"/>
      <c r="AB143" s="64"/>
      <c r="AC143" s="64"/>
      <c r="AD143" s="64"/>
      <c r="AE143" s="65"/>
      <c r="AF143" s="38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  <c r="AQ143" s="17"/>
      <c r="AR143" s="17"/>
      <c r="AS143" s="17"/>
      <c r="AT143" s="17"/>
      <c r="AU143" s="17"/>
      <c r="AV143" s="17"/>
      <c r="AW143" s="17"/>
      <c r="AX143" s="17"/>
      <c r="AY143" s="17"/>
      <c r="AZ143" s="17"/>
      <c r="BA143" s="17"/>
      <c r="BB143" s="17"/>
      <c r="BC143" s="17"/>
      <c r="BD143" s="17"/>
      <c r="BE143" s="17"/>
      <c r="BF143" s="17"/>
      <c r="BG143" s="17"/>
      <c r="BH143" s="17"/>
      <c r="BI143" s="17"/>
      <c r="BJ143" s="17"/>
      <c r="BK143" s="17"/>
      <c r="BL143" s="17"/>
      <c r="BM143" s="17"/>
      <c r="BN143" s="17"/>
      <c r="BO143" s="17"/>
      <c r="BP143" s="17"/>
      <c r="BQ143" s="17"/>
      <c r="BR143" s="17"/>
      <c r="BS143" s="17"/>
      <c r="BT143" s="17"/>
      <c r="BU143" s="17"/>
      <c r="BV143" s="17"/>
      <c r="BW143" s="17"/>
      <c r="BX143" s="17"/>
      <c r="BY143" s="17"/>
      <c r="BZ143" s="17"/>
      <c r="CA143" s="17"/>
      <c r="CB143" s="17"/>
      <c r="CC143" s="17"/>
      <c r="CD143" s="17"/>
      <c r="CE143" s="17"/>
      <c r="CF143" s="17"/>
      <c r="CG143" s="17"/>
      <c r="CH143" s="17"/>
      <c r="CI143" s="17"/>
      <c r="CJ143" s="17"/>
      <c r="CK143" s="17"/>
      <c r="CL143" s="17"/>
      <c r="CM143" s="17"/>
      <c r="CN143" s="17"/>
      <c r="CO143" s="17"/>
      <c r="CP143" s="17"/>
      <c r="CQ143" s="17"/>
      <c r="CR143" s="17"/>
      <c r="CS143" s="17"/>
      <c r="CT143" s="17"/>
      <c r="CU143" s="17"/>
      <c r="CV143" s="17"/>
      <c r="CW143" s="17"/>
      <c r="CX143" s="17"/>
      <c r="CY143" s="17"/>
      <c r="CZ143" s="17"/>
      <c r="DA143" s="17"/>
      <c r="DB143" s="17"/>
      <c r="DC143" s="17"/>
      <c r="DD143" s="17"/>
      <c r="DE143" s="17"/>
      <c r="DF143" s="17"/>
      <c r="DG143" s="17"/>
      <c r="DH143" s="17"/>
      <c r="DI143" s="17"/>
      <c r="DJ143" s="17"/>
      <c r="DK143" s="17"/>
      <c r="DL143" s="17"/>
      <c r="DM143" s="17"/>
      <c r="DN143" s="17"/>
      <c r="DO143" s="17"/>
      <c r="DP143" s="17"/>
      <c r="DQ143" s="17"/>
      <c r="DR143" s="17"/>
      <c r="DS143" s="17"/>
      <c r="DT143" s="17"/>
      <c r="DU143" s="17"/>
      <c r="DV143" s="17"/>
      <c r="DW143" s="17"/>
      <c r="DX143" s="17"/>
      <c r="DY143" s="17"/>
      <c r="DZ143" s="17"/>
      <c r="EA143" s="17"/>
      <c r="EB143" s="17"/>
      <c r="EC143" s="17"/>
      <c r="ED143" s="17"/>
      <c r="EE143" s="17"/>
      <c r="EF143" s="17"/>
      <c r="EG143" s="17"/>
      <c r="EH143" s="17"/>
      <c r="EI143" s="17"/>
      <c r="EJ143" s="17"/>
      <c r="EK143" s="17"/>
      <c r="EL143" s="17"/>
      <c r="EM143" s="17"/>
      <c r="EN143" s="17"/>
      <c r="EO143" s="17"/>
      <c r="EP143" s="17"/>
      <c r="EQ143" s="17"/>
      <c r="ER143" s="17"/>
      <c r="ES143" s="17"/>
      <c r="ET143" s="17"/>
      <c r="EU143" s="17"/>
      <c r="EV143" s="17"/>
      <c r="EW143" s="17"/>
      <c r="EX143" s="17"/>
      <c r="EY143" s="17"/>
      <c r="EZ143" s="17"/>
      <c r="FA143" s="17"/>
      <c r="FB143" s="17"/>
      <c r="FC143" s="17"/>
      <c r="FD143" s="17"/>
      <c r="FE143" s="17"/>
      <c r="FF143" s="17"/>
      <c r="FG143" s="17"/>
      <c r="FH143" s="17"/>
      <c r="FI143" s="17"/>
      <c r="FJ143" s="17"/>
      <c r="FK143" s="17"/>
      <c r="FL143" s="17"/>
      <c r="FM143" s="17"/>
      <c r="FN143" s="17"/>
      <c r="FO143" s="17"/>
      <c r="FP143" s="17"/>
      <c r="FQ143" s="17"/>
      <c r="FR143" s="17"/>
      <c r="FS143" s="17"/>
      <c r="FT143" s="17"/>
      <c r="FU143" s="17"/>
      <c r="FV143" s="17"/>
      <c r="FW143" s="17"/>
      <c r="FX143" s="17"/>
      <c r="FY143" s="17"/>
      <c r="FZ143" s="17"/>
      <c r="GA143" s="17"/>
      <c r="GB143" s="17"/>
      <c r="GC143" s="17"/>
      <c r="GD143" s="17"/>
      <c r="GE143" s="17"/>
      <c r="GF143" s="17"/>
      <c r="GG143" s="17"/>
      <c r="GH143" s="17"/>
      <c r="GI143" s="17"/>
      <c r="GJ143" s="17"/>
      <c r="GK143" s="17"/>
      <c r="GL143" s="17"/>
      <c r="GM143" s="17"/>
      <c r="GN143" s="17"/>
      <c r="GO143" s="17"/>
      <c r="GP143" s="17"/>
      <c r="GQ143" s="17"/>
      <c r="GR143" s="17"/>
      <c r="GS143" s="17"/>
      <c r="GT143" s="17"/>
      <c r="GU143" s="17"/>
      <c r="GV143" s="17"/>
      <c r="GW143" s="17"/>
      <c r="GX143" s="17"/>
      <c r="GY143" s="17"/>
      <c r="GZ143" s="17"/>
      <c r="HA143" s="17"/>
      <c r="HB143" s="17"/>
      <c r="HC143" s="17"/>
      <c r="HD143" s="17"/>
      <c r="HE143" s="17"/>
      <c r="HF143" s="17"/>
      <c r="HG143" s="17"/>
      <c r="HH143" s="17"/>
      <c r="HI143" s="17"/>
      <c r="HJ143" s="17"/>
      <c r="HK143" s="17"/>
      <c r="HL143" s="17"/>
      <c r="HM143" s="17"/>
      <c r="HN143" s="17"/>
      <c r="HO143" s="17"/>
      <c r="HP143" s="17"/>
      <c r="HQ143" s="17"/>
      <c r="HR143" s="17"/>
      <c r="HS143" s="17"/>
      <c r="HT143" s="17"/>
      <c r="HU143" s="17"/>
      <c r="HV143" s="17"/>
      <c r="HW143" s="17"/>
      <c r="HX143" s="17"/>
      <c r="HY143" s="17"/>
      <c r="HZ143" s="17"/>
      <c r="IA143" s="17"/>
      <c r="IB143" s="17"/>
      <c r="IC143" s="17"/>
      <c r="ID143" s="17"/>
      <c r="IE143" s="17"/>
      <c r="IF143" s="17"/>
      <c r="IG143" s="17"/>
    </row>
    <row r="144" spans="1:241" ht="15.75" customHeight="1" x14ac:dyDescent="0.25">
      <c r="A144" s="155" t="s">
        <v>222</v>
      </c>
      <c r="B144" s="156"/>
      <c r="C144" s="156"/>
      <c r="D144" s="156"/>
      <c r="E144" s="156"/>
      <c r="F144" s="156"/>
      <c r="G144" s="156"/>
      <c r="H144" s="156"/>
      <c r="I144" s="156"/>
      <c r="J144" s="156"/>
      <c r="K144" s="156"/>
      <c r="L144" s="156"/>
      <c r="M144" s="156"/>
      <c r="N144" s="156"/>
      <c r="O144" s="156"/>
      <c r="P144" s="156"/>
      <c r="Q144" s="156"/>
      <c r="R144" s="156"/>
      <c r="S144" s="156"/>
      <c r="T144" s="156"/>
      <c r="U144" s="156"/>
      <c r="V144" s="156"/>
      <c r="W144" s="156"/>
      <c r="X144" s="156"/>
      <c r="Y144" s="156"/>
      <c r="Z144" s="156"/>
      <c r="AA144" s="156"/>
      <c r="AB144" s="156"/>
      <c r="AC144" s="156"/>
      <c r="AD144" s="156"/>
      <c r="AE144" s="157"/>
      <c r="AF144" s="38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  <c r="AQ144" s="17"/>
      <c r="AR144" s="17"/>
      <c r="AS144" s="17"/>
      <c r="AT144" s="17"/>
      <c r="AU144" s="17"/>
      <c r="AV144" s="17"/>
      <c r="AW144" s="17"/>
      <c r="AX144" s="17"/>
      <c r="AY144" s="17"/>
      <c r="AZ144" s="17"/>
      <c r="BA144" s="17"/>
      <c r="BB144" s="17"/>
      <c r="BC144" s="17"/>
      <c r="BD144" s="17"/>
      <c r="BE144" s="17"/>
      <c r="BF144" s="17"/>
      <c r="BG144" s="17"/>
      <c r="BH144" s="17"/>
      <c r="BI144" s="17"/>
      <c r="BJ144" s="17"/>
      <c r="BK144" s="17"/>
      <c r="BL144" s="17"/>
      <c r="BM144" s="17"/>
      <c r="BN144" s="17"/>
      <c r="BO144" s="17"/>
      <c r="BP144" s="17"/>
      <c r="BQ144" s="17"/>
      <c r="BR144" s="17"/>
      <c r="BS144" s="17"/>
      <c r="BT144" s="17"/>
      <c r="BU144" s="17"/>
      <c r="BV144" s="17"/>
      <c r="BW144" s="17"/>
      <c r="BX144" s="17"/>
      <c r="BY144" s="17"/>
      <c r="BZ144" s="17"/>
      <c r="CA144" s="17"/>
      <c r="CB144" s="17"/>
      <c r="CC144" s="17"/>
      <c r="CD144" s="17"/>
      <c r="CE144" s="17"/>
      <c r="CF144" s="17"/>
      <c r="CG144" s="17"/>
      <c r="CH144" s="17"/>
      <c r="CI144" s="17"/>
      <c r="CJ144" s="17"/>
      <c r="CK144" s="17"/>
      <c r="CL144" s="17"/>
      <c r="CM144" s="17"/>
      <c r="CN144" s="17"/>
      <c r="CO144" s="17"/>
      <c r="CP144" s="17"/>
      <c r="CQ144" s="17"/>
      <c r="CR144" s="17"/>
      <c r="CS144" s="17"/>
      <c r="CT144" s="17"/>
      <c r="CU144" s="17"/>
      <c r="CV144" s="17"/>
      <c r="CW144" s="17"/>
      <c r="CX144" s="17"/>
      <c r="CY144" s="17"/>
      <c r="CZ144" s="17"/>
      <c r="DA144" s="17"/>
      <c r="DB144" s="17"/>
      <c r="DC144" s="17"/>
      <c r="DD144" s="17"/>
      <c r="DE144" s="17"/>
      <c r="DF144" s="17"/>
      <c r="DG144" s="17"/>
      <c r="DH144" s="17"/>
      <c r="DI144" s="17"/>
      <c r="DJ144" s="17"/>
      <c r="DK144" s="17"/>
      <c r="DL144" s="17"/>
      <c r="DM144" s="17"/>
      <c r="DN144" s="17"/>
      <c r="DO144" s="17"/>
      <c r="DP144" s="17"/>
      <c r="DQ144" s="17"/>
      <c r="DR144" s="17"/>
      <c r="DS144" s="17"/>
      <c r="DT144" s="17"/>
      <c r="DU144" s="17"/>
      <c r="DV144" s="17"/>
      <c r="DW144" s="17"/>
      <c r="DX144" s="17"/>
      <c r="DY144" s="17"/>
      <c r="DZ144" s="17"/>
      <c r="EA144" s="17"/>
      <c r="EB144" s="17"/>
      <c r="EC144" s="17"/>
      <c r="ED144" s="17"/>
      <c r="EE144" s="17"/>
      <c r="EF144" s="17"/>
      <c r="EG144" s="17"/>
      <c r="EH144" s="17"/>
      <c r="EI144" s="17"/>
      <c r="EJ144" s="17"/>
      <c r="EK144" s="17"/>
      <c r="EL144" s="17"/>
      <c r="EM144" s="17"/>
      <c r="EN144" s="17"/>
      <c r="EO144" s="17"/>
      <c r="EP144" s="17"/>
      <c r="EQ144" s="17"/>
      <c r="ER144" s="17"/>
      <c r="ES144" s="17"/>
      <c r="ET144" s="17"/>
      <c r="EU144" s="17"/>
      <c r="EV144" s="17"/>
      <c r="EW144" s="17"/>
      <c r="EX144" s="17"/>
      <c r="EY144" s="17"/>
      <c r="EZ144" s="17"/>
      <c r="FA144" s="17"/>
      <c r="FB144" s="17"/>
      <c r="FC144" s="17"/>
      <c r="FD144" s="17"/>
      <c r="FE144" s="17"/>
      <c r="FF144" s="17"/>
      <c r="FG144" s="17"/>
      <c r="FH144" s="17"/>
      <c r="FI144" s="17"/>
      <c r="FJ144" s="17"/>
      <c r="FK144" s="17"/>
      <c r="FL144" s="17"/>
      <c r="FM144" s="17"/>
      <c r="FN144" s="17"/>
      <c r="FO144" s="17"/>
      <c r="FP144" s="17"/>
      <c r="FQ144" s="17"/>
      <c r="FR144" s="17"/>
      <c r="FS144" s="17"/>
      <c r="FT144" s="17"/>
      <c r="FU144" s="17"/>
      <c r="FV144" s="17"/>
      <c r="FW144" s="17"/>
      <c r="FX144" s="17"/>
      <c r="FY144" s="17"/>
      <c r="FZ144" s="17"/>
      <c r="GA144" s="17"/>
      <c r="GB144" s="17"/>
      <c r="GC144" s="17"/>
      <c r="GD144" s="17"/>
      <c r="GE144" s="17"/>
      <c r="GF144" s="17"/>
      <c r="GG144" s="17"/>
      <c r="GH144" s="17"/>
      <c r="GI144" s="17"/>
      <c r="GJ144" s="17"/>
      <c r="GK144" s="17"/>
      <c r="GL144" s="17"/>
      <c r="GM144" s="17"/>
      <c r="GN144" s="17"/>
      <c r="GO144" s="17"/>
      <c r="GP144" s="17"/>
      <c r="GQ144" s="17"/>
      <c r="GR144" s="17"/>
      <c r="GS144" s="17"/>
      <c r="GT144" s="17"/>
      <c r="GU144" s="17"/>
      <c r="GV144" s="17"/>
      <c r="GW144" s="17"/>
      <c r="GX144" s="17"/>
      <c r="GY144" s="17"/>
      <c r="GZ144" s="17"/>
      <c r="HA144" s="17"/>
      <c r="HB144" s="17"/>
      <c r="HC144" s="17"/>
      <c r="HD144" s="17"/>
      <c r="HE144" s="17"/>
      <c r="HF144" s="17"/>
      <c r="HG144" s="17"/>
      <c r="HH144" s="17"/>
      <c r="HI144" s="17"/>
      <c r="HJ144" s="17"/>
      <c r="HK144" s="17"/>
      <c r="HL144" s="17"/>
      <c r="HM144" s="17"/>
      <c r="HN144" s="17"/>
      <c r="HO144" s="17"/>
      <c r="HP144" s="17"/>
      <c r="HQ144" s="17"/>
      <c r="HR144" s="17"/>
      <c r="HS144" s="17"/>
      <c r="HT144" s="17"/>
      <c r="HU144" s="17"/>
      <c r="HV144" s="17"/>
      <c r="HW144" s="17"/>
      <c r="HX144" s="17"/>
      <c r="HY144" s="17"/>
      <c r="HZ144" s="17"/>
      <c r="IA144" s="17"/>
      <c r="IB144" s="17"/>
      <c r="IC144" s="17"/>
      <c r="ID144" s="17"/>
      <c r="IE144" s="17"/>
      <c r="IF144" s="17"/>
      <c r="IG144" s="17"/>
    </row>
    <row r="145" spans="1:241" ht="15.75" customHeight="1" x14ac:dyDescent="0.25">
      <c r="A145" s="41">
        <v>122</v>
      </c>
      <c r="B145" s="56" t="s">
        <v>198</v>
      </c>
      <c r="C145" s="42" t="s">
        <v>193</v>
      </c>
      <c r="D145" s="65"/>
      <c r="E145" s="65"/>
      <c r="F145" s="65">
        <f>40000481.25+173514693</f>
        <v>213515174.25</v>
      </c>
      <c r="G145" s="65">
        <v>236961622.33000001</v>
      </c>
      <c r="H145" s="65"/>
      <c r="I145" s="65"/>
      <c r="J145" s="65">
        <f>F145+G145</f>
        <v>450476796.58000004</v>
      </c>
      <c r="K145" s="65">
        <v>3341141.21</v>
      </c>
      <c r="L145" s="65">
        <v>-711016.75</v>
      </c>
      <c r="M145" s="47">
        <v>2630124.46</v>
      </c>
      <c r="N145" s="65">
        <v>470481858.42000002</v>
      </c>
      <c r="O145" s="65">
        <v>-3369357.03</v>
      </c>
      <c r="P145" s="73">
        <v>473620458</v>
      </c>
      <c r="Q145" s="50">
        <f>(P145/$P$82)</f>
        <v>1.1785327025563785E-3</v>
      </c>
      <c r="R145" s="73">
        <v>467112501.39000005</v>
      </c>
      <c r="S145" s="50">
        <f t="shared" ref="S145:S150" si="55">(R145/$R$151)</f>
        <v>2.3975007235067958E-2</v>
      </c>
      <c r="T145" s="51">
        <f t="shared" ref="T145:T150" si="56">((R145-P145)/P145)</f>
        <v>-1.3740868875220661E-2</v>
      </c>
      <c r="U145" s="52">
        <f t="shared" ref="U145:U150" si="57">(L145/R145)</f>
        <v>-1.5221531170418413E-3</v>
      </c>
      <c r="V145" s="53">
        <f t="shared" ref="V145:V150" si="58">M145/R145</f>
        <v>5.6306017333585881E-3</v>
      </c>
      <c r="W145" s="54">
        <f t="shared" ref="W145:W150" si="59">R145/AE145</f>
        <v>1013.9344452596415</v>
      </c>
      <c r="X145" s="54">
        <f t="shared" ref="X145:X150" si="60">M145/AE145</f>
        <v>5.709061044990916</v>
      </c>
      <c r="Y145" s="44">
        <v>1013.9344452596415</v>
      </c>
      <c r="Z145" s="44">
        <v>1013.9344452596415</v>
      </c>
      <c r="AA145" s="64">
        <v>23</v>
      </c>
      <c r="AB145" s="55">
        <v>464561</v>
      </c>
      <c r="AC145" s="55">
        <v>1281</v>
      </c>
      <c r="AD145" s="55">
        <v>5149</v>
      </c>
      <c r="AE145" s="55">
        <v>460693</v>
      </c>
      <c r="AF145" s="38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  <c r="AT145" s="17"/>
      <c r="AU145" s="17"/>
      <c r="AV145" s="17"/>
      <c r="AW145" s="17"/>
      <c r="AX145" s="17"/>
      <c r="AY145" s="17"/>
      <c r="AZ145" s="17"/>
      <c r="BA145" s="17"/>
      <c r="BB145" s="17"/>
      <c r="BC145" s="17"/>
      <c r="BD145" s="17"/>
      <c r="BE145" s="17"/>
      <c r="BF145" s="17"/>
      <c r="BG145" s="17"/>
      <c r="BH145" s="17"/>
      <c r="BI145" s="17"/>
      <c r="BJ145" s="17"/>
      <c r="BK145" s="17"/>
      <c r="BL145" s="17"/>
      <c r="BM145" s="17"/>
      <c r="BN145" s="17"/>
      <c r="BO145" s="17"/>
      <c r="BP145" s="17"/>
      <c r="BQ145" s="17"/>
      <c r="BR145" s="17"/>
      <c r="BS145" s="17"/>
      <c r="BT145" s="17"/>
      <c r="BU145" s="17"/>
      <c r="BV145" s="17"/>
      <c r="BW145" s="17"/>
      <c r="BX145" s="17"/>
      <c r="BY145" s="17"/>
      <c r="BZ145" s="17"/>
      <c r="CA145" s="17"/>
      <c r="CB145" s="17"/>
      <c r="CC145" s="17"/>
      <c r="CD145" s="17"/>
      <c r="CE145" s="17"/>
      <c r="CF145" s="17"/>
      <c r="CG145" s="17"/>
      <c r="CH145" s="17"/>
      <c r="CI145" s="17"/>
      <c r="CJ145" s="17"/>
      <c r="CK145" s="17"/>
      <c r="CL145" s="17"/>
      <c r="CM145" s="17"/>
      <c r="CN145" s="17"/>
      <c r="CO145" s="17"/>
      <c r="CP145" s="17"/>
      <c r="CQ145" s="17"/>
      <c r="CR145" s="17"/>
      <c r="CS145" s="17"/>
      <c r="CT145" s="17"/>
      <c r="CU145" s="17"/>
      <c r="CV145" s="17"/>
      <c r="CW145" s="17"/>
      <c r="CX145" s="17"/>
      <c r="CY145" s="17"/>
      <c r="CZ145" s="17"/>
      <c r="DA145" s="17"/>
      <c r="DB145" s="17"/>
      <c r="DC145" s="17"/>
      <c r="DD145" s="17"/>
      <c r="DE145" s="17"/>
      <c r="DF145" s="17"/>
      <c r="DG145" s="17"/>
      <c r="DH145" s="17"/>
      <c r="DI145" s="17"/>
      <c r="DJ145" s="17"/>
      <c r="DK145" s="17"/>
      <c r="DL145" s="17"/>
      <c r="DM145" s="17"/>
      <c r="DN145" s="17"/>
      <c r="DO145" s="17"/>
      <c r="DP145" s="17"/>
      <c r="DQ145" s="17"/>
      <c r="DR145" s="17"/>
      <c r="DS145" s="17"/>
      <c r="DT145" s="17"/>
      <c r="DU145" s="17"/>
      <c r="DV145" s="17"/>
      <c r="DW145" s="17"/>
      <c r="DX145" s="17"/>
      <c r="DY145" s="17"/>
      <c r="DZ145" s="17"/>
      <c r="EA145" s="17"/>
      <c r="EB145" s="17"/>
      <c r="EC145" s="17"/>
      <c r="ED145" s="17"/>
      <c r="EE145" s="17"/>
      <c r="EF145" s="17"/>
      <c r="EG145" s="17"/>
      <c r="EH145" s="17"/>
      <c r="EI145" s="17"/>
      <c r="EJ145" s="17"/>
      <c r="EK145" s="17"/>
      <c r="EL145" s="17"/>
      <c r="EM145" s="17"/>
      <c r="EN145" s="17"/>
      <c r="EO145" s="17"/>
      <c r="EP145" s="17"/>
      <c r="EQ145" s="17"/>
      <c r="ER145" s="17"/>
      <c r="ES145" s="17"/>
      <c r="ET145" s="17"/>
      <c r="EU145" s="17"/>
      <c r="EV145" s="17"/>
      <c r="EW145" s="17"/>
      <c r="EX145" s="17"/>
      <c r="EY145" s="17"/>
      <c r="EZ145" s="17"/>
      <c r="FA145" s="17"/>
      <c r="FB145" s="17"/>
      <c r="FC145" s="17"/>
      <c r="FD145" s="17"/>
      <c r="FE145" s="17"/>
      <c r="FF145" s="17"/>
      <c r="FG145" s="17"/>
      <c r="FH145" s="17"/>
      <c r="FI145" s="17"/>
      <c r="FJ145" s="17"/>
      <c r="FK145" s="17"/>
      <c r="FL145" s="17"/>
      <c r="FM145" s="17"/>
      <c r="FN145" s="17"/>
      <c r="FO145" s="17"/>
      <c r="FP145" s="17"/>
      <c r="FQ145" s="17"/>
      <c r="FR145" s="17"/>
      <c r="FS145" s="17"/>
      <c r="FT145" s="17"/>
      <c r="FU145" s="17"/>
      <c r="FV145" s="17"/>
      <c r="FW145" s="17"/>
      <c r="FX145" s="17"/>
      <c r="FY145" s="17"/>
      <c r="FZ145" s="17"/>
      <c r="GA145" s="17"/>
      <c r="GB145" s="17"/>
      <c r="GC145" s="17"/>
      <c r="GD145" s="17"/>
      <c r="GE145" s="17"/>
      <c r="GF145" s="17"/>
      <c r="GG145" s="17"/>
      <c r="GH145" s="17"/>
      <c r="GI145" s="17"/>
      <c r="GJ145" s="17"/>
      <c r="GK145" s="17"/>
      <c r="GL145" s="17"/>
      <c r="GM145" s="17"/>
      <c r="GN145" s="17"/>
      <c r="GO145" s="17"/>
      <c r="GP145" s="17"/>
      <c r="GQ145" s="17"/>
      <c r="GR145" s="17"/>
      <c r="GS145" s="17"/>
      <c r="GT145" s="17"/>
      <c r="GU145" s="17"/>
      <c r="GV145" s="17"/>
      <c r="GW145" s="17"/>
      <c r="GX145" s="17"/>
      <c r="GY145" s="17"/>
      <c r="GZ145" s="17"/>
      <c r="HA145" s="17"/>
      <c r="HB145" s="17"/>
      <c r="HC145" s="17"/>
      <c r="HD145" s="17"/>
      <c r="HE145" s="17"/>
      <c r="HF145" s="17"/>
      <c r="HG145" s="17"/>
      <c r="HH145" s="17"/>
      <c r="HI145" s="17"/>
      <c r="HJ145" s="17"/>
      <c r="HK145" s="17"/>
      <c r="HL145" s="17"/>
      <c r="HM145" s="17"/>
      <c r="HN145" s="17"/>
      <c r="HO145" s="17"/>
      <c r="HP145" s="17"/>
      <c r="HQ145" s="17"/>
      <c r="HR145" s="17"/>
      <c r="HS145" s="17"/>
      <c r="HT145" s="17"/>
      <c r="HU145" s="17"/>
      <c r="HV145" s="17"/>
      <c r="HW145" s="17"/>
      <c r="HX145" s="17"/>
      <c r="HY145" s="17"/>
      <c r="HZ145" s="17"/>
      <c r="IA145" s="17"/>
      <c r="IB145" s="17"/>
      <c r="IC145" s="17"/>
      <c r="ID145" s="17"/>
      <c r="IE145" s="17"/>
      <c r="IF145" s="17"/>
      <c r="IG145" s="17"/>
    </row>
    <row r="146" spans="1:241" ht="15.75" customHeight="1" x14ac:dyDescent="0.25">
      <c r="A146" s="41">
        <v>123</v>
      </c>
      <c r="B146" s="56" t="s">
        <v>208</v>
      </c>
      <c r="C146" s="56" t="s">
        <v>65</v>
      </c>
      <c r="D146" s="65"/>
      <c r="E146" s="65"/>
      <c r="F146" s="65">
        <v>0</v>
      </c>
      <c r="G146" s="65">
        <v>10358477.689999999</v>
      </c>
      <c r="H146" s="65"/>
      <c r="I146" s="65"/>
      <c r="J146" s="65">
        <v>10358477.689999999</v>
      </c>
      <c r="K146" s="65">
        <v>463192.59</v>
      </c>
      <c r="L146" s="65">
        <v>252456.37</v>
      </c>
      <c r="M146" s="47">
        <v>210736.22</v>
      </c>
      <c r="N146" s="65">
        <v>44127169.289999999</v>
      </c>
      <c r="O146" s="65">
        <v>390821.12</v>
      </c>
      <c r="P146" s="73">
        <v>0</v>
      </c>
      <c r="Q146" s="50">
        <f>(P146/$P$82)</f>
        <v>0</v>
      </c>
      <c r="R146" s="73">
        <v>43736348.170000002</v>
      </c>
      <c r="S146" s="50">
        <f t="shared" si="55"/>
        <v>2.2448109624360595E-3</v>
      </c>
      <c r="T146" s="51" t="e">
        <f t="shared" si="56"/>
        <v>#DIV/0!</v>
      </c>
      <c r="U146" s="52">
        <f t="shared" si="57"/>
        <v>5.7722324922675405E-3</v>
      </c>
      <c r="V146" s="53">
        <f t="shared" si="58"/>
        <v>4.8183314066570816E-3</v>
      </c>
      <c r="W146" s="54">
        <f t="shared" si="59"/>
        <v>100.06027950125829</v>
      </c>
      <c r="X146" s="54">
        <f t="shared" si="60"/>
        <v>0.48212358727979865</v>
      </c>
      <c r="Y146" s="44">
        <v>101.12</v>
      </c>
      <c r="Z146" s="44">
        <v>101.12</v>
      </c>
      <c r="AA146" s="64">
        <v>41</v>
      </c>
      <c r="AB146" s="55">
        <v>519190</v>
      </c>
      <c r="AC146" s="55">
        <v>29380</v>
      </c>
      <c r="AD146" s="55">
        <v>111470</v>
      </c>
      <c r="AE146" s="55">
        <v>437100</v>
      </c>
      <c r="AF146" s="38"/>
      <c r="AG146" s="37"/>
    </row>
    <row r="147" spans="1:241" ht="15.75" customHeight="1" x14ac:dyDescent="0.25">
      <c r="A147" s="41">
        <v>124</v>
      </c>
      <c r="B147" s="42" t="s">
        <v>179</v>
      </c>
      <c r="C147" s="42" t="s">
        <v>55</v>
      </c>
      <c r="D147" s="44"/>
      <c r="E147" s="44"/>
      <c r="F147" s="44">
        <v>399999396.95999998</v>
      </c>
      <c r="G147" s="44">
        <v>6190521391.6800003</v>
      </c>
      <c r="H147" s="44"/>
      <c r="I147" s="45"/>
      <c r="J147" s="45">
        <v>6573126398.6099997</v>
      </c>
      <c r="K147" s="45">
        <v>76264975.140000001</v>
      </c>
      <c r="L147" s="45">
        <v>10711182.880000001</v>
      </c>
      <c r="M147" s="47">
        <v>65553792.259999998</v>
      </c>
      <c r="N147" s="65">
        <v>6574693956.1599998</v>
      </c>
      <c r="O147" s="65">
        <v>1567557.55</v>
      </c>
      <c r="P147" s="73">
        <v>5760277249.5900002</v>
      </c>
      <c r="Q147" s="50">
        <f>(P147/$P$151)</f>
        <v>0.30507402764993735</v>
      </c>
      <c r="R147" s="73">
        <v>6573126398.6099997</v>
      </c>
      <c r="S147" s="50">
        <f t="shared" si="55"/>
        <v>0.33737215872994963</v>
      </c>
      <c r="T147" s="51">
        <f t="shared" si="56"/>
        <v>0.14111285165620382</v>
      </c>
      <c r="U147" s="52">
        <f t="shared" si="57"/>
        <v>1.6295415956499885E-3</v>
      </c>
      <c r="V147" s="53">
        <f t="shared" si="58"/>
        <v>9.973000408734339E-3</v>
      </c>
      <c r="W147" s="54">
        <f t="shared" si="59"/>
        <v>119.4501762798464</v>
      </c>
      <c r="X147" s="54">
        <f t="shared" si="60"/>
        <v>1.191276656862297</v>
      </c>
      <c r="Y147" s="65">
        <v>122.96</v>
      </c>
      <c r="Z147" s="65">
        <v>122.96</v>
      </c>
      <c r="AA147" s="64">
        <v>405</v>
      </c>
      <c r="AB147" s="64">
        <v>48335218</v>
      </c>
      <c r="AC147" s="64">
        <v>8463541</v>
      </c>
      <c r="AD147" s="64">
        <v>1770574</v>
      </c>
      <c r="AE147" s="45">
        <v>55028185</v>
      </c>
      <c r="AF147" s="38"/>
    </row>
    <row r="148" spans="1:241" ht="15.75" customHeight="1" x14ac:dyDescent="0.25">
      <c r="A148" s="41">
        <v>125</v>
      </c>
      <c r="B148" s="42" t="s">
        <v>151</v>
      </c>
      <c r="C148" s="42" t="s">
        <v>180</v>
      </c>
      <c r="D148" s="44"/>
      <c r="E148" s="44"/>
      <c r="F148" s="44"/>
      <c r="G148" s="44">
        <v>302633947.26999998</v>
      </c>
      <c r="H148" s="44"/>
      <c r="I148" s="45">
        <v>2491875.94</v>
      </c>
      <c r="J148" s="45">
        <v>336447429.14999998</v>
      </c>
      <c r="K148" s="45">
        <v>3082001.92</v>
      </c>
      <c r="L148" s="45">
        <v>703927.65</v>
      </c>
      <c r="M148" s="47">
        <v>2378074.27</v>
      </c>
      <c r="N148" s="65">
        <v>336719217.26999998</v>
      </c>
      <c r="O148" s="65">
        <v>1728728.8</v>
      </c>
      <c r="P148" s="73">
        <v>311126241.73000002</v>
      </c>
      <c r="Q148" s="50">
        <f>(P148/$P$151)</f>
        <v>1.6477772086215987E-2</v>
      </c>
      <c r="R148" s="73">
        <v>334990488.47000003</v>
      </c>
      <c r="S148" s="50">
        <f t="shared" si="55"/>
        <v>1.7193715348760599E-2</v>
      </c>
      <c r="T148" s="51">
        <f t="shared" si="56"/>
        <v>7.6702777005578843E-2</v>
      </c>
      <c r="U148" s="52">
        <f t="shared" si="57"/>
        <v>2.1013362296196658E-3</v>
      </c>
      <c r="V148" s="53">
        <f t="shared" si="58"/>
        <v>7.0989307214702237E-3</v>
      </c>
      <c r="W148" s="54">
        <f t="shared" si="59"/>
        <v>102.20331852004173</v>
      </c>
      <c r="X148" s="54">
        <f t="shared" si="60"/>
        <v>0.72553427767813095</v>
      </c>
      <c r="Y148" s="65">
        <v>102.2</v>
      </c>
      <c r="Z148" s="65">
        <v>102.2</v>
      </c>
      <c r="AA148" s="64">
        <v>231</v>
      </c>
      <c r="AB148" s="64">
        <v>3063644</v>
      </c>
      <c r="AC148" s="64">
        <v>355972</v>
      </c>
      <c r="AD148" s="64">
        <v>141929</v>
      </c>
      <c r="AE148" s="45">
        <v>3277687</v>
      </c>
      <c r="AF148" s="38"/>
    </row>
    <row r="149" spans="1:241" ht="15.75" customHeight="1" x14ac:dyDescent="0.25">
      <c r="A149" s="41">
        <v>126</v>
      </c>
      <c r="B149" s="56" t="s">
        <v>116</v>
      </c>
      <c r="C149" s="56" t="s">
        <v>23</v>
      </c>
      <c r="D149" s="44"/>
      <c r="E149" s="44"/>
      <c r="F149" s="44">
        <v>539449281.51999998</v>
      </c>
      <c r="G149" s="44">
        <v>6238365892.4899998</v>
      </c>
      <c r="H149" s="44"/>
      <c r="I149" s="45"/>
      <c r="J149" s="45">
        <v>6777815174.0100002</v>
      </c>
      <c r="K149" s="45">
        <v>33997499.280000001</v>
      </c>
      <c r="L149" s="45">
        <v>11294317.08</v>
      </c>
      <c r="M149" s="47">
        <v>22703182.199999999</v>
      </c>
      <c r="N149" s="65">
        <v>6795203294.8400002</v>
      </c>
      <c r="O149" s="65">
        <v>62136787.829999998</v>
      </c>
      <c r="P149" s="73">
        <v>6832676028.1199999</v>
      </c>
      <c r="Q149" s="50">
        <f>(P149/$P$151)</f>
        <v>0.36187008111009095</v>
      </c>
      <c r="R149" s="73">
        <v>6733066507.0100002</v>
      </c>
      <c r="S149" s="50">
        <f t="shared" si="55"/>
        <v>0.34558124164821225</v>
      </c>
      <c r="T149" s="51">
        <f t="shared" si="56"/>
        <v>-1.4578405400761708E-2</v>
      </c>
      <c r="U149" s="52">
        <f t="shared" si="57"/>
        <v>1.6774402968158927E-3</v>
      </c>
      <c r="V149" s="53">
        <f t="shared" si="58"/>
        <v>3.3718933529563425E-3</v>
      </c>
      <c r="W149" s="54">
        <f t="shared" si="59"/>
        <v>119.56056554983373</v>
      </c>
      <c r="X149" s="54">
        <f t="shared" si="60"/>
        <v>0.40314547625318542</v>
      </c>
      <c r="Y149" s="65">
        <v>119.56</v>
      </c>
      <c r="Z149" s="65">
        <v>119.56</v>
      </c>
      <c r="AA149" s="90">
        <v>992</v>
      </c>
      <c r="AB149" s="65">
        <v>57329325.039999999</v>
      </c>
      <c r="AC149" s="65">
        <v>1174557.54</v>
      </c>
      <c r="AD149" s="65">
        <v>2188771.69</v>
      </c>
      <c r="AE149" s="45">
        <v>56315110.890000001</v>
      </c>
      <c r="AF149" s="38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  <c r="AR149" s="17"/>
      <c r="AS149" s="17"/>
      <c r="AT149" s="17"/>
      <c r="AU149" s="17"/>
      <c r="AV149" s="17"/>
      <c r="AW149" s="17"/>
      <c r="AX149" s="17"/>
      <c r="AY149" s="17"/>
      <c r="AZ149" s="17"/>
      <c r="BA149" s="17"/>
      <c r="BB149" s="17"/>
      <c r="BC149" s="17"/>
      <c r="BD149" s="17"/>
      <c r="BE149" s="17"/>
      <c r="BF149" s="17"/>
      <c r="BG149" s="17"/>
      <c r="BH149" s="17"/>
      <c r="BI149" s="17"/>
      <c r="BJ149" s="17"/>
      <c r="BK149" s="17"/>
      <c r="BL149" s="17"/>
      <c r="BM149" s="17"/>
      <c r="BN149" s="17"/>
      <c r="BO149" s="17"/>
      <c r="BP149" s="17"/>
      <c r="BQ149" s="17"/>
      <c r="BR149" s="17"/>
      <c r="BS149" s="17"/>
      <c r="BT149" s="17"/>
      <c r="BU149" s="17"/>
      <c r="BV149" s="17"/>
      <c r="BW149" s="17"/>
      <c r="BX149" s="17"/>
      <c r="BY149" s="17"/>
      <c r="BZ149" s="17"/>
      <c r="CA149" s="17"/>
      <c r="CB149" s="17"/>
      <c r="CC149" s="17"/>
      <c r="CD149" s="17"/>
      <c r="CE149" s="17"/>
      <c r="CF149" s="17"/>
      <c r="CG149" s="17"/>
      <c r="CH149" s="17"/>
      <c r="CI149" s="17"/>
      <c r="CJ149" s="17"/>
      <c r="CK149" s="17"/>
      <c r="CL149" s="17"/>
      <c r="CM149" s="17"/>
      <c r="CN149" s="17"/>
      <c r="CO149" s="17"/>
      <c r="CP149" s="17"/>
      <c r="CQ149" s="17"/>
      <c r="CR149" s="17"/>
      <c r="CS149" s="17"/>
      <c r="CT149" s="17"/>
      <c r="CU149" s="17"/>
      <c r="CV149" s="17"/>
      <c r="CW149" s="17"/>
      <c r="CX149" s="17"/>
      <c r="CY149" s="17"/>
      <c r="CZ149" s="17"/>
      <c r="DA149" s="17"/>
      <c r="DB149" s="17"/>
      <c r="DC149" s="17"/>
      <c r="DD149" s="17"/>
      <c r="DE149" s="17"/>
      <c r="DF149" s="17"/>
      <c r="DG149" s="17"/>
      <c r="DH149" s="17"/>
      <c r="DI149" s="17"/>
      <c r="DJ149" s="17"/>
      <c r="DK149" s="17"/>
      <c r="DL149" s="17"/>
      <c r="DM149" s="17"/>
      <c r="DN149" s="17"/>
      <c r="DO149" s="17"/>
      <c r="DP149" s="17"/>
      <c r="DQ149" s="17"/>
      <c r="DR149" s="17"/>
      <c r="DS149" s="17"/>
      <c r="DT149" s="17"/>
      <c r="DU149" s="17"/>
      <c r="DV149" s="17"/>
      <c r="DW149" s="17"/>
      <c r="DX149" s="17"/>
      <c r="DY149" s="17"/>
      <c r="DZ149" s="17"/>
      <c r="EA149" s="17"/>
      <c r="EB149" s="17"/>
      <c r="EC149" s="17"/>
      <c r="ED149" s="17"/>
      <c r="EE149" s="17"/>
      <c r="EF149" s="17"/>
      <c r="EG149" s="17"/>
      <c r="EH149" s="17"/>
      <c r="EI149" s="17"/>
      <c r="EJ149" s="17"/>
      <c r="EK149" s="17"/>
      <c r="EL149" s="17"/>
      <c r="EM149" s="17"/>
      <c r="EN149" s="17"/>
      <c r="EO149" s="17"/>
      <c r="EP149" s="17"/>
      <c r="EQ149" s="17"/>
      <c r="ER149" s="17"/>
      <c r="ES149" s="17"/>
      <c r="ET149" s="17"/>
      <c r="EU149" s="17"/>
      <c r="EV149" s="17"/>
      <c r="EW149" s="17"/>
      <c r="EX149" s="17"/>
      <c r="EY149" s="17"/>
      <c r="EZ149" s="17"/>
      <c r="FA149" s="17"/>
      <c r="FB149" s="17"/>
      <c r="FC149" s="17"/>
      <c r="FD149" s="17"/>
      <c r="FE149" s="17"/>
      <c r="FF149" s="17"/>
      <c r="FG149" s="17"/>
      <c r="FH149" s="17"/>
      <c r="FI149" s="17"/>
      <c r="FJ149" s="17"/>
      <c r="FK149" s="17"/>
      <c r="FL149" s="17"/>
      <c r="FM149" s="17"/>
      <c r="FN149" s="17"/>
      <c r="FO149" s="17"/>
      <c r="FP149" s="17"/>
      <c r="FQ149" s="17"/>
      <c r="FR149" s="17"/>
      <c r="FS149" s="17"/>
      <c r="FT149" s="17"/>
      <c r="FU149" s="17"/>
      <c r="FV149" s="17"/>
      <c r="FW149" s="17"/>
      <c r="FX149" s="17"/>
      <c r="FY149" s="17"/>
      <c r="FZ149" s="17"/>
      <c r="GA149" s="17"/>
      <c r="GB149" s="17"/>
      <c r="GC149" s="17"/>
      <c r="GD149" s="17"/>
      <c r="GE149" s="17"/>
      <c r="GF149" s="17"/>
      <c r="GG149" s="17"/>
      <c r="GH149" s="17"/>
      <c r="GI149" s="17"/>
      <c r="GJ149" s="17"/>
      <c r="GK149" s="17"/>
      <c r="GL149" s="17"/>
      <c r="GM149" s="17"/>
      <c r="GN149" s="17"/>
      <c r="GO149" s="17"/>
      <c r="GP149" s="17"/>
      <c r="GQ149" s="17"/>
      <c r="GR149" s="17"/>
      <c r="GS149" s="17"/>
      <c r="GT149" s="17"/>
      <c r="GU149" s="17"/>
      <c r="GV149" s="17"/>
      <c r="GW149" s="17"/>
      <c r="GX149" s="17"/>
      <c r="GY149" s="17"/>
      <c r="GZ149" s="17"/>
      <c r="HA149" s="17"/>
      <c r="HB149" s="17"/>
      <c r="HC149" s="17"/>
      <c r="HD149" s="17"/>
      <c r="HE149" s="17"/>
      <c r="HF149" s="17"/>
      <c r="HG149" s="17"/>
      <c r="HH149" s="17"/>
      <c r="HI149" s="17"/>
      <c r="HJ149" s="17"/>
      <c r="HK149" s="17"/>
      <c r="HL149" s="17"/>
      <c r="HM149" s="17"/>
      <c r="HN149" s="17"/>
      <c r="HO149" s="17"/>
      <c r="HP149" s="17"/>
      <c r="HQ149" s="17"/>
      <c r="HR149" s="17"/>
      <c r="HS149" s="17"/>
      <c r="HT149" s="17"/>
      <c r="HU149" s="17"/>
      <c r="HV149" s="17"/>
      <c r="HW149" s="17"/>
      <c r="HX149" s="17"/>
      <c r="HY149" s="17"/>
      <c r="HZ149" s="17"/>
      <c r="IA149" s="17"/>
      <c r="IB149" s="17"/>
      <c r="IC149" s="17"/>
      <c r="ID149" s="17"/>
      <c r="IE149" s="17"/>
      <c r="IF149" s="17"/>
      <c r="IG149" s="17"/>
    </row>
    <row r="150" spans="1:241" ht="16.5" customHeight="1" x14ac:dyDescent="0.25">
      <c r="A150" s="41">
        <v>127</v>
      </c>
      <c r="B150" s="42" t="s">
        <v>155</v>
      </c>
      <c r="C150" s="42" t="s">
        <v>33</v>
      </c>
      <c r="D150" s="44"/>
      <c r="E150" s="44"/>
      <c r="F150" s="44">
        <v>382417196</v>
      </c>
      <c r="G150" s="44">
        <v>1408723457</v>
      </c>
      <c r="H150" s="44"/>
      <c r="I150" s="45"/>
      <c r="J150" s="45">
        <f>F150+G150</f>
        <v>1791140653</v>
      </c>
      <c r="K150" s="45">
        <v>17290211</v>
      </c>
      <c r="L150" s="45">
        <v>3196249</v>
      </c>
      <c r="M150" s="47">
        <v>14093961</v>
      </c>
      <c r="N150" s="65">
        <v>1793639257</v>
      </c>
      <c r="O150" s="65">
        <v>14792152.67</v>
      </c>
      <c r="P150" s="73">
        <v>1919589416</v>
      </c>
      <c r="Q150" s="50">
        <f>(P150/$P$151)</f>
        <v>0.10166470279099735</v>
      </c>
      <c r="R150" s="73">
        <v>1778847104</v>
      </c>
      <c r="S150" s="50">
        <f t="shared" si="55"/>
        <v>9.1301072143372713E-2</v>
      </c>
      <c r="T150" s="51">
        <f t="shared" si="56"/>
        <v>-7.3318966455480805E-2</v>
      </c>
      <c r="U150" s="52">
        <f t="shared" si="57"/>
        <v>1.7968092888999638E-3</v>
      </c>
      <c r="V150" s="53">
        <f t="shared" si="58"/>
        <v>7.923087357147026E-3</v>
      </c>
      <c r="W150" s="54">
        <f t="shared" si="59"/>
        <v>1.0654588980842201</v>
      </c>
      <c r="X150" s="54">
        <f t="shared" si="60"/>
        <v>8.4417239249708863E-3</v>
      </c>
      <c r="Y150" s="65">
        <v>1.07</v>
      </c>
      <c r="Z150" s="65">
        <v>1.07</v>
      </c>
      <c r="AA150" s="64">
        <v>121</v>
      </c>
      <c r="AB150" s="64">
        <v>1789705097</v>
      </c>
      <c r="AC150" s="64">
        <v>35739646</v>
      </c>
      <c r="AD150" s="64">
        <v>155885169</v>
      </c>
      <c r="AE150" s="45">
        <v>1669559574</v>
      </c>
      <c r="AF150" s="5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  <c r="AQ150" s="17"/>
      <c r="AR150" s="17"/>
      <c r="AS150" s="17"/>
      <c r="AT150" s="17"/>
      <c r="AU150" s="17"/>
      <c r="AV150" s="17"/>
      <c r="AW150" s="17"/>
      <c r="AX150" s="17"/>
      <c r="AY150" s="17"/>
      <c r="AZ150" s="17"/>
      <c r="BA150" s="17"/>
      <c r="BB150" s="17"/>
      <c r="BC150" s="17"/>
      <c r="BD150" s="17"/>
      <c r="BE150" s="17"/>
      <c r="BF150" s="17"/>
      <c r="BG150" s="17"/>
      <c r="BH150" s="17"/>
      <c r="BI150" s="17"/>
      <c r="BJ150" s="17"/>
      <c r="BK150" s="17"/>
      <c r="BL150" s="17"/>
      <c r="BM150" s="17"/>
      <c r="BN150" s="17"/>
      <c r="BO150" s="17"/>
      <c r="BP150" s="17"/>
      <c r="BQ150" s="17"/>
      <c r="BR150" s="17"/>
      <c r="BS150" s="17"/>
      <c r="BT150" s="17"/>
      <c r="BU150" s="17"/>
      <c r="BV150" s="17"/>
      <c r="BW150" s="17"/>
      <c r="BX150" s="17"/>
      <c r="BY150" s="17"/>
      <c r="BZ150" s="17"/>
      <c r="CA150" s="17"/>
      <c r="CB150" s="17"/>
      <c r="CC150" s="17"/>
      <c r="CD150" s="17"/>
      <c r="CE150" s="17"/>
      <c r="CF150" s="17"/>
      <c r="CG150" s="17"/>
      <c r="CH150" s="17"/>
      <c r="CI150" s="17"/>
      <c r="CJ150" s="17"/>
      <c r="CK150" s="17"/>
      <c r="CL150" s="17"/>
      <c r="CM150" s="17"/>
      <c r="CN150" s="17"/>
      <c r="CO150" s="17"/>
      <c r="CP150" s="17"/>
      <c r="CQ150" s="17"/>
      <c r="CR150" s="17"/>
      <c r="CS150" s="17"/>
      <c r="CT150" s="17"/>
      <c r="CU150" s="17"/>
      <c r="CV150" s="17"/>
      <c r="CW150" s="17"/>
      <c r="CX150" s="17"/>
      <c r="CY150" s="17"/>
      <c r="CZ150" s="17"/>
      <c r="DA150" s="17"/>
      <c r="DB150" s="17"/>
      <c r="DC150" s="17"/>
      <c r="DD150" s="17"/>
      <c r="DE150" s="17"/>
      <c r="DF150" s="17"/>
      <c r="DG150" s="17"/>
      <c r="DH150" s="17"/>
      <c r="DI150" s="17"/>
      <c r="DJ150" s="17"/>
      <c r="DK150" s="17"/>
      <c r="DL150" s="17"/>
      <c r="DM150" s="17"/>
      <c r="DN150" s="17"/>
      <c r="DO150" s="17"/>
      <c r="DP150" s="17"/>
      <c r="DQ150" s="17"/>
      <c r="DR150" s="17"/>
      <c r="DS150" s="17"/>
      <c r="DT150" s="17"/>
      <c r="DU150" s="17"/>
      <c r="DV150" s="17"/>
      <c r="DW150" s="17"/>
      <c r="DX150" s="17"/>
      <c r="DY150" s="17"/>
      <c r="DZ150" s="17"/>
      <c r="EA150" s="17"/>
      <c r="EB150" s="17"/>
      <c r="EC150" s="17"/>
      <c r="ED150" s="17"/>
      <c r="EE150" s="17"/>
      <c r="EF150" s="17"/>
      <c r="EG150" s="17"/>
      <c r="EH150" s="17"/>
      <c r="EI150" s="17"/>
      <c r="EJ150" s="17"/>
      <c r="EK150" s="17"/>
      <c r="EL150" s="17"/>
      <c r="EM150" s="17"/>
      <c r="EN150" s="17"/>
      <c r="EO150" s="17"/>
      <c r="EP150" s="17"/>
      <c r="EQ150" s="17"/>
      <c r="ER150" s="17"/>
      <c r="ES150" s="17"/>
      <c r="ET150" s="17"/>
      <c r="EU150" s="17"/>
      <c r="EV150" s="17"/>
      <c r="EW150" s="17"/>
      <c r="EX150" s="17"/>
      <c r="EY150" s="17"/>
      <c r="EZ150" s="17"/>
      <c r="FA150" s="17"/>
      <c r="FB150" s="17"/>
      <c r="FC150" s="17"/>
      <c r="FD150" s="17"/>
      <c r="FE150" s="17"/>
      <c r="FF150" s="17"/>
      <c r="FG150" s="17"/>
      <c r="FH150" s="17"/>
      <c r="FI150" s="17"/>
      <c r="FJ150" s="17"/>
      <c r="FK150" s="17"/>
      <c r="FL150" s="17"/>
      <c r="FM150" s="17"/>
      <c r="FN150" s="17"/>
      <c r="FO150" s="17"/>
      <c r="FP150" s="17"/>
      <c r="FQ150" s="17"/>
      <c r="FR150" s="17"/>
      <c r="FS150" s="17"/>
      <c r="FT150" s="17"/>
      <c r="FU150" s="17"/>
      <c r="FV150" s="17"/>
      <c r="FW150" s="17"/>
      <c r="FX150" s="17"/>
      <c r="FY150" s="17"/>
      <c r="FZ150" s="17"/>
      <c r="GA150" s="17"/>
      <c r="GB150" s="17"/>
      <c r="GC150" s="17"/>
      <c r="GD150" s="17"/>
      <c r="GE150" s="17"/>
      <c r="GF150" s="17"/>
      <c r="GG150" s="17"/>
      <c r="GH150" s="17"/>
      <c r="GI150" s="17"/>
      <c r="GJ150" s="17"/>
      <c r="GK150" s="17"/>
      <c r="GL150" s="17"/>
      <c r="GM150" s="17"/>
      <c r="GN150" s="17"/>
      <c r="GO150" s="17"/>
      <c r="GP150" s="17"/>
      <c r="GQ150" s="17"/>
      <c r="GR150" s="17"/>
      <c r="GS150" s="17"/>
      <c r="GT150" s="17"/>
      <c r="GU150" s="17"/>
      <c r="GV150" s="17"/>
      <c r="GW150" s="17"/>
      <c r="GX150" s="17"/>
      <c r="GY150" s="17"/>
      <c r="GZ150" s="17"/>
      <c r="HA150" s="17"/>
      <c r="HB150" s="17"/>
      <c r="HC150" s="17"/>
      <c r="HD150" s="17"/>
      <c r="HE150" s="17"/>
      <c r="HF150" s="17"/>
      <c r="HG150" s="17"/>
      <c r="HH150" s="17"/>
      <c r="HI150" s="17"/>
      <c r="HJ150" s="17"/>
      <c r="HK150" s="17"/>
      <c r="HL150" s="17"/>
      <c r="HM150" s="17"/>
      <c r="HN150" s="17"/>
      <c r="HO150" s="17"/>
      <c r="HP150" s="17"/>
      <c r="HQ150" s="17"/>
      <c r="HR150" s="17"/>
      <c r="HS150" s="17"/>
      <c r="HT150" s="17"/>
      <c r="HU150" s="17"/>
      <c r="HV150" s="17"/>
      <c r="HW150" s="17"/>
      <c r="HX150" s="17"/>
      <c r="HY150" s="17"/>
      <c r="HZ150" s="17"/>
      <c r="IA150" s="17"/>
      <c r="IB150" s="17"/>
      <c r="IC150" s="17"/>
      <c r="ID150" s="17"/>
      <c r="IE150" s="17"/>
      <c r="IF150" s="17"/>
      <c r="IG150" s="17"/>
    </row>
    <row r="151" spans="1:241" ht="15.75" customHeight="1" x14ac:dyDescent="0.25">
      <c r="A151" s="139"/>
      <c r="B151" s="140" t="s">
        <v>52</v>
      </c>
      <c r="C151" s="45"/>
      <c r="D151" s="81">
        <f>SUM(D141:D150)</f>
        <v>1366573052.8000002</v>
      </c>
      <c r="E151" s="81"/>
      <c r="F151" s="81">
        <f>SUM(F141:F150)</f>
        <v>1567390599.6099999</v>
      </c>
      <c r="G151" s="81">
        <f>SUM(G141:G150)</f>
        <v>15351035350.67</v>
      </c>
      <c r="H151" s="81"/>
      <c r="I151" s="81">
        <f t="shared" ref="I151:P151" si="61">SUM(I141:I150)</f>
        <v>1162121731.04</v>
      </c>
      <c r="J151" s="81">
        <f t="shared" si="61"/>
        <v>19470188033.349998</v>
      </c>
      <c r="K151" s="81">
        <f t="shared" si="61"/>
        <v>207934386.82999998</v>
      </c>
      <c r="L151" s="81">
        <f t="shared" si="61"/>
        <v>28274837.630000003</v>
      </c>
      <c r="M151" s="81">
        <f t="shared" si="61"/>
        <v>125329360.34999999</v>
      </c>
      <c r="N151" s="81">
        <f t="shared" si="61"/>
        <v>19909704224.880001</v>
      </c>
      <c r="O151" s="81">
        <f t="shared" si="61"/>
        <v>419655377.98000002</v>
      </c>
      <c r="P151" s="109">
        <f t="shared" si="61"/>
        <v>18881572102.23</v>
      </c>
      <c r="Q151" s="83">
        <f>(P151/$P$152)</f>
        <v>1.388701080359437E-2</v>
      </c>
      <c r="R151" s="100">
        <f>SUM(R141:R150)</f>
        <v>19483310132.509998</v>
      </c>
      <c r="S151" s="83">
        <f>(R151/$R$152)</f>
        <v>1.4363444496177193E-2</v>
      </c>
      <c r="T151" s="84">
        <f t="shared" ref="T151" si="62">((R151-P151)/P151)</f>
        <v>3.1869064028250634E-2</v>
      </c>
      <c r="U151" s="52">
        <f t="shared" si="54"/>
        <v>1.4512337707349018E-3</v>
      </c>
      <c r="V151" s="86"/>
      <c r="W151" s="87"/>
      <c r="X151" s="87"/>
      <c r="Y151" s="81"/>
      <c r="Z151" s="81"/>
      <c r="AA151" s="88">
        <f>SUM(AA141:AA150)</f>
        <v>17551</v>
      </c>
      <c r="AB151" s="88"/>
      <c r="AC151" s="88"/>
      <c r="AD151" s="88"/>
      <c r="AE151" s="81"/>
      <c r="AF151" s="38"/>
    </row>
    <row r="152" spans="1:241" ht="15.75" customHeight="1" x14ac:dyDescent="0.25">
      <c r="A152" s="166"/>
      <c r="B152" s="167" t="s">
        <v>144</v>
      </c>
      <c r="C152" s="168"/>
      <c r="D152" s="169">
        <f>SUM(D151,D138,D133,D109,D103,D82,D51,D20)</f>
        <v>16858501096.430004</v>
      </c>
      <c r="E152" s="169"/>
      <c r="F152" s="169">
        <f t="shared" ref="F152:O152" si="63">SUM(F151,F138,F133,F109,F103,F82,F51,F20)</f>
        <v>682286461954.30762</v>
      </c>
      <c r="G152" s="169">
        <f t="shared" si="63"/>
        <v>564624819746.98157</v>
      </c>
      <c r="H152" s="169">
        <f t="shared" si="63"/>
        <v>33992579316.5</v>
      </c>
      <c r="I152" s="169">
        <f t="shared" si="63"/>
        <v>1721576831.9400001</v>
      </c>
      <c r="J152" s="169">
        <f t="shared" si="63"/>
        <v>1309023489544.4282</v>
      </c>
      <c r="K152" s="169">
        <f t="shared" si="63"/>
        <v>10635283747.7416</v>
      </c>
      <c r="L152" s="169">
        <f t="shared" si="63"/>
        <v>2125856571.2783997</v>
      </c>
      <c r="M152" s="169">
        <f t="shared" si="63"/>
        <v>8231244279.3291998</v>
      </c>
      <c r="N152" s="169">
        <f t="shared" si="63"/>
        <v>1296472326289.2485</v>
      </c>
      <c r="O152" s="169">
        <f t="shared" si="63"/>
        <v>14045586409.241201</v>
      </c>
      <c r="P152" s="170">
        <f>SUM(P20,P51,P82,P103,P109,P133,P138,P151)</f>
        <v>1359657047097.7734</v>
      </c>
      <c r="Q152" s="171"/>
      <c r="R152" s="169">
        <f>SUM(R20,R51,R82,R103,R109,R133,R138,R151)</f>
        <v>1356451103194.3242</v>
      </c>
      <c r="S152" s="171"/>
      <c r="T152" s="171"/>
      <c r="U152" s="172"/>
      <c r="V152" s="173"/>
      <c r="W152" s="174"/>
      <c r="X152" s="174"/>
      <c r="Y152" s="169"/>
      <c r="Z152" s="169"/>
      <c r="AA152" s="175">
        <f>SUM(AA20,AA51,AA82,AA103,AA109,AA133,AA138,AA151)</f>
        <v>420853</v>
      </c>
      <c r="AB152" s="169"/>
      <c r="AC152" s="169"/>
      <c r="AD152" s="169"/>
      <c r="AE152" s="169"/>
      <c r="AF152" s="38"/>
    </row>
    <row r="153" spans="1:241" ht="6" customHeight="1" x14ac:dyDescent="0.25">
      <c r="A153" s="31"/>
      <c r="B153" s="31"/>
      <c r="C153" s="31"/>
      <c r="D153" s="33"/>
      <c r="E153" s="33"/>
      <c r="F153" s="33"/>
      <c r="G153" s="33"/>
      <c r="H153" s="33"/>
      <c r="I153" s="141"/>
      <c r="J153" s="33"/>
      <c r="K153" s="33"/>
      <c r="L153" s="33"/>
      <c r="M153" s="142"/>
      <c r="N153" s="33"/>
      <c r="O153" s="33"/>
      <c r="P153" s="14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</row>
    <row r="154" spans="1:241" ht="15.75" customHeight="1" x14ac:dyDescent="0.25">
      <c r="A154" s="28" t="s">
        <v>161</v>
      </c>
      <c r="B154" s="145"/>
      <c r="C154" s="144" t="s">
        <v>162</v>
      </c>
      <c r="D154" s="33"/>
      <c r="E154" s="33"/>
      <c r="F154" s="33"/>
      <c r="G154" s="33"/>
      <c r="H154" s="146"/>
      <c r="I154" s="33"/>
      <c r="J154" s="33"/>
      <c r="K154" s="33"/>
      <c r="L154" s="33"/>
      <c r="M154" s="142"/>
      <c r="N154" s="33"/>
      <c r="O154" s="33"/>
      <c r="P154" s="35"/>
      <c r="Q154" s="33"/>
      <c r="R154" s="29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0"/>
    </row>
    <row r="157" spans="1:241" ht="15.75" customHeight="1" x14ac:dyDescent="0.25">
      <c r="E157" s="23"/>
    </row>
  </sheetData>
  <sortState ref="B5:AE20">
    <sortCondition ref="B5:B20"/>
  </sortState>
  <mergeCells count="13">
    <mergeCell ref="A139:AE139"/>
    <mergeCell ref="A140:AE140"/>
    <mergeCell ref="A144:AE144"/>
    <mergeCell ref="A1:AD1"/>
    <mergeCell ref="A3:AE3"/>
    <mergeCell ref="A21:AE21"/>
    <mergeCell ref="A52:AE52"/>
    <mergeCell ref="A83:AE83"/>
    <mergeCell ref="A84:AE84"/>
    <mergeCell ref="A94:AE94"/>
    <mergeCell ref="A104:AE104"/>
    <mergeCell ref="A110:AE110"/>
    <mergeCell ref="A134:AE134"/>
  </mergeCells>
  <phoneticPr fontId="6" type="noConversion"/>
  <pageMargins left="0.7" right="0.7" top="0.75" bottom="0.75" header="0.3" footer="0.3"/>
  <pageSetup orientation="landscape" r:id="rId1"/>
  <headerFooter>
    <oddFooter>&amp;C&amp;"Helvetica,Regular"&amp;12&amp;K000000&amp;P</oddFooter>
  </headerFooter>
  <rowBreaks count="3" manualBreakCount="3">
    <brk id="59" max="16383" man="1"/>
    <brk id="93" max="16383" man="1"/>
    <brk id="130" max="16383" man="1"/>
  </rowBreaks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4"/>
  <sheetViews>
    <sheetView showGridLines="0" zoomScale="80" zoomScaleNormal="80" workbookViewId="0">
      <selection activeCell="N1" sqref="N1"/>
    </sheetView>
  </sheetViews>
  <sheetFormatPr defaultColWidth="10" defaultRowHeight="12.95" customHeight="1" x14ac:dyDescent="0.25"/>
  <cols>
    <col min="1" max="256" width="10" style="12" customWidth="1"/>
  </cols>
  <sheetData>
    <row r="1" spans="1:12" ht="12.95" customHeight="1" x14ac:dyDescent="0.25">
      <c r="A1" s="13"/>
      <c r="B1" s="2"/>
      <c r="C1" s="2"/>
      <c r="D1" s="2"/>
      <c r="E1" s="2"/>
      <c r="F1" s="2"/>
      <c r="G1" s="2"/>
      <c r="H1" s="2"/>
      <c r="I1" s="2"/>
      <c r="J1" s="2"/>
      <c r="K1" s="3"/>
      <c r="L1" s="7"/>
    </row>
    <row r="2" spans="1:12" ht="12.95" customHeight="1" x14ac:dyDescent="0.25">
      <c r="A2" s="4"/>
      <c r="B2" s="5"/>
      <c r="C2" s="5"/>
      <c r="D2" s="5"/>
      <c r="E2" s="5"/>
      <c r="F2" s="5"/>
      <c r="G2" s="5"/>
      <c r="H2" s="5"/>
      <c r="I2" s="5"/>
      <c r="J2" s="5"/>
      <c r="K2" s="6"/>
      <c r="L2" s="14"/>
    </row>
    <row r="3" spans="1:12" ht="12.95" customHeight="1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6"/>
      <c r="L3" s="14"/>
    </row>
    <row r="4" spans="1:12" ht="12.95" customHeight="1" x14ac:dyDescent="0.25">
      <c r="A4" s="4"/>
      <c r="B4" s="5"/>
      <c r="C4" s="5"/>
      <c r="D4" s="5"/>
      <c r="E4" s="5"/>
      <c r="F4" s="5"/>
      <c r="G4" s="5"/>
      <c r="H4" s="5"/>
      <c r="I4" s="5"/>
      <c r="J4" s="5"/>
      <c r="K4" s="6"/>
      <c r="L4" s="14"/>
    </row>
    <row r="5" spans="1:12" ht="12.95" customHeight="1" x14ac:dyDescent="0.25">
      <c r="A5" s="4"/>
      <c r="B5" s="5"/>
      <c r="C5" s="5"/>
      <c r="D5" s="5"/>
      <c r="E5" s="5"/>
      <c r="F5" s="5"/>
      <c r="G5" s="5"/>
      <c r="H5" s="5"/>
      <c r="I5" s="5"/>
      <c r="J5" s="5"/>
      <c r="K5" s="6"/>
      <c r="L5" s="14"/>
    </row>
    <row r="6" spans="1:12" ht="12.95" customHeight="1" x14ac:dyDescent="0.25">
      <c r="A6" s="4"/>
      <c r="B6" s="5"/>
      <c r="C6" s="5"/>
      <c r="D6" s="5"/>
      <c r="E6" s="5"/>
      <c r="F6" s="5"/>
      <c r="G6" s="5"/>
      <c r="H6" s="5"/>
      <c r="I6" s="5"/>
      <c r="J6" s="5"/>
      <c r="K6" s="6"/>
      <c r="L6" s="14"/>
    </row>
    <row r="7" spans="1:12" ht="12.95" customHeight="1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6"/>
      <c r="L7" s="14"/>
    </row>
    <row r="8" spans="1:12" ht="12.95" customHeight="1" x14ac:dyDescent="0.25">
      <c r="A8" s="4"/>
      <c r="B8" s="5"/>
      <c r="C8" s="5"/>
      <c r="D8" s="5"/>
      <c r="E8" s="5"/>
      <c r="F8" s="5"/>
      <c r="G8" s="5"/>
      <c r="H8" s="5"/>
      <c r="I8" s="5"/>
      <c r="J8" s="5"/>
      <c r="K8" s="6"/>
      <c r="L8" s="14"/>
    </row>
    <row r="9" spans="1:12" ht="12.95" customHeight="1" x14ac:dyDescent="0.25">
      <c r="A9" s="4"/>
      <c r="B9" s="5"/>
      <c r="C9" s="5"/>
      <c r="D9" s="5"/>
      <c r="E9" s="5"/>
      <c r="F9" s="5"/>
      <c r="G9" s="5"/>
      <c r="H9" s="5"/>
      <c r="I9" s="5"/>
      <c r="J9" s="5"/>
      <c r="K9" s="6"/>
      <c r="L9" s="14"/>
    </row>
    <row r="10" spans="1:12" ht="12.95" customHeight="1" x14ac:dyDescent="0.25">
      <c r="A10" s="4"/>
      <c r="B10" s="5"/>
      <c r="C10" s="5"/>
      <c r="D10" s="5"/>
      <c r="E10" s="5"/>
      <c r="F10" s="5"/>
      <c r="G10" s="5"/>
      <c r="H10" s="5"/>
      <c r="I10" s="5"/>
      <c r="J10" s="5"/>
      <c r="K10" s="6"/>
      <c r="L10" s="14"/>
    </row>
    <row r="11" spans="1:12" ht="12.95" customHeight="1" x14ac:dyDescent="0.25">
      <c r="A11" s="4"/>
      <c r="B11" s="5"/>
      <c r="C11" s="5"/>
      <c r="D11" s="5"/>
      <c r="E11" s="5"/>
      <c r="F11" s="5"/>
      <c r="G11" s="5"/>
      <c r="H11" s="5"/>
      <c r="I11" s="5"/>
      <c r="J11" s="5"/>
      <c r="K11" s="6"/>
      <c r="L11" s="14"/>
    </row>
    <row r="12" spans="1:12" ht="12.95" customHeight="1" x14ac:dyDescent="0.25">
      <c r="A12" s="4"/>
      <c r="B12" s="5"/>
      <c r="C12" s="5"/>
      <c r="D12" s="5"/>
      <c r="E12" s="5"/>
      <c r="F12" s="5"/>
      <c r="G12" s="5"/>
      <c r="H12" s="5"/>
      <c r="I12" s="5"/>
      <c r="J12" s="5"/>
      <c r="K12" s="6"/>
      <c r="L12" s="14"/>
    </row>
    <row r="13" spans="1:12" ht="12.95" customHeight="1" x14ac:dyDescent="0.25">
      <c r="A13" s="4"/>
      <c r="B13" s="5"/>
      <c r="C13" s="5"/>
      <c r="D13" s="5"/>
      <c r="E13" s="5"/>
      <c r="F13" s="5"/>
      <c r="G13" s="5"/>
      <c r="H13" s="5"/>
      <c r="I13" s="5"/>
      <c r="J13" s="5"/>
      <c r="K13" s="6"/>
      <c r="L13" s="14"/>
    </row>
    <row r="14" spans="1:12" ht="12.95" customHeight="1" x14ac:dyDescent="0.25">
      <c r="A14" s="4"/>
      <c r="B14" s="5"/>
      <c r="C14" s="5"/>
      <c r="D14" s="5"/>
      <c r="E14" s="5"/>
      <c r="F14" s="5"/>
      <c r="G14" s="5"/>
      <c r="H14" s="5"/>
      <c r="I14" s="5"/>
      <c r="J14" s="5"/>
      <c r="K14" s="6"/>
      <c r="L14" s="14"/>
    </row>
    <row r="15" spans="1:12" ht="12.95" customHeight="1" x14ac:dyDescent="0.25">
      <c r="A15" s="4"/>
      <c r="B15" s="5"/>
      <c r="C15" s="5"/>
      <c r="D15" s="5"/>
      <c r="E15" s="5"/>
      <c r="F15" s="5"/>
      <c r="G15" s="5"/>
      <c r="H15" s="5"/>
      <c r="I15" s="5"/>
      <c r="J15" s="5"/>
      <c r="K15" s="6"/>
      <c r="L15" s="14"/>
    </row>
    <row r="16" spans="1:12" ht="12.95" customHeight="1" x14ac:dyDescent="0.25">
      <c r="A16" s="4"/>
      <c r="B16" s="5"/>
      <c r="C16" s="5"/>
      <c r="D16" s="5"/>
      <c r="E16" s="5"/>
      <c r="F16" s="5"/>
      <c r="G16" s="5"/>
      <c r="H16" s="5"/>
      <c r="I16" s="5"/>
      <c r="J16" s="5"/>
      <c r="K16" s="6"/>
      <c r="L16" s="14"/>
    </row>
    <row r="17" spans="1:12" ht="12.95" customHeight="1" x14ac:dyDescent="0.25">
      <c r="A17" s="4"/>
      <c r="B17" s="5"/>
      <c r="C17" s="5"/>
      <c r="D17" s="5"/>
      <c r="E17" s="5"/>
      <c r="F17" s="5"/>
      <c r="G17" s="5"/>
      <c r="H17" s="5"/>
      <c r="I17" s="5"/>
      <c r="J17" s="5"/>
      <c r="K17" s="6"/>
      <c r="L17" s="14"/>
    </row>
    <row r="18" spans="1:12" ht="12.95" customHeight="1" x14ac:dyDescent="0.25">
      <c r="A18" s="4"/>
      <c r="B18" s="5"/>
      <c r="C18" s="5"/>
      <c r="D18" s="5"/>
      <c r="E18" s="5"/>
      <c r="F18" s="5"/>
      <c r="G18" s="5"/>
      <c r="H18" s="5"/>
      <c r="I18" s="5"/>
      <c r="J18" s="5"/>
      <c r="K18" s="6"/>
      <c r="L18" s="14"/>
    </row>
    <row r="19" spans="1:12" ht="12.95" customHeight="1" x14ac:dyDescent="0.25">
      <c r="A19" s="4"/>
      <c r="B19" s="5"/>
      <c r="C19" s="5"/>
      <c r="D19" s="5"/>
      <c r="E19" s="5"/>
      <c r="F19" s="5"/>
      <c r="G19" s="5"/>
      <c r="H19" s="5"/>
      <c r="I19" s="5"/>
      <c r="J19" s="5"/>
      <c r="K19" s="6"/>
      <c r="L19" s="14"/>
    </row>
    <row r="20" spans="1:12" ht="12.95" customHeight="1" x14ac:dyDescent="0.25">
      <c r="A20" s="4"/>
      <c r="B20" s="5"/>
      <c r="C20" s="5"/>
      <c r="D20" s="5"/>
      <c r="E20" s="5"/>
      <c r="F20" s="5"/>
      <c r="G20" s="5"/>
      <c r="H20" s="5"/>
      <c r="I20" s="5"/>
      <c r="J20" s="5"/>
      <c r="K20" s="6"/>
      <c r="L20" s="14"/>
    </row>
    <row r="21" spans="1:12" ht="12.95" customHeight="1" x14ac:dyDescent="0.25">
      <c r="A21" s="4"/>
      <c r="B21" s="5"/>
      <c r="C21" s="5"/>
      <c r="D21" s="5"/>
      <c r="E21" s="5"/>
      <c r="F21" s="5"/>
      <c r="G21" s="5"/>
      <c r="H21" s="5"/>
      <c r="I21" s="5"/>
      <c r="J21" s="5"/>
      <c r="K21" s="6"/>
      <c r="L21" s="14"/>
    </row>
    <row r="22" spans="1:12" ht="12.95" customHeight="1" x14ac:dyDescent="0.25">
      <c r="A22" s="4"/>
      <c r="B22" s="5"/>
      <c r="C22" s="5"/>
      <c r="D22" s="5"/>
      <c r="E22" s="5"/>
      <c r="F22" s="5"/>
      <c r="G22" s="5"/>
      <c r="H22" s="5"/>
      <c r="I22" s="5"/>
      <c r="J22" s="5"/>
      <c r="K22" s="6"/>
      <c r="L22" s="14"/>
    </row>
    <row r="23" spans="1:12" ht="12.95" customHeight="1" x14ac:dyDescent="0.25">
      <c r="A23" s="4"/>
      <c r="B23" s="5"/>
      <c r="C23" s="5"/>
      <c r="D23" s="5"/>
      <c r="E23" s="5"/>
      <c r="F23" s="5"/>
      <c r="G23" s="5"/>
      <c r="H23" s="5"/>
      <c r="I23" s="5"/>
      <c r="J23" s="5"/>
      <c r="K23" s="6"/>
      <c r="L23" s="14"/>
    </row>
    <row r="24" spans="1:12" ht="12.95" customHeight="1" x14ac:dyDescent="0.25">
      <c r="A24" s="9"/>
      <c r="B24" s="10"/>
      <c r="C24" s="10"/>
      <c r="D24" s="10"/>
      <c r="E24" s="10"/>
      <c r="F24" s="10"/>
      <c r="G24" s="10"/>
      <c r="H24" s="10"/>
      <c r="I24" s="10"/>
      <c r="J24" s="10"/>
      <c r="K24" s="11"/>
      <c r="L24" s="8"/>
    </row>
  </sheetData>
  <pageMargins left="0.7" right="0.7" top="0.75" bottom="0.75" header="0.3" footer="0.3"/>
  <pageSetup orientation="portrait"/>
  <headerFooter>
    <oddFooter>&amp;C&amp;"Helvetica,Regular"&amp;12&amp;K000000&amp;P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4"/>
  <sheetViews>
    <sheetView showGridLines="0" zoomScale="80" zoomScaleNormal="80" workbookViewId="0">
      <selection activeCell="P1" sqref="P1"/>
    </sheetView>
  </sheetViews>
  <sheetFormatPr defaultColWidth="10" defaultRowHeight="12.95" customHeight="1" x14ac:dyDescent="0.25"/>
  <cols>
    <col min="1" max="256" width="10" style="15" customWidth="1"/>
  </cols>
  <sheetData>
    <row r="1" spans="1:14" ht="12.95" customHeight="1" x14ac:dyDescent="0.25">
      <c r="A1" s="13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4" ht="12.95" customHeight="1" x14ac:dyDescent="0.2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</row>
    <row r="3" spans="1:14" ht="12.95" customHeight="1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1:14" ht="12.95" customHeight="1" x14ac:dyDescent="0.2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</row>
    <row r="5" spans="1:14" ht="12.95" customHeight="1" x14ac:dyDescent="0.2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6"/>
    </row>
    <row r="6" spans="1:14" ht="12.95" customHeight="1" x14ac:dyDescent="0.25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6"/>
    </row>
    <row r="7" spans="1:14" ht="12.95" customHeight="1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6"/>
    </row>
    <row r="8" spans="1:14" ht="12.95" customHeight="1" x14ac:dyDescent="0.25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6"/>
    </row>
    <row r="9" spans="1:14" ht="12.95" customHeight="1" x14ac:dyDescent="0.25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6"/>
    </row>
    <row r="10" spans="1:14" ht="12.95" customHeight="1" x14ac:dyDescent="0.25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6"/>
    </row>
    <row r="11" spans="1:14" ht="12.95" customHeight="1" x14ac:dyDescent="0.25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6"/>
    </row>
    <row r="12" spans="1:14" ht="12.95" customHeight="1" x14ac:dyDescent="0.25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6"/>
    </row>
    <row r="13" spans="1:14" ht="12.95" customHeight="1" x14ac:dyDescent="0.25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6"/>
    </row>
    <row r="14" spans="1:14" ht="12.95" customHeight="1" x14ac:dyDescent="0.25">
      <c r="A14" s="4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6"/>
    </row>
    <row r="15" spans="1:14" ht="12.95" customHeight="1" x14ac:dyDescent="0.25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6"/>
    </row>
    <row r="16" spans="1:14" ht="12.95" customHeight="1" x14ac:dyDescent="0.25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6"/>
    </row>
    <row r="17" spans="1:14" ht="12.95" customHeight="1" x14ac:dyDescent="0.25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6"/>
    </row>
    <row r="18" spans="1:14" ht="12.95" customHeight="1" x14ac:dyDescent="0.25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6"/>
    </row>
    <row r="19" spans="1:14" ht="12.95" customHeight="1" x14ac:dyDescent="0.25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6"/>
    </row>
    <row r="20" spans="1:14" ht="12.95" customHeight="1" x14ac:dyDescent="0.25">
      <c r="A20" s="4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6"/>
    </row>
    <row r="21" spans="1:14" ht="12.95" customHeight="1" x14ac:dyDescent="0.25">
      <c r="A21" s="4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6"/>
    </row>
    <row r="22" spans="1:14" ht="12.95" customHeight="1" x14ac:dyDescent="0.25">
      <c r="A22" s="4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6"/>
    </row>
    <row r="23" spans="1:14" ht="12.95" customHeight="1" x14ac:dyDescent="0.25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6"/>
    </row>
    <row r="24" spans="1:14" ht="12.95" customHeight="1" x14ac:dyDescent="0.25">
      <c r="A24" s="9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1"/>
    </row>
  </sheetData>
  <pageMargins left="0.7" right="0.7" top="0.75" bottom="0.75" header="0.3" footer="0.3"/>
  <pageSetup orientation="portrait"/>
  <headerFooter>
    <oddFooter>&amp;C&amp;"Helvetica,Regular"&amp;12&amp;K000000&amp;P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2"/>
  <sheetViews>
    <sheetView showGridLines="0" zoomScale="80" zoomScaleNormal="80" workbookViewId="0">
      <selection activeCell="P1" sqref="P1"/>
    </sheetView>
  </sheetViews>
  <sheetFormatPr defaultColWidth="8.85546875" defaultRowHeight="15" customHeight="1" x14ac:dyDescent="0.25"/>
  <cols>
    <col min="1" max="3" width="8.85546875" style="16" customWidth="1"/>
    <col min="4" max="4" width="10.42578125" style="16" customWidth="1"/>
    <col min="5" max="256" width="8.85546875" style="16" customWidth="1"/>
  </cols>
  <sheetData>
    <row r="1" spans="1:14" ht="15" customHeight="1" x14ac:dyDescent="0.25">
      <c r="A1" s="13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7"/>
    </row>
    <row r="2" spans="1:14" ht="15" customHeight="1" x14ac:dyDescent="0.2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6"/>
      <c r="N2" s="14"/>
    </row>
    <row r="3" spans="1:14" ht="15" customHeight="1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6"/>
      <c r="N3" s="14"/>
    </row>
    <row r="4" spans="1:14" ht="15" customHeight="1" x14ac:dyDescent="0.2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6"/>
      <c r="N4" s="14"/>
    </row>
    <row r="5" spans="1:14" ht="15" customHeight="1" x14ac:dyDescent="0.2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6"/>
      <c r="N5" s="14"/>
    </row>
    <row r="6" spans="1:14" ht="15" customHeight="1" x14ac:dyDescent="0.25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6"/>
      <c r="N6" s="14"/>
    </row>
    <row r="7" spans="1:14" ht="15" customHeight="1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6"/>
      <c r="N7" s="14"/>
    </row>
    <row r="8" spans="1:14" ht="15" customHeight="1" x14ac:dyDescent="0.25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6"/>
      <c r="N8" s="14"/>
    </row>
    <row r="9" spans="1:14" ht="15" customHeight="1" x14ac:dyDescent="0.25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6"/>
      <c r="N9" s="14"/>
    </row>
    <row r="10" spans="1:14" ht="15" customHeight="1" x14ac:dyDescent="0.25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6"/>
      <c r="N10" s="14"/>
    </row>
    <row r="11" spans="1:14" ht="15" customHeight="1" x14ac:dyDescent="0.25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6"/>
      <c r="N11" s="14"/>
    </row>
    <row r="12" spans="1:14" ht="15" customHeight="1" x14ac:dyDescent="0.25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6"/>
      <c r="N12" s="14"/>
    </row>
    <row r="13" spans="1:14" ht="15" customHeight="1" x14ac:dyDescent="0.25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6"/>
      <c r="N13" s="14"/>
    </row>
    <row r="14" spans="1:14" ht="15" customHeight="1" x14ac:dyDescent="0.25">
      <c r="A14" s="4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6"/>
      <c r="N14" s="14"/>
    </row>
    <row r="15" spans="1:14" ht="15" customHeight="1" x14ac:dyDescent="0.25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6"/>
      <c r="N15" s="14"/>
    </row>
    <row r="16" spans="1:14" ht="15" customHeight="1" x14ac:dyDescent="0.25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6"/>
      <c r="N16" s="14"/>
    </row>
    <row r="17" spans="1:14" ht="15" customHeight="1" x14ac:dyDescent="0.25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6"/>
      <c r="N17" s="14"/>
    </row>
    <row r="18" spans="1:14" ht="15" customHeight="1" x14ac:dyDescent="0.25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6"/>
      <c r="N18" s="14"/>
    </row>
    <row r="19" spans="1:14" ht="15" customHeight="1" x14ac:dyDescent="0.25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6"/>
      <c r="N19" s="14"/>
    </row>
    <row r="20" spans="1:14" ht="15" customHeight="1" x14ac:dyDescent="0.25">
      <c r="A20" s="4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6"/>
      <c r="N20" s="14"/>
    </row>
    <row r="21" spans="1:14" ht="15" customHeight="1" x14ac:dyDescent="0.25">
      <c r="A21" s="4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6"/>
      <c r="N21" s="14"/>
    </row>
    <row r="22" spans="1:14" ht="15" customHeight="1" x14ac:dyDescent="0.25">
      <c r="A22" s="9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1"/>
      <c r="N22" s="8"/>
    </row>
  </sheetData>
  <pageMargins left="0.7" right="0.7" top="0.75" bottom="0.75" header="0.3" footer="0.3"/>
  <pageSetup orientation="portrait"/>
  <headerFooter>
    <oddFooter>&amp;C&amp;"Helvetica,Regular"&amp;12&amp;K000000&amp;P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AUGUST 2022</vt:lpstr>
      <vt:lpstr>Market Share</vt:lpstr>
      <vt:lpstr>Unit Holders</vt:lpstr>
      <vt:lpstr>NAV Comparison July &amp; Aug '22</vt:lpstr>
      <vt:lpstr>'AUGUST 2022'!_Hlk108107245</vt:lpstr>
      <vt:lpstr>'AUGUST 2022'!_Hlk108109806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Isaac, Tunde</dc:creator>
  <cp:lastModifiedBy>Isaac, Tunde</cp:lastModifiedBy>
  <cp:lastPrinted>2021-12-13T00:24:01Z</cp:lastPrinted>
  <dcterms:created xsi:type="dcterms:W3CDTF">2021-07-14T13:16:57Z</dcterms:created>
  <dcterms:modified xsi:type="dcterms:W3CDTF">2023-04-30T18:02:42Z</dcterms:modified>
</cp:coreProperties>
</file>