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' Spreadsheet\2022\"/>
    </mc:Choice>
  </mc:AlternateContent>
  <bookViews>
    <workbookView xWindow="0" yWindow="0" windowWidth="20490" windowHeight="6750"/>
  </bookViews>
  <sheets>
    <sheet name="JULY 2022" sheetId="1" r:id="rId1"/>
    <sheet name="Market Share" sheetId="2" r:id="rId2"/>
    <sheet name="Unit Holders" sheetId="3" r:id="rId3"/>
    <sheet name="NAV Comparison June &amp; July '22" sheetId="4" r:id="rId4"/>
  </sheets>
  <definedNames>
    <definedName name="_xlnm._FilterDatabase" localSheetId="0" hidden="1">'JULY 2022'!$A$1:$AE$91</definedName>
    <definedName name="_Hlk108107245" localSheetId="0">'JULY 2022'!$R$45</definedName>
    <definedName name="_Hlk108109806" localSheetId="0">'JULY 2022'!$N$45</definedName>
  </definedNames>
  <calcPr calcId="162913"/>
</workbook>
</file>

<file path=xl/calcChain.xml><?xml version="1.0" encoding="utf-8"?>
<calcChain xmlns="http://schemas.openxmlformats.org/spreadsheetml/2006/main">
  <c r="AA102" i="1" l="1"/>
  <c r="R102" i="1"/>
  <c r="Z95" i="1" l="1"/>
  <c r="Y95" i="1"/>
  <c r="R95" i="1"/>
  <c r="W95" i="1" s="1"/>
  <c r="P95" i="1"/>
  <c r="T95" i="1" s="1"/>
  <c r="O95" i="1"/>
  <c r="N95" i="1"/>
  <c r="M95" i="1"/>
  <c r="V95" i="1" s="1"/>
  <c r="L95" i="1"/>
  <c r="U95" i="1" s="1"/>
  <c r="K95" i="1"/>
  <c r="J95" i="1"/>
  <c r="G95" i="1"/>
  <c r="X95" i="1" l="1"/>
  <c r="L86" i="1"/>
  <c r="L90" i="1"/>
  <c r="P149" i="1"/>
  <c r="P137" i="1"/>
  <c r="P132" i="1"/>
  <c r="P108" i="1"/>
  <c r="P98" i="1"/>
  <c r="P97" i="1"/>
  <c r="P94" i="1"/>
  <c r="P96" i="1"/>
  <c r="P101" i="1"/>
  <c r="P86" i="1"/>
  <c r="P89" i="1"/>
  <c r="P90" i="1"/>
  <c r="P82" i="1"/>
  <c r="P51" i="1"/>
  <c r="P20" i="1"/>
  <c r="P102" i="1" l="1"/>
  <c r="Q95" i="1" s="1"/>
  <c r="AD73" i="1"/>
  <c r="F99" i="1"/>
  <c r="J27" i="1"/>
  <c r="F27" i="1"/>
  <c r="F34" i="1" l="1"/>
  <c r="F33" i="1"/>
  <c r="O100" i="1" l="1"/>
  <c r="L101" i="1"/>
  <c r="L100" i="1"/>
  <c r="Z85" i="1" l="1"/>
  <c r="Y85" i="1"/>
  <c r="O86" i="1"/>
  <c r="O90" i="1"/>
  <c r="O89" i="1"/>
  <c r="Z86" i="1" l="1"/>
  <c r="Y86" i="1"/>
  <c r="R86" i="1"/>
  <c r="N86" i="1"/>
  <c r="M86" i="1"/>
  <c r="K86" i="1"/>
  <c r="J86" i="1"/>
  <c r="G86" i="1"/>
  <c r="Z98" i="1" l="1"/>
  <c r="Y98" i="1"/>
  <c r="R98" i="1"/>
  <c r="O98" i="1"/>
  <c r="N98" i="1"/>
  <c r="M98" i="1"/>
  <c r="L98" i="1"/>
  <c r="K98" i="1"/>
  <c r="J98" i="1"/>
  <c r="G98" i="1"/>
  <c r="F98" i="1"/>
  <c r="I70" i="1"/>
  <c r="AA101" i="1"/>
  <c r="Z101" i="1"/>
  <c r="Y101" i="1"/>
  <c r="R101" i="1"/>
  <c r="O101" i="1"/>
  <c r="N101" i="1"/>
  <c r="M101" i="1"/>
  <c r="K101" i="1"/>
  <c r="J101" i="1"/>
  <c r="F101" i="1"/>
  <c r="G101" i="1"/>
  <c r="Z90" i="1"/>
  <c r="Y90" i="1"/>
  <c r="R90" i="1"/>
  <c r="N90" i="1"/>
  <c r="M90" i="1"/>
  <c r="K90" i="1"/>
  <c r="J90" i="1"/>
  <c r="G90" i="1"/>
  <c r="I140" i="1"/>
  <c r="Z99" i="1" l="1"/>
  <c r="Y99" i="1"/>
  <c r="R99" i="1"/>
  <c r="O99" i="1"/>
  <c r="N99" i="1"/>
  <c r="M99" i="1"/>
  <c r="L99" i="1"/>
  <c r="K99" i="1"/>
  <c r="J99" i="1"/>
  <c r="G99" i="1"/>
  <c r="Z94" i="1"/>
  <c r="Y94" i="1"/>
  <c r="R94" i="1"/>
  <c r="O94" i="1"/>
  <c r="N94" i="1"/>
  <c r="M94" i="1"/>
  <c r="L94" i="1"/>
  <c r="K94" i="1"/>
  <c r="J94" i="1"/>
  <c r="G94" i="1"/>
  <c r="Z96" i="1"/>
  <c r="Y96" i="1"/>
  <c r="R96" i="1"/>
  <c r="O96" i="1"/>
  <c r="N96" i="1"/>
  <c r="M96" i="1"/>
  <c r="L96" i="1"/>
  <c r="K96" i="1"/>
  <c r="J96" i="1"/>
  <c r="G96" i="1"/>
  <c r="Z97" i="1"/>
  <c r="Y97" i="1"/>
  <c r="R97" i="1"/>
  <c r="O97" i="1"/>
  <c r="N97" i="1"/>
  <c r="M97" i="1"/>
  <c r="L97" i="1"/>
  <c r="K97" i="1"/>
  <c r="J97" i="1"/>
  <c r="F97" i="1"/>
  <c r="G97" i="1"/>
  <c r="Z100" i="1"/>
  <c r="Y100" i="1"/>
  <c r="R100" i="1"/>
  <c r="N100" i="1"/>
  <c r="M100" i="1"/>
  <c r="K100" i="1"/>
  <c r="J100" i="1"/>
  <c r="F100" i="1"/>
  <c r="G100" i="1"/>
  <c r="Z89" i="1"/>
  <c r="Y89" i="1"/>
  <c r="R89" i="1"/>
  <c r="N89" i="1"/>
  <c r="M89" i="1"/>
  <c r="L89" i="1"/>
  <c r="K89" i="1"/>
  <c r="J89" i="1"/>
  <c r="F89" i="1"/>
  <c r="G89" i="1"/>
  <c r="K102" i="1" l="1"/>
  <c r="I106" i="1"/>
  <c r="I146" i="1" l="1"/>
  <c r="J123" i="1"/>
  <c r="J43" i="1"/>
  <c r="E119" i="1" l="1"/>
  <c r="AD31" i="1" l="1"/>
  <c r="O64" i="1"/>
  <c r="O35" i="1"/>
  <c r="X8" i="1" l="1"/>
  <c r="W8" i="1"/>
  <c r="V8" i="1"/>
  <c r="U8" i="1"/>
  <c r="T8" i="1"/>
  <c r="T129" i="1" l="1"/>
  <c r="AD115" i="1" l="1"/>
  <c r="O132" i="1"/>
  <c r="AA82" i="1" l="1"/>
  <c r="R82" i="1"/>
  <c r="Q70" i="1"/>
  <c r="N82" i="1"/>
  <c r="J82" i="1"/>
  <c r="D82" i="1"/>
  <c r="T55" i="1" l="1"/>
  <c r="O82" i="1" l="1"/>
  <c r="M82" i="1"/>
  <c r="L82" i="1"/>
  <c r="K82" i="1"/>
  <c r="F82" i="1"/>
  <c r="G82" i="1"/>
  <c r="X55" i="1"/>
  <c r="W55" i="1"/>
  <c r="V55" i="1"/>
  <c r="U55" i="1"/>
  <c r="D102" i="1"/>
  <c r="N102" i="1" l="1"/>
  <c r="Q55" i="1" l="1"/>
  <c r="Q8" i="1"/>
  <c r="P150" i="1" l="1"/>
  <c r="R137" i="1" l="1"/>
  <c r="X61" i="1" l="1"/>
  <c r="U61" i="1"/>
  <c r="T61" i="1"/>
  <c r="V61" i="1" l="1"/>
  <c r="W61" i="1"/>
  <c r="Q61" i="1" l="1"/>
  <c r="Q44" i="1"/>
  <c r="R149" i="1" l="1"/>
  <c r="S144" i="1" s="1"/>
  <c r="S61" i="1" l="1"/>
  <c r="S55" i="1"/>
  <c r="G108" i="1"/>
  <c r="O108" i="1"/>
  <c r="K108" i="1"/>
  <c r="L108" i="1"/>
  <c r="M108" i="1"/>
  <c r="N108" i="1"/>
  <c r="H108" i="1"/>
  <c r="I108" i="1"/>
  <c r="I82" i="1"/>
  <c r="O51" i="1"/>
  <c r="N51" i="1"/>
  <c r="I51" i="1"/>
  <c r="K51" i="1"/>
  <c r="L51" i="1"/>
  <c r="M51" i="1"/>
  <c r="F51" i="1"/>
  <c r="L132" i="1"/>
  <c r="M132" i="1"/>
  <c r="N132" i="1"/>
  <c r="F132" i="1"/>
  <c r="G132" i="1"/>
  <c r="H132" i="1"/>
  <c r="D132" i="1"/>
  <c r="J137" i="1"/>
  <c r="K137" i="1"/>
  <c r="L137" i="1"/>
  <c r="M137" i="1"/>
  <c r="N137" i="1"/>
  <c r="O137" i="1"/>
  <c r="F137" i="1"/>
  <c r="G137" i="1"/>
  <c r="H137" i="1"/>
  <c r="D137" i="1"/>
  <c r="M149" i="1"/>
  <c r="N149" i="1"/>
  <c r="O149" i="1"/>
  <c r="J149" i="1"/>
  <c r="K149" i="1"/>
  <c r="L149" i="1"/>
  <c r="G149" i="1"/>
  <c r="F149" i="1"/>
  <c r="D149" i="1"/>
  <c r="H150" i="1" l="1"/>
  <c r="J51" i="1"/>
  <c r="J132" i="1"/>
  <c r="D150" i="1" l="1"/>
  <c r="K132" i="1"/>
  <c r="O102" i="1" l="1"/>
  <c r="O150" i="1" s="1"/>
  <c r="F102" i="1"/>
  <c r="F150" i="1" s="1"/>
  <c r="G102" i="1"/>
  <c r="J102" i="1"/>
  <c r="J150" i="1" s="1"/>
  <c r="K150" i="1"/>
  <c r="L102" i="1"/>
  <c r="L150" i="1" s="1"/>
  <c r="M102" i="1"/>
  <c r="M150" i="1" s="1"/>
  <c r="N150" i="1"/>
  <c r="AA149" i="1"/>
  <c r="I149" i="1"/>
  <c r="I150" i="1" s="1"/>
  <c r="G150" i="1" l="1"/>
  <c r="R20" i="1"/>
  <c r="S8" i="1" s="1"/>
  <c r="Q149" i="1" l="1"/>
  <c r="X144" i="1" l="1"/>
  <c r="W144" i="1"/>
  <c r="V144" i="1"/>
  <c r="U144" i="1"/>
  <c r="T144" i="1"/>
  <c r="X59" i="1" l="1"/>
  <c r="W59" i="1"/>
  <c r="V59" i="1"/>
  <c r="U59" i="1"/>
  <c r="T59" i="1"/>
  <c r="Q144" i="1"/>
  <c r="Q59" i="1" l="1"/>
  <c r="X34" i="1" l="1"/>
  <c r="V33" i="1"/>
  <c r="V34" i="1"/>
  <c r="V29" i="1" l="1"/>
  <c r="V35" i="1"/>
  <c r="V124" i="1"/>
  <c r="X128" i="1"/>
  <c r="X129" i="1"/>
  <c r="X94" i="1"/>
  <c r="W94" i="1"/>
  <c r="X96" i="1"/>
  <c r="W98" i="1"/>
  <c r="X98" i="1"/>
  <c r="U98" i="1"/>
  <c r="V98" i="1" l="1"/>
  <c r="T77" i="1" l="1"/>
  <c r="T63" i="1"/>
  <c r="T135" i="1"/>
  <c r="R132" i="1" l="1"/>
  <c r="S129" i="1" s="1"/>
  <c r="AA137" i="1" l="1"/>
  <c r="S135" i="1"/>
  <c r="S134" i="1" l="1"/>
  <c r="S136" i="1"/>
  <c r="Q135" i="1"/>
  <c r="Q134" i="1"/>
  <c r="Q136" i="1"/>
  <c r="T137" i="1"/>
  <c r="S95" i="1"/>
  <c r="S59" i="1" l="1"/>
  <c r="S101" i="1"/>
  <c r="S89" i="1"/>
  <c r="S96" i="1"/>
  <c r="S91" i="1"/>
  <c r="S85" i="1"/>
  <c r="S97" i="1"/>
  <c r="S86" i="1"/>
  <c r="S94" i="1"/>
  <c r="S99" i="1"/>
  <c r="S87" i="1"/>
  <c r="S98" i="1"/>
  <c r="S90" i="1"/>
  <c r="S58" i="1"/>
  <c r="S66" i="1"/>
  <c r="S56" i="1"/>
  <c r="S73" i="1"/>
  <c r="S67" i="1"/>
  <c r="S71" i="1"/>
  <c r="S78" i="1"/>
  <c r="S63" i="1"/>
  <c r="S57" i="1"/>
  <c r="S65" i="1"/>
  <c r="S75" i="1"/>
  <c r="S64" i="1"/>
  <c r="S69" i="1"/>
  <c r="S68" i="1"/>
  <c r="S74" i="1"/>
  <c r="S62" i="1"/>
  <c r="S54" i="1"/>
  <c r="S60" i="1"/>
  <c r="S72" i="1"/>
  <c r="S79" i="1"/>
  <c r="S76" i="1"/>
  <c r="S53" i="1"/>
  <c r="S80" i="1"/>
  <c r="S81" i="1"/>
  <c r="S70" i="1"/>
  <c r="S77" i="1"/>
  <c r="S145" i="1"/>
  <c r="S148" i="1"/>
  <c r="S146" i="1"/>
  <c r="S147" i="1"/>
  <c r="S141" i="1"/>
  <c r="Q145" i="1"/>
  <c r="Q148" i="1"/>
  <c r="Q146" i="1"/>
  <c r="Q147" i="1"/>
  <c r="Q141" i="1"/>
  <c r="Q98" i="1"/>
  <c r="Q87" i="1"/>
  <c r="Q100" i="1"/>
  <c r="Q88" i="1"/>
  <c r="Q97" i="1"/>
  <c r="Q101" i="1"/>
  <c r="Q90" i="1"/>
  <c r="Q86" i="1"/>
  <c r="Q96" i="1"/>
  <c r="Q89" i="1"/>
  <c r="Q94" i="1"/>
  <c r="Q91" i="1"/>
  <c r="Q85" i="1"/>
  <c r="Q99" i="1"/>
  <c r="Q80" i="1"/>
  <c r="Q81" i="1"/>
  <c r="Q77" i="1"/>
  <c r="Q78" i="1"/>
  <c r="Q63" i="1"/>
  <c r="Q73" i="1"/>
  <c r="Q67" i="1"/>
  <c r="Q58" i="1"/>
  <c r="Q66" i="1"/>
  <c r="Q56" i="1"/>
  <c r="Q71" i="1"/>
  <c r="Q57" i="1"/>
  <c r="Q65" i="1"/>
  <c r="Q75" i="1"/>
  <c r="Q72" i="1"/>
  <c r="Q64" i="1"/>
  <c r="Q69" i="1"/>
  <c r="Q68" i="1"/>
  <c r="Q60" i="1"/>
  <c r="Q74" i="1"/>
  <c r="Q62" i="1"/>
  <c r="Q79" i="1"/>
  <c r="Q76" i="1"/>
  <c r="Q53" i="1"/>
  <c r="Q54" i="1"/>
  <c r="X114" i="1"/>
  <c r="W114" i="1"/>
  <c r="V114" i="1"/>
  <c r="U114" i="1"/>
  <c r="T114" i="1"/>
  <c r="X110" i="1"/>
  <c r="W110" i="1"/>
  <c r="V110" i="1"/>
  <c r="U110" i="1"/>
  <c r="T110" i="1"/>
  <c r="X99" i="1" l="1"/>
  <c r="W99" i="1"/>
  <c r="V99" i="1"/>
  <c r="U99" i="1"/>
  <c r="T99" i="1"/>
  <c r="W97" i="1"/>
  <c r="X97" i="1"/>
  <c r="X87" i="1"/>
  <c r="W87" i="1"/>
  <c r="V87" i="1"/>
  <c r="U87" i="1"/>
  <c r="T87" i="1"/>
  <c r="W86" i="1"/>
  <c r="X86" i="1"/>
  <c r="X85" i="1"/>
  <c r="W85" i="1"/>
  <c r="V85" i="1"/>
  <c r="U85" i="1"/>
  <c r="T85" i="1"/>
  <c r="X91" i="1"/>
  <c r="W91" i="1"/>
  <c r="V91" i="1"/>
  <c r="U91" i="1"/>
  <c r="T91" i="1"/>
  <c r="X90" i="1"/>
  <c r="X89" i="1"/>
  <c r="X88" i="1"/>
  <c r="W88" i="1"/>
  <c r="V88" i="1"/>
  <c r="U88" i="1"/>
  <c r="T88" i="1"/>
  <c r="U94" i="1" l="1"/>
  <c r="W96" i="1"/>
  <c r="U97" i="1"/>
  <c r="V94" i="1"/>
  <c r="V96" i="1"/>
  <c r="T97" i="1"/>
  <c r="T94" i="1"/>
  <c r="T96" i="1"/>
  <c r="U96" i="1"/>
  <c r="V97" i="1"/>
  <c r="U89" i="1"/>
  <c r="U86" i="1"/>
  <c r="T90" i="1"/>
  <c r="W90" i="1"/>
  <c r="U90" i="1"/>
  <c r="T86" i="1"/>
  <c r="V89" i="1"/>
  <c r="V86" i="1"/>
  <c r="W89" i="1"/>
  <c r="V90" i="1"/>
  <c r="T89" i="1"/>
  <c r="T146" i="1" l="1"/>
  <c r="U140" i="1"/>
  <c r="U135" i="1"/>
  <c r="U134" i="1"/>
  <c r="U141" i="1"/>
  <c r="U145" i="1"/>
  <c r="U148" i="1"/>
  <c r="U146" i="1"/>
  <c r="T120" i="1"/>
  <c r="Q140" i="1"/>
  <c r="T42" i="1"/>
  <c r="T46" i="1"/>
  <c r="T79" i="1"/>
  <c r="S130" i="1" l="1"/>
  <c r="S121" i="1"/>
  <c r="S120" i="1"/>
  <c r="S126" i="1"/>
  <c r="S128" i="1"/>
  <c r="S112" i="1"/>
  <c r="S111" i="1"/>
  <c r="S124" i="1"/>
  <c r="S123" i="1"/>
  <c r="S131" i="1"/>
  <c r="S117" i="1"/>
  <c r="S118" i="1"/>
  <c r="S116" i="1"/>
  <c r="S115" i="1"/>
  <c r="S110" i="1"/>
  <c r="S127" i="1"/>
  <c r="S122" i="1"/>
  <c r="S113" i="1"/>
  <c r="S119" i="1"/>
  <c r="S114" i="1"/>
  <c r="Q107" i="1"/>
  <c r="Q106" i="1"/>
  <c r="Q104" i="1"/>
  <c r="Q47" i="1"/>
  <c r="Q24" i="1"/>
  <c r="Q22" i="1"/>
  <c r="Q26" i="1"/>
  <c r="Q33" i="1"/>
  <c r="Q29" i="1"/>
  <c r="Q42" i="1"/>
  <c r="Q23" i="1"/>
  <c r="Q43" i="1"/>
  <c r="Q38" i="1"/>
  <c r="Q41" i="1"/>
  <c r="Q34" i="1"/>
  <c r="Q36" i="1"/>
  <c r="Q37" i="1"/>
  <c r="Q49" i="1"/>
  <c r="Q27" i="1"/>
  <c r="Q32" i="1"/>
  <c r="Q25" i="1"/>
  <c r="Q48" i="1"/>
  <c r="Q40" i="1"/>
  <c r="Q35" i="1"/>
  <c r="Q39" i="1"/>
  <c r="Q50" i="1"/>
  <c r="Q46" i="1"/>
  <c r="Q30" i="1"/>
  <c r="Q28" i="1"/>
  <c r="Q31" i="1"/>
  <c r="Q10" i="1"/>
  <c r="Q15" i="1"/>
  <c r="Q19" i="1"/>
  <c r="Q6" i="1"/>
  <c r="Q4" i="1"/>
  <c r="Q14" i="1"/>
  <c r="Q18" i="1"/>
  <c r="Q5" i="1"/>
  <c r="Q9" i="1"/>
  <c r="Q11" i="1"/>
  <c r="Q13" i="1"/>
  <c r="Q12" i="1"/>
  <c r="Q16" i="1"/>
  <c r="Q7" i="1"/>
  <c r="S140" i="1"/>
  <c r="Q124" i="1" l="1"/>
  <c r="Q137" i="1"/>
  <c r="Q131" i="1"/>
  <c r="Q129" i="1"/>
  <c r="Q117" i="1"/>
  <c r="Q118" i="1"/>
  <c r="Q116" i="1"/>
  <c r="Q115" i="1"/>
  <c r="Q127" i="1"/>
  <c r="Q122" i="1"/>
  <c r="Q125" i="1"/>
  <c r="Q51" i="1"/>
  <c r="Q119" i="1"/>
  <c r="Q121" i="1"/>
  <c r="Q113" i="1"/>
  <c r="Q110" i="1"/>
  <c r="Q132" i="1"/>
  <c r="Q130" i="1"/>
  <c r="Q120" i="1"/>
  <c r="Q114" i="1"/>
  <c r="Q126" i="1"/>
  <c r="Q128" i="1"/>
  <c r="Q112" i="1"/>
  <c r="Q108" i="1"/>
  <c r="Q111" i="1"/>
  <c r="Q123" i="1"/>
  <c r="Q102" i="1"/>
  <c r="Q82" i="1"/>
  <c r="Q20" i="1"/>
  <c r="U149" i="1"/>
  <c r="U115" i="1"/>
  <c r="U117" i="1"/>
  <c r="U46" i="1"/>
  <c r="U25" i="1"/>
  <c r="X125" i="1" l="1"/>
  <c r="W116" i="1"/>
  <c r="T11" i="1" l="1"/>
  <c r="U69" i="1"/>
  <c r="U74" i="1"/>
  <c r="X135" i="1" l="1"/>
  <c r="T98" i="1" l="1"/>
  <c r="T60" i="1" l="1"/>
  <c r="X126" i="1"/>
  <c r="T117" i="1"/>
  <c r="T115" i="1"/>
  <c r="T64" i="1"/>
  <c r="AA108" i="1" l="1"/>
  <c r="T5" i="1" l="1"/>
  <c r="AA20" i="1"/>
  <c r="U11" i="1"/>
  <c r="U5" i="1"/>
  <c r="S15" i="1" l="1"/>
  <c r="S19" i="1"/>
  <c r="S16" i="1"/>
  <c r="S10" i="1"/>
  <c r="S4" i="1"/>
  <c r="S14" i="1"/>
  <c r="S6" i="1"/>
  <c r="S7" i="1"/>
  <c r="S18" i="1"/>
  <c r="S5" i="1"/>
  <c r="S9" i="1"/>
  <c r="S11" i="1"/>
  <c r="S13" i="1"/>
  <c r="S12" i="1"/>
  <c r="T20" i="1"/>
  <c r="X65" i="1" l="1"/>
  <c r="X31" i="1"/>
  <c r="W31" i="1"/>
  <c r="V31" i="1"/>
  <c r="U31" i="1"/>
  <c r="T31" i="1"/>
  <c r="U77" i="1" l="1"/>
  <c r="U27" i="1"/>
  <c r="X77" i="1" l="1"/>
  <c r="W77" i="1"/>
  <c r="V77" i="1"/>
  <c r="T35" i="1" l="1"/>
  <c r="X117" i="1" l="1"/>
  <c r="W117" i="1"/>
  <c r="V117" i="1"/>
  <c r="X64" i="1"/>
  <c r="W64" i="1"/>
  <c r="V64" i="1"/>
  <c r="U64" i="1"/>
  <c r="X35" i="1"/>
  <c r="W35" i="1"/>
  <c r="U35" i="1"/>
  <c r="X148" i="1" l="1"/>
  <c r="W148" i="1"/>
  <c r="V148" i="1"/>
  <c r="T148" i="1"/>
  <c r="X123" i="1" l="1"/>
  <c r="W123" i="1"/>
  <c r="V123" i="1"/>
  <c r="U123" i="1"/>
  <c r="T123" i="1"/>
  <c r="X43" i="1" l="1"/>
  <c r="W43" i="1"/>
  <c r="V43" i="1"/>
  <c r="U43" i="1"/>
  <c r="T43" i="1"/>
  <c r="X107" i="1" l="1"/>
  <c r="W107" i="1"/>
  <c r="V107" i="1"/>
  <c r="U107" i="1"/>
  <c r="T107" i="1"/>
  <c r="X56" i="1" l="1"/>
  <c r="W56" i="1"/>
  <c r="V56" i="1"/>
  <c r="U56" i="1"/>
  <c r="T56" i="1"/>
  <c r="X145" i="1"/>
  <c r="W145" i="1"/>
  <c r="V145" i="1"/>
  <c r="T145" i="1"/>
  <c r="T149" i="1" l="1"/>
  <c r="X146" i="1"/>
  <c r="W146" i="1"/>
  <c r="V146" i="1"/>
  <c r="X141" i="1"/>
  <c r="W141" i="1"/>
  <c r="V141" i="1"/>
  <c r="T141" i="1"/>
  <c r="X134" i="1"/>
  <c r="W134" i="1"/>
  <c r="V134" i="1"/>
  <c r="T134" i="1"/>
  <c r="W135" i="1"/>
  <c r="V135" i="1"/>
  <c r="X140" i="1"/>
  <c r="W140" i="1"/>
  <c r="V140" i="1"/>
  <c r="T140" i="1"/>
  <c r="X136" i="1"/>
  <c r="W136" i="1"/>
  <c r="V136" i="1"/>
  <c r="U136" i="1"/>
  <c r="T136" i="1"/>
  <c r="AA132" i="1"/>
  <c r="X115" i="1"/>
  <c r="W115" i="1"/>
  <c r="V115" i="1"/>
  <c r="X120" i="1"/>
  <c r="W120" i="1"/>
  <c r="V120" i="1"/>
  <c r="U120" i="1"/>
  <c r="X124" i="1"/>
  <c r="W124" i="1"/>
  <c r="U124" i="1"/>
  <c r="T124" i="1"/>
  <c r="W128" i="1"/>
  <c r="U128" i="1"/>
  <c r="T128" i="1"/>
  <c r="X122" i="1"/>
  <c r="W122" i="1"/>
  <c r="V122" i="1"/>
  <c r="U122" i="1"/>
  <c r="T122" i="1"/>
  <c r="X116" i="1"/>
  <c r="V116" i="1"/>
  <c r="U116" i="1"/>
  <c r="T116" i="1"/>
  <c r="X121" i="1"/>
  <c r="W121" i="1"/>
  <c r="V121" i="1"/>
  <c r="U121" i="1"/>
  <c r="T121" i="1"/>
  <c r="W129" i="1"/>
  <c r="V129" i="1"/>
  <c r="U129" i="1"/>
  <c r="X113" i="1"/>
  <c r="W113" i="1"/>
  <c r="V113" i="1"/>
  <c r="U113" i="1"/>
  <c r="T113" i="1"/>
  <c r="X119" i="1"/>
  <c r="W119" i="1"/>
  <c r="V119" i="1"/>
  <c r="U119" i="1"/>
  <c r="T119" i="1"/>
  <c r="X127" i="1"/>
  <c r="W127" i="1"/>
  <c r="V127" i="1"/>
  <c r="U127" i="1"/>
  <c r="T127" i="1"/>
  <c r="X118" i="1"/>
  <c r="W118" i="1"/>
  <c r="V118" i="1"/>
  <c r="U118" i="1"/>
  <c r="T118" i="1"/>
  <c r="X112" i="1"/>
  <c r="W112" i="1"/>
  <c r="V112" i="1"/>
  <c r="U112" i="1"/>
  <c r="T112" i="1"/>
  <c r="X131" i="1"/>
  <c r="W131" i="1"/>
  <c r="V131" i="1"/>
  <c r="U131" i="1"/>
  <c r="T131" i="1"/>
  <c r="X111" i="1"/>
  <c r="W111" i="1"/>
  <c r="V111" i="1"/>
  <c r="U111" i="1"/>
  <c r="T111" i="1"/>
  <c r="W126" i="1"/>
  <c r="V126" i="1"/>
  <c r="U126" i="1"/>
  <c r="T126" i="1"/>
  <c r="X130" i="1"/>
  <c r="W130" i="1"/>
  <c r="V130" i="1"/>
  <c r="U130" i="1"/>
  <c r="T130" i="1"/>
  <c r="W125" i="1"/>
  <c r="V125" i="1"/>
  <c r="U125" i="1"/>
  <c r="T125" i="1"/>
  <c r="R108" i="1"/>
  <c r="Q105" i="1"/>
  <c r="X104" i="1"/>
  <c r="W104" i="1"/>
  <c r="V104" i="1"/>
  <c r="U104" i="1"/>
  <c r="T104" i="1"/>
  <c r="X106" i="1"/>
  <c r="W106" i="1"/>
  <c r="V106" i="1"/>
  <c r="U106" i="1"/>
  <c r="T106" i="1"/>
  <c r="X105" i="1"/>
  <c r="W105" i="1"/>
  <c r="V105" i="1"/>
  <c r="U105" i="1"/>
  <c r="T105" i="1"/>
  <c r="X57" i="1"/>
  <c r="W57" i="1"/>
  <c r="V57" i="1"/>
  <c r="U57" i="1"/>
  <c r="T57" i="1"/>
  <c r="X54" i="1"/>
  <c r="W54" i="1"/>
  <c r="V54" i="1"/>
  <c r="U54" i="1"/>
  <c r="T54" i="1"/>
  <c r="X53" i="1"/>
  <c r="W53" i="1"/>
  <c r="V53" i="1"/>
  <c r="U53" i="1"/>
  <c r="T53" i="1"/>
  <c r="X147" i="1"/>
  <c r="W147" i="1"/>
  <c r="V147" i="1"/>
  <c r="U147" i="1"/>
  <c r="T147" i="1"/>
  <c r="X62" i="1"/>
  <c r="W62" i="1"/>
  <c r="V62" i="1"/>
  <c r="U62" i="1"/>
  <c r="T62" i="1"/>
  <c r="X68" i="1"/>
  <c r="W68" i="1"/>
  <c r="V68" i="1"/>
  <c r="U68" i="1"/>
  <c r="T68" i="1"/>
  <c r="X101" i="1"/>
  <c r="W101" i="1"/>
  <c r="V101" i="1"/>
  <c r="U101" i="1"/>
  <c r="T101" i="1"/>
  <c r="X81" i="1"/>
  <c r="W81" i="1"/>
  <c r="V81" i="1"/>
  <c r="U81" i="1"/>
  <c r="T81" i="1"/>
  <c r="X67" i="1"/>
  <c r="W67" i="1"/>
  <c r="V67" i="1"/>
  <c r="U67" i="1"/>
  <c r="T67" i="1"/>
  <c r="X63" i="1"/>
  <c r="W63" i="1"/>
  <c r="V63" i="1"/>
  <c r="U63" i="1"/>
  <c r="X100" i="1"/>
  <c r="W100" i="1"/>
  <c r="V100" i="1"/>
  <c r="U100" i="1"/>
  <c r="T100" i="1"/>
  <c r="X66" i="1"/>
  <c r="W66" i="1"/>
  <c r="V66" i="1"/>
  <c r="U66" i="1"/>
  <c r="T66" i="1"/>
  <c r="X72" i="1"/>
  <c r="W72" i="1"/>
  <c r="V72" i="1"/>
  <c r="U72" i="1"/>
  <c r="T72" i="1"/>
  <c r="X70" i="1"/>
  <c r="W70" i="1"/>
  <c r="V70" i="1"/>
  <c r="U70" i="1"/>
  <c r="T70" i="1"/>
  <c r="X76" i="1"/>
  <c r="W76" i="1"/>
  <c r="V76" i="1"/>
  <c r="U76" i="1"/>
  <c r="T76" i="1"/>
  <c r="X74" i="1"/>
  <c r="W74" i="1"/>
  <c r="V74" i="1"/>
  <c r="T74" i="1"/>
  <c r="X69" i="1"/>
  <c r="W69" i="1"/>
  <c r="V69" i="1"/>
  <c r="T69" i="1"/>
  <c r="X73" i="1"/>
  <c r="W73" i="1"/>
  <c r="V73" i="1"/>
  <c r="U73" i="1"/>
  <c r="T73" i="1"/>
  <c r="X78" i="1"/>
  <c r="W78" i="1"/>
  <c r="V78" i="1"/>
  <c r="U78" i="1"/>
  <c r="T78" i="1"/>
  <c r="X58" i="1"/>
  <c r="W58" i="1"/>
  <c r="V58" i="1"/>
  <c r="U58" i="1"/>
  <c r="T58" i="1"/>
  <c r="X80" i="1"/>
  <c r="W80" i="1"/>
  <c r="V80" i="1"/>
  <c r="U80" i="1"/>
  <c r="T80" i="1"/>
  <c r="X79" i="1"/>
  <c r="W79" i="1"/>
  <c r="V79" i="1"/>
  <c r="U79" i="1"/>
  <c r="X60" i="1"/>
  <c r="W60" i="1"/>
  <c r="V60" i="1"/>
  <c r="U60" i="1"/>
  <c r="W65" i="1"/>
  <c r="V65" i="1"/>
  <c r="U65" i="1"/>
  <c r="T65" i="1"/>
  <c r="X71" i="1"/>
  <c r="W71" i="1"/>
  <c r="V71" i="1"/>
  <c r="U71" i="1"/>
  <c r="T71" i="1"/>
  <c r="X75" i="1"/>
  <c r="W75" i="1"/>
  <c r="V75" i="1"/>
  <c r="U75" i="1"/>
  <c r="T75" i="1"/>
  <c r="AA51" i="1"/>
  <c r="R51" i="1"/>
  <c r="S31" i="1" s="1"/>
  <c r="X42" i="1"/>
  <c r="W42" i="1"/>
  <c r="V42" i="1"/>
  <c r="U42" i="1"/>
  <c r="X48" i="1"/>
  <c r="W48" i="1"/>
  <c r="V48" i="1"/>
  <c r="U48" i="1"/>
  <c r="T48" i="1"/>
  <c r="X46" i="1"/>
  <c r="W46" i="1"/>
  <c r="V46" i="1"/>
  <c r="X25" i="1"/>
  <c r="W25" i="1"/>
  <c r="V25" i="1"/>
  <c r="T25" i="1"/>
  <c r="X36" i="1"/>
  <c r="W36" i="1"/>
  <c r="V36" i="1"/>
  <c r="U36" i="1"/>
  <c r="T36" i="1"/>
  <c r="X29" i="1"/>
  <c r="W29" i="1"/>
  <c r="U29" i="1"/>
  <c r="T29" i="1"/>
  <c r="X49" i="1"/>
  <c r="W49" i="1"/>
  <c r="V49" i="1"/>
  <c r="U49" i="1"/>
  <c r="T49" i="1"/>
  <c r="X38" i="1"/>
  <c r="W38" i="1"/>
  <c r="V38" i="1"/>
  <c r="U38" i="1"/>
  <c r="T38" i="1"/>
  <c r="X40" i="1"/>
  <c r="W40" i="1"/>
  <c r="V40" i="1"/>
  <c r="U40" i="1"/>
  <c r="T40" i="1"/>
  <c r="X23" i="1"/>
  <c r="W23" i="1"/>
  <c r="V23" i="1"/>
  <c r="U23" i="1"/>
  <c r="T23" i="1"/>
  <c r="X50" i="1"/>
  <c r="W50" i="1"/>
  <c r="V50" i="1"/>
  <c r="U50" i="1"/>
  <c r="T50" i="1"/>
  <c r="V32" i="1"/>
  <c r="U32" i="1"/>
  <c r="T32" i="1"/>
  <c r="W34" i="1"/>
  <c r="U34" i="1"/>
  <c r="T34" i="1"/>
  <c r="X33" i="1"/>
  <c r="W33" i="1"/>
  <c r="U33" i="1"/>
  <c r="T33" i="1"/>
  <c r="X22" i="1"/>
  <c r="W22" i="1"/>
  <c r="V22" i="1"/>
  <c r="U22" i="1"/>
  <c r="T22" i="1"/>
  <c r="X28" i="1"/>
  <c r="W28" i="1"/>
  <c r="V28" i="1"/>
  <c r="U28" i="1"/>
  <c r="T28" i="1"/>
  <c r="X44" i="1"/>
  <c r="W44" i="1"/>
  <c r="V44" i="1"/>
  <c r="U44" i="1"/>
  <c r="T44" i="1"/>
  <c r="X30" i="1"/>
  <c r="W30" i="1"/>
  <c r="V30" i="1"/>
  <c r="U30" i="1"/>
  <c r="T30" i="1"/>
  <c r="X39" i="1"/>
  <c r="W39" i="1"/>
  <c r="V39" i="1"/>
  <c r="U39" i="1"/>
  <c r="T39" i="1"/>
  <c r="X27" i="1"/>
  <c r="W27" i="1"/>
  <c r="V27" i="1"/>
  <c r="T27" i="1"/>
  <c r="X41" i="1"/>
  <c r="W41" i="1"/>
  <c r="V41" i="1"/>
  <c r="U41" i="1"/>
  <c r="T41" i="1"/>
  <c r="X26" i="1"/>
  <c r="W26" i="1"/>
  <c r="V26" i="1"/>
  <c r="U26" i="1"/>
  <c r="T26" i="1"/>
  <c r="X24" i="1"/>
  <c r="W24" i="1"/>
  <c r="V24" i="1"/>
  <c r="U24" i="1"/>
  <c r="T24" i="1"/>
  <c r="X47" i="1"/>
  <c r="W47" i="1"/>
  <c r="V47" i="1"/>
  <c r="U47" i="1"/>
  <c r="T47" i="1"/>
  <c r="X37" i="1"/>
  <c r="W37" i="1"/>
  <c r="V37" i="1"/>
  <c r="U37" i="1"/>
  <c r="T37" i="1"/>
  <c r="X45" i="1"/>
  <c r="W45" i="1"/>
  <c r="V45" i="1"/>
  <c r="U45" i="1"/>
  <c r="T45" i="1"/>
  <c r="X5" i="1"/>
  <c r="W5" i="1"/>
  <c r="V5" i="1"/>
  <c r="X14" i="1"/>
  <c r="W14" i="1"/>
  <c r="V14" i="1"/>
  <c r="U14" i="1"/>
  <c r="T14" i="1"/>
  <c r="X19" i="1"/>
  <c r="W19" i="1"/>
  <c r="V19" i="1"/>
  <c r="U19" i="1"/>
  <c r="T19" i="1"/>
  <c r="X7" i="1"/>
  <c r="W7" i="1"/>
  <c r="V7" i="1"/>
  <c r="U7" i="1"/>
  <c r="T7" i="1"/>
  <c r="X16" i="1"/>
  <c r="W16" i="1"/>
  <c r="V16" i="1"/>
  <c r="U16" i="1"/>
  <c r="T16" i="1"/>
  <c r="X13" i="1"/>
  <c r="W13" i="1"/>
  <c r="V13" i="1"/>
  <c r="U13" i="1"/>
  <c r="T13" i="1"/>
  <c r="X9" i="1"/>
  <c r="W9" i="1"/>
  <c r="V9" i="1"/>
  <c r="U9" i="1"/>
  <c r="T9" i="1"/>
  <c r="X6" i="1"/>
  <c r="W6" i="1"/>
  <c r="V6" i="1"/>
  <c r="U6" i="1"/>
  <c r="T6" i="1"/>
  <c r="X18" i="1"/>
  <c r="W18" i="1"/>
  <c r="V18" i="1"/>
  <c r="U18" i="1"/>
  <c r="T18" i="1"/>
  <c r="X4" i="1"/>
  <c r="W4" i="1"/>
  <c r="V4" i="1"/>
  <c r="U4" i="1"/>
  <c r="T4" i="1"/>
  <c r="X15" i="1"/>
  <c r="W15" i="1"/>
  <c r="V15" i="1"/>
  <c r="U15" i="1"/>
  <c r="T15" i="1"/>
  <c r="X10" i="1"/>
  <c r="W10" i="1"/>
  <c r="V10" i="1"/>
  <c r="U10" i="1"/>
  <c r="T10" i="1"/>
  <c r="X12" i="1"/>
  <c r="W12" i="1"/>
  <c r="V12" i="1"/>
  <c r="U12" i="1"/>
  <c r="T12" i="1"/>
  <c r="X17" i="1"/>
  <c r="W17" i="1"/>
  <c r="V17" i="1"/>
  <c r="U17" i="1"/>
  <c r="T17" i="1"/>
  <c r="R150" i="1" l="1"/>
  <c r="S51" i="1" s="1"/>
  <c r="AA150" i="1"/>
  <c r="S106" i="1"/>
  <c r="S104" i="1"/>
  <c r="S107" i="1"/>
  <c r="S39" i="1"/>
  <c r="S50" i="1"/>
  <c r="S46" i="1"/>
  <c r="S38" i="1"/>
  <c r="S29" i="1"/>
  <c r="S30" i="1"/>
  <c r="S23" i="1"/>
  <c r="S48" i="1"/>
  <c r="S47" i="1"/>
  <c r="S37" i="1"/>
  <c r="S44" i="1"/>
  <c r="S40" i="1"/>
  <c r="S43" i="1"/>
  <c r="S28" i="1"/>
  <c r="S35" i="1"/>
  <c r="S42" i="1"/>
  <c r="S24" i="1"/>
  <c r="S22" i="1"/>
  <c r="S49" i="1"/>
  <c r="S26" i="1"/>
  <c r="S33" i="1"/>
  <c r="S41" i="1"/>
  <c r="S34" i="1"/>
  <c r="S36" i="1"/>
  <c r="S27" i="1"/>
  <c r="S32" i="1"/>
  <c r="S25" i="1"/>
  <c r="T82" i="1"/>
  <c r="S100" i="1"/>
  <c r="S105" i="1"/>
  <c r="S125" i="1"/>
  <c r="Q17" i="1"/>
  <c r="Q45" i="1"/>
  <c r="T132" i="1"/>
  <c r="S45" i="1"/>
  <c r="T102" i="1"/>
  <c r="T51" i="1"/>
  <c r="S17" i="1"/>
  <c r="T108" i="1"/>
  <c r="S82" i="1" l="1"/>
  <c r="S102" i="1"/>
  <c r="S108" i="1"/>
  <c r="S20" i="1"/>
  <c r="S132" i="1"/>
  <c r="S149" i="1"/>
  <c r="S137" i="1"/>
  <c r="X32" i="1"/>
  <c r="W32" i="1"/>
  <c r="V128" i="1" l="1"/>
</calcChain>
</file>

<file path=xl/sharedStrings.xml><?xml version="1.0" encoding="utf-8"?>
<sst xmlns="http://schemas.openxmlformats.org/spreadsheetml/2006/main" count="308" uniqueCount="214">
  <si>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</si>
  <si>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</si>
  <si>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</si>
  <si>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</si>
  <si>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</si>
  <si>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</si>
  <si>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</si>
  <si>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</si>
  <si>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</si>
  <si>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</si>
  <si>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</si>
  <si>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</si>
  <si>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</si>
  <si>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</si>
  <si>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</si>
  <si>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</si>
  <si>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</si>
  <si>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</si>
  <si>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</si>
  <si>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</si>
  <si>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</si>
  <si>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</si>
  <si>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</si>
  <si>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</si>
  <si>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</si>
  <si>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</si>
  <si>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</si>
  <si>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</si>
  <si>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</si>
  <si>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</si>
  <si>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</si>
  <si>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</si>
  <si>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</si>
  <si>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</si>
  <si>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</si>
  <si>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</si>
  <si>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</si>
  <si>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</si>
  <si>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</si>
  <si>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</si>
  <si>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</si>
  <si>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</si>
  <si>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</si>
  <si>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</si>
  <si>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</si>
  <si>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</si>
  <si>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</si>
  <si>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</si>
  <si>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</si>
  <si>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</si>
  <si>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</si>
  <si>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</si>
  <si>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</si>
  <si>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</si>
  <si>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</si>
  <si>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</si>
  <si>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</si>
  <si>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</si>
  <si>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</si>
  <si>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</si>
  <si>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</si>
  <si>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</si>
  <si>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</si>
  <si>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</si>
  <si>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</si>
  <si>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</si>
  <si>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</si>
  <si>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</si>
  <si>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</si>
  <si>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</si>
  <si>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</si>
  <si>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</si>
  <si>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</si>
  <si>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</si>
  <si>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</si>
  <si>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</si>
  <si>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</si>
  <si>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</si>
  <si>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</si>
  <si>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</si>
  <si>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</si>
  <si>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</si>
  <si>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</si>
  <si>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</si>
  <si>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</si>
  <si>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</si>
  <si>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</si>
  <si>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</si>
  <si>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</si>
  <si>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</si>
  <si>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</si>
  <si>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</si>
  <si>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</si>
  <si>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</si>
  <si>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</si>
  <si>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</si>
  <si>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</si>
  <si>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</si>
  <si>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</si>
  <si>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</si>
  <si>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</si>
  <si>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</si>
  <si>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</si>
  <si>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</si>
  <si>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</si>
  <si>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</si>
  <si>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</si>
  <si>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</si>
  <si>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</si>
  <si>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</si>
  <si>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</si>
  <si>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</si>
  <si>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</si>
  <si>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</si>
  <si>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</si>
  <si>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</si>
  <si>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</si>
  <si>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</si>
  <si>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</si>
  <si>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</si>
  <si>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</si>
  <si>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</si>
  <si>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</si>
  <si>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</si>
  <si>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</si>
  <si>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</si>
  <si>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</si>
  <si>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</si>
  <si>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</si>
  <si>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</si>
  <si>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</si>
  <si>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</si>
  <si>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</si>
  <si>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</si>
  <si>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</si>
  <si>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</si>
  <si>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</si>
  <si>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</si>
  <si>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</si>
  <si>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</si>
  <si>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</si>
  <si>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</si>
  <si>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</si>
  <si>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</si>
  <si>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</si>
  <si>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</si>
  <si>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</si>
  <si>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</si>
  <si>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</si>
  <si>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</si>
  <si>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</si>
  <si>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</si>
  <si>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</si>
  <si>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</si>
  <si>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</si>
  <si>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</si>
  <si>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</si>
  <si>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</si>
  <si>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</si>
  <si>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</si>
  <si>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</si>
  <si>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</si>
  <si>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</si>
  <si>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</si>
  <si>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</si>
  <si>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</si>
  <si>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</si>
  <si>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</si>
  <si>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</si>
  <si>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</si>
  <si>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</si>
  <si>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</si>
  <si>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</si>
  <si>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</si>
  <si>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</si>
  <si>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FBNQuest Asset Management Limited</t>
  </si>
  <si>
    <t>First City Asset Management Ltd.</t>
  </si>
  <si>
    <t>Nigeria Dollar Income Fund</t>
  </si>
  <si>
    <t>MIXED FUNDS</t>
  </si>
  <si>
    <t>SHARI'AH COMPLIANT FUNDS</t>
  </si>
  <si>
    <t>FBN Halal Fund</t>
  </si>
  <si>
    <t>Norrenberger Investment &amp; Capital Management Limited</t>
  </si>
  <si>
    <t>BOND/FIXED INCOME FUNDS</t>
  </si>
  <si>
    <t>Legacy Debt Fund</t>
  </si>
  <si>
    <t>NOVA Hybrid Balanced Fund</t>
  </si>
  <si>
    <t>Emerging Africa Balanced-Diversity Fund (Gender/Diversity)</t>
  </si>
  <si>
    <t>S/N</t>
  </si>
  <si>
    <t>Stanbic IBTC Asset Management Limited</t>
  </si>
  <si>
    <t xml:space="preserve">Nigerian Eurobond Fund </t>
  </si>
  <si>
    <t>Chapel Hill Denham Nigeria Bond Fund</t>
  </si>
  <si>
    <t>FBN Dollar Fund (Retail)</t>
  </si>
  <si>
    <t>EDC Nigeria Fixed Income Fund</t>
  </si>
  <si>
    <t xml:space="preserve">Capital Trust Investments &amp; Asset Mgt. Ltd </t>
  </si>
  <si>
    <t xml:space="preserve">NET ASSET VALUE  (N) </t>
  </si>
  <si>
    <t>AXA Mansard Dollar Bond Fund</t>
  </si>
  <si>
    <t>CLOSING NUMBER OF UNITS</t>
  </si>
  <si>
    <t>OPENING NUMBER OF UNITS</t>
  </si>
  <si>
    <t>Capital Trust Halal Fixed Income Fund</t>
  </si>
  <si>
    <t>ADDITIONS</t>
  </si>
  <si>
    <t>REDEMPTIONS</t>
  </si>
  <si>
    <t>Zenith ESG Impact Fund</t>
  </si>
  <si>
    <t>Zenith Balanced Strategy Fund</t>
  </si>
  <si>
    <t>Cordros Fixed Income Fund</t>
  </si>
  <si>
    <t>Nigeria Entertainment Fund</t>
  </si>
  <si>
    <t>Wealth For Women Fund</t>
  </si>
  <si>
    <t>ARM Investment Managers</t>
  </si>
  <si>
    <t>ARM Short Term-Bond Fund</t>
  </si>
  <si>
    <t>Lotus Halal Fixed Income Fund</t>
  </si>
  <si>
    <t>NET ASSET VALUE  (N) PREVIOUS JUNE</t>
  </si>
  <si>
    <t>SPREADSHEET OF REGISTERED MUTUAL FUNDS AS AT 31ST JULY, 2022</t>
  </si>
  <si>
    <t>FBN Bond Fund</t>
  </si>
  <si>
    <t>DOLLAR FUNDS</t>
  </si>
  <si>
    <t>EUROBONDS</t>
  </si>
  <si>
    <t>FIXED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</si>
</sst>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&quot; &quot;* #,##0&quot; &quot;;&quot;-&quot;* #,##0&quot; &quot;;&quot; &quot;* &quot;-&quot;??&quot; &quot;"/>
    <numFmt numFmtId="167" formatCode="&quot; &quot;* #,##0.00&quot; &quot;;&quot;-&quot;* #,##0.00&quot; &quot;;&quot; &quot;* &quot;-&quot;??&quot; &quot;"/>
    <numFmt numFmtId="168" formatCode="&quot; &quot;* #,##0.00&quot; &quot;;&quot; &quot;* \(#,##0.00\);&quot; &quot;* &quot;-&quot;??&quot; &quot;"/>
    <numFmt numFmtId="169" formatCode="_-* #,##0_-;\-* #,##0_-;_-* &quot;-&quot;??_-;_-@_-"/>
    <numFmt numFmtId="170" formatCode="[$-409]d\-mmm\-yy;@"/>
    <numFmt numFmtId="171" formatCode="0.00_)"/>
    <numFmt numFmtId="172" formatCode="mmm\-yyyy"/>
    <numFmt numFmtId="173" formatCode="0;[Red]0"/>
    <numFmt numFmtId="174" formatCode="&quot;Yes&quot;;&quot;Yes&quot;;&quot;No&quot;"/>
    <numFmt numFmtId="175" formatCode="dd/mm/yy;@"/>
    <numFmt numFmtId="176" formatCode="&quot; &quot;* #,##0.0000&quot; &quot;;&quot;-&quot;* #,##0.0000&quot; &quot;;&quot; &quot;* &quot;-&quot;??&quot; &quot;"/>
  </numFmts>
  <fonts count="45" x14ac:knownFonts="1">
    <font>
      <sz val="11"/>
      <color indexed="8"/>
      <name val="Calibri"/>
    </font>
    <font>
      <sz val="11"/>
      <color theme="1"/>
      <name val="Helvetica"/>
      <family val="2"/>
      <scheme val="minor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8"/>
      <color theme="3"/>
      <name val="Helvetica"/>
      <family val="2"/>
      <scheme val="major"/>
    </font>
    <font>
      <b/>
      <sz val="15"/>
      <color theme="3"/>
      <name val="Helvetica"/>
      <family val="2"/>
      <scheme val="minor"/>
    </font>
    <font>
      <b/>
      <sz val="13"/>
      <color theme="3"/>
      <name val="Helvetica"/>
      <family val="2"/>
      <scheme val="minor"/>
    </font>
    <font>
      <b/>
      <sz val="11"/>
      <color theme="3"/>
      <name val="Helvetica"/>
      <family val="2"/>
      <scheme val="minor"/>
    </font>
    <font>
      <sz val="11"/>
      <color rgb="FF006100"/>
      <name val="Helvetica"/>
      <family val="2"/>
      <scheme val="minor"/>
    </font>
    <font>
      <sz val="11"/>
      <color rgb="FF9C0006"/>
      <name val="Helvetica"/>
      <family val="2"/>
      <scheme val="minor"/>
    </font>
    <font>
      <sz val="11"/>
      <color rgb="FF9C6500"/>
      <name val="Helvetica"/>
      <family val="2"/>
      <scheme val="minor"/>
    </font>
    <font>
      <sz val="11"/>
      <color rgb="FF3F3F76"/>
      <name val="Helvetica"/>
      <family val="2"/>
      <scheme val="minor"/>
    </font>
    <font>
      <b/>
      <sz val="11"/>
      <color rgb="FF3F3F3F"/>
      <name val="Helvetica"/>
      <family val="2"/>
      <scheme val="minor"/>
    </font>
    <font>
      <b/>
      <sz val="11"/>
      <color rgb="FFFA7D00"/>
      <name val="Helvetica"/>
      <family val="2"/>
      <scheme val="minor"/>
    </font>
    <font>
      <sz val="11"/>
      <color rgb="FFFA7D00"/>
      <name val="Helvetica"/>
      <family val="2"/>
      <scheme val="minor"/>
    </font>
    <font>
      <b/>
      <sz val="11"/>
      <color theme="0"/>
      <name val="Helvetica"/>
      <family val="2"/>
      <scheme val="minor"/>
    </font>
    <font>
      <sz val="11"/>
      <color rgb="FFFF0000"/>
      <name val="Helvetica"/>
      <family val="2"/>
      <scheme val="minor"/>
    </font>
    <font>
      <i/>
      <sz val="11"/>
      <color rgb="FF7F7F7F"/>
      <name val="Helvetica"/>
      <family val="2"/>
      <scheme val="minor"/>
    </font>
    <font>
      <b/>
      <sz val="11"/>
      <color theme="1"/>
      <name val="Helvetica"/>
      <family val="2"/>
      <scheme val="minor"/>
    </font>
    <font>
      <sz val="11"/>
      <color theme="0"/>
      <name val="Helvetica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6"/>
      <name val="Helv"/>
    </font>
    <font>
      <b/>
      <sz val="18"/>
      <color theme="3"/>
      <name val="Helvetica"/>
      <family val="2"/>
      <scheme val="major"/>
    </font>
    <font>
      <sz val="11"/>
      <color rgb="FF9C5700"/>
      <name val="Helvetica"/>
      <family val="2"/>
      <scheme val="minor"/>
    </font>
    <font>
      <sz val="8"/>
      <color rgb="FF00B050"/>
      <name val="Calibri"/>
      <family val="2"/>
    </font>
    <font>
      <sz val="8"/>
      <color indexed="8"/>
      <name val="Calibri"/>
      <family val="2"/>
    </font>
    <font>
      <sz val="8"/>
      <color rgb="FFFF0000"/>
      <name val="Calibri"/>
      <family val="2"/>
    </font>
    <font>
      <sz val="8"/>
      <color indexed="9"/>
      <name val="Calibri"/>
      <family val="2"/>
    </font>
    <font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sz val="8"/>
      <color indexed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32"/>
      <color indexed="9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7">
    <xf numFmtId="0" fontId="0" fillId="0" borderId="0" applyNumberFormat="0" applyFill="0" applyBorder="0" applyProtection="0"/>
    <xf numFmtId="43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20" fillId="19" borderId="17" applyNumberFormat="0" applyAlignment="0" applyProtection="0"/>
    <xf numFmtId="0" fontId="21" fillId="20" borderId="18" applyNumberFormat="0" applyAlignment="0" applyProtection="0"/>
    <xf numFmtId="0" fontId="22" fillId="20" borderId="17" applyNumberFormat="0" applyAlignment="0" applyProtection="0"/>
    <xf numFmtId="0" fontId="23" fillId="0" borderId="19" applyNumberFormat="0" applyFill="0" applyAlignment="0" applyProtection="0"/>
    <xf numFmtId="0" fontId="24" fillId="21" borderId="20" applyNumberFormat="0" applyAlignment="0" applyProtection="0"/>
    <xf numFmtId="0" fontId="27" fillId="0" borderId="22" applyNumberFormat="0" applyFill="0" applyAlignment="0" applyProtection="0"/>
    <xf numFmtId="0" fontId="29" fillId="0" borderId="4"/>
    <xf numFmtId="0" fontId="1" fillId="24" borderId="4" applyNumberFormat="0" applyBorder="0" applyAlignment="0" applyProtection="0"/>
    <xf numFmtId="0" fontId="1" fillId="28" borderId="4" applyNumberFormat="0" applyBorder="0" applyAlignment="0" applyProtection="0"/>
    <xf numFmtId="0" fontId="1" fillId="32" borderId="4" applyNumberFormat="0" applyBorder="0" applyAlignment="0" applyProtection="0"/>
    <xf numFmtId="0" fontId="1" fillId="36" borderId="4" applyNumberFormat="0" applyBorder="0" applyAlignment="0" applyProtection="0"/>
    <xf numFmtId="0" fontId="1" fillId="40" borderId="4" applyNumberFormat="0" applyBorder="0" applyAlignment="0" applyProtection="0"/>
    <xf numFmtId="0" fontId="1" fillId="44" borderId="4" applyNumberFormat="0" applyBorder="0" applyAlignment="0" applyProtection="0"/>
    <xf numFmtId="0" fontId="1" fillId="25" borderId="4" applyNumberFormat="0" applyBorder="0" applyAlignment="0" applyProtection="0"/>
    <xf numFmtId="0" fontId="1" fillId="29" borderId="4" applyNumberFormat="0" applyBorder="0" applyAlignment="0" applyProtection="0"/>
    <xf numFmtId="0" fontId="1" fillId="33" borderId="4" applyNumberFormat="0" applyBorder="0" applyAlignment="0" applyProtection="0"/>
    <xf numFmtId="0" fontId="1" fillId="37" borderId="4" applyNumberFormat="0" applyBorder="0" applyAlignment="0" applyProtection="0"/>
    <xf numFmtId="0" fontId="1" fillId="41" borderId="4" applyNumberFormat="0" applyBorder="0" applyAlignment="0" applyProtection="0"/>
    <xf numFmtId="0" fontId="1" fillId="45" borderId="4" applyNumberFormat="0" applyBorder="0" applyAlignment="0" applyProtection="0"/>
    <xf numFmtId="0" fontId="28" fillId="26" borderId="4" applyNumberFormat="0" applyBorder="0" applyAlignment="0" applyProtection="0"/>
    <xf numFmtId="0" fontId="28" fillId="30" borderId="4" applyNumberFormat="0" applyBorder="0" applyAlignment="0" applyProtection="0"/>
    <xf numFmtId="0" fontId="28" fillId="34" borderId="4" applyNumberFormat="0" applyBorder="0" applyAlignment="0" applyProtection="0"/>
    <xf numFmtId="0" fontId="28" fillId="38" borderId="4" applyNumberFormat="0" applyBorder="0" applyAlignment="0" applyProtection="0"/>
    <xf numFmtId="0" fontId="28" fillId="42" borderId="4" applyNumberFormat="0" applyBorder="0" applyAlignment="0" applyProtection="0"/>
    <xf numFmtId="0" fontId="28" fillId="46" borderId="4" applyNumberFormat="0" applyBorder="0" applyAlignment="0" applyProtection="0"/>
    <xf numFmtId="0" fontId="28" fillId="23" borderId="4" applyNumberFormat="0" applyBorder="0" applyAlignment="0" applyProtection="0"/>
    <xf numFmtId="0" fontId="28" fillId="27" borderId="4" applyNumberFormat="0" applyBorder="0" applyAlignment="0" applyProtection="0"/>
    <xf numFmtId="0" fontId="28" fillId="31" borderId="4" applyNumberFormat="0" applyBorder="0" applyAlignment="0" applyProtection="0"/>
    <xf numFmtId="0" fontId="28" fillId="35" borderId="4" applyNumberFormat="0" applyBorder="0" applyAlignment="0" applyProtection="0"/>
    <xf numFmtId="0" fontId="28" fillId="39" borderId="4" applyNumberFormat="0" applyBorder="0" applyAlignment="0" applyProtection="0"/>
    <xf numFmtId="0" fontId="28" fillId="43" borderId="4" applyNumberFormat="0" applyBorder="0" applyAlignment="0" applyProtection="0"/>
    <xf numFmtId="0" fontId="18" fillId="17" borderId="4" applyNumberFormat="0" applyBorder="0" applyAlignment="0" applyProtection="0"/>
    <xf numFmtId="165" fontId="29" fillId="0" borderId="4" applyFont="0" applyFill="0" applyBorder="0" applyAlignment="0" applyProtection="0"/>
    <xf numFmtId="173" fontId="7" fillId="0" borderId="4" applyFont="0" applyFill="0" applyBorder="0" applyAlignment="0" applyProtection="0"/>
    <xf numFmtId="165" fontId="29" fillId="0" borderId="4" applyFont="0" applyFill="0" applyBorder="0" applyAlignment="0" applyProtection="0"/>
    <xf numFmtId="165" fontId="1" fillId="0" borderId="4" applyFont="0" applyFill="0" applyBorder="0" applyAlignment="0" applyProtection="0"/>
    <xf numFmtId="165" fontId="29" fillId="0" borderId="4" applyFont="0" applyFill="0" applyBorder="0" applyAlignment="0" applyProtection="0"/>
    <xf numFmtId="165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72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165" fontId="29" fillId="0" borderId="4" applyFont="0" applyFill="0" applyBorder="0" applyAlignment="0" applyProtection="0"/>
    <xf numFmtId="172" fontId="29" fillId="0" borderId="4" applyFont="0" applyFill="0" applyBorder="0" applyAlignment="0" applyProtection="0"/>
    <xf numFmtId="164" fontId="30" fillId="0" borderId="4" applyFont="0" applyFill="0" applyBorder="0" applyAlignment="0" applyProtection="0"/>
    <xf numFmtId="164" fontId="30" fillId="0" borderId="4" applyFont="0" applyFill="0" applyBorder="0" applyAlignment="0" applyProtection="0"/>
    <xf numFmtId="173" fontId="7" fillId="0" borderId="4" applyFont="0" applyFill="0" applyBorder="0" applyAlignment="0" applyProtection="0"/>
    <xf numFmtId="173" fontId="7" fillId="0" borderId="4" applyFont="0" applyFill="0" applyBorder="0" applyAlignment="0" applyProtection="0"/>
    <xf numFmtId="174" fontId="7" fillId="0" borderId="4" applyFont="0" applyFill="0" applyBorder="0" applyAlignment="0" applyProtection="0"/>
    <xf numFmtId="173" fontId="7" fillId="0" borderId="4" applyFont="0" applyFill="0" applyBorder="0" applyAlignment="0" applyProtection="0"/>
    <xf numFmtId="0" fontId="26" fillId="0" borderId="4" applyNumberFormat="0" applyFill="0" applyBorder="0" applyAlignment="0" applyProtection="0"/>
    <xf numFmtId="0" fontId="17" fillId="16" borderId="4" applyNumberFormat="0" applyBorder="0" applyAlignment="0" applyProtection="0"/>
    <xf numFmtId="0" fontId="16" fillId="0" borderId="4" applyNumberFormat="0" applyFill="0" applyBorder="0" applyAlignment="0" applyProtection="0"/>
    <xf numFmtId="0" fontId="19" fillId="18" borderId="4" applyNumberFormat="0" applyBorder="0" applyAlignment="0" applyProtection="0"/>
    <xf numFmtId="171" fontId="3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29" fillId="0" borderId="4"/>
    <xf numFmtId="0" fontId="29" fillId="0" borderId="4"/>
    <xf numFmtId="49" fontId="29" fillId="0" borderId="4"/>
    <xf numFmtId="49" fontId="29" fillId="0" borderId="4"/>
    <xf numFmtId="49" fontId="29" fillId="0" borderId="4"/>
    <xf numFmtId="0" fontId="29" fillId="0" borderId="4"/>
    <xf numFmtId="0" fontId="1" fillId="0" borderId="4"/>
    <xf numFmtId="0" fontId="1" fillId="0" borderId="4"/>
    <xf numFmtId="0" fontId="30" fillId="0" borderId="4"/>
    <xf numFmtId="0" fontId="29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0" fontId="32" fillId="0" borderId="4" applyNumberFormat="0" applyFill="0" applyBorder="0" applyAlignment="0" applyProtection="0"/>
    <xf numFmtId="0" fontId="29" fillId="0" borderId="4"/>
    <xf numFmtId="0" fontId="25" fillId="0" borderId="4" applyNumberFormat="0" applyFill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3" fillId="0" borderId="4" applyNumberFormat="0" applyFill="0" applyBorder="0" applyAlignment="0" applyProtection="0"/>
    <xf numFmtId="0" fontId="33" fillId="18" borderId="4" applyNumberFormat="0" applyBorder="0" applyAlignment="0" applyProtection="0"/>
    <xf numFmtId="0" fontId="1" fillId="0" borderId="4"/>
    <xf numFmtId="0" fontId="1" fillId="0" borderId="4"/>
    <xf numFmtId="0" fontId="1" fillId="22" borderId="21" applyNumberFormat="0" applyFont="0" applyAlignment="0" applyProtection="0"/>
    <xf numFmtId="0" fontId="1" fillId="0" borderId="4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0" borderId="4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0" borderId="4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0" borderId="4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0" borderId="4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22" borderId="21" applyNumberFormat="0" applyFont="0" applyAlignment="0" applyProtection="0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29" fillId="0" borderId="4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70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75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170" fontId="29" fillId="0" borderId="4" applyFont="0" applyFill="0" applyBorder="0" applyAlignment="0" applyProtection="0"/>
    <xf numFmtId="0" fontId="1" fillId="0" borderId="4"/>
    <xf numFmtId="0" fontId="29" fillId="0" borderId="4"/>
    <xf numFmtId="49" fontId="29" fillId="0" borderId="4"/>
    <xf numFmtId="0" fontId="1" fillId="0" borderId="4"/>
    <xf numFmtId="0" fontId="1" fillId="0" borderId="4"/>
    <xf numFmtId="0" fontId="30" fillId="0" borderId="4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9" fontId="29" fillId="0" borderId="4" applyFont="0" applyFill="0" applyBorder="0" applyAlignment="0" applyProtection="0"/>
    <xf numFmtId="0" fontId="29" fillId="0" borderId="4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22" borderId="21" applyNumberFormat="0" applyFont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22" borderId="21" applyNumberFormat="0" applyFont="0" applyAlignment="0" applyProtection="0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2" borderId="21" applyNumberFormat="0" applyFont="0" applyAlignment="0" applyProtection="0"/>
    <xf numFmtId="0" fontId="1" fillId="0" borderId="4"/>
    <xf numFmtId="0" fontId="1" fillId="0" borderId="4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0" borderId="4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0" borderId="4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0" borderId="4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2" borderId="21" applyNumberFormat="0" applyFont="0" applyAlignment="0" applyProtection="0"/>
    <xf numFmtId="0" fontId="1" fillId="0" borderId="4"/>
    <xf numFmtId="0" fontId="1" fillId="0" borderId="4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0" borderId="4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0" borderId="4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2" borderId="21" applyNumberFormat="0" applyFont="0" applyAlignment="0" applyProtection="0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22" borderId="21" applyNumberFormat="0" applyFont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22" borderId="21" applyNumberFormat="0" applyFont="0" applyAlignment="0" applyProtection="0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2" borderId="21" applyNumberFormat="0" applyFont="0" applyAlignment="0" applyProtection="0"/>
    <xf numFmtId="0" fontId="1" fillId="0" borderId="4"/>
    <xf numFmtId="0" fontId="1" fillId="0" borderId="4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0" borderId="4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0" borderId="4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0" borderId="4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2" borderId="21" applyNumberFormat="0" applyFont="0" applyAlignment="0" applyProtection="0"/>
    <xf numFmtId="0" fontId="1" fillId="0" borderId="4"/>
    <xf numFmtId="0" fontId="1" fillId="0" borderId="4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6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0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" fillId="34" borderId="4" applyNumberFormat="0" applyBorder="0" applyAlignment="0" applyProtection="0"/>
    <xf numFmtId="0" fontId="1" fillId="0" borderId="4"/>
    <xf numFmtId="0" fontId="1" fillId="36" borderId="4" applyNumberFormat="0" applyBorder="0" applyAlignment="0" applyProtection="0"/>
    <xf numFmtId="0" fontId="1" fillId="37" borderId="4" applyNumberFormat="0" applyBorder="0" applyAlignment="0" applyProtection="0"/>
    <xf numFmtId="0" fontId="1" fillId="38" borderId="4" applyNumberFormat="0" applyBorder="0" applyAlignment="0" applyProtection="0"/>
    <xf numFmtId="0" fontId="1" fillId="0" borderId="4"/>
    <xf numFmtId="0" fontId="1" fillId="40" borderId="4" applyNumberFormat="0" applyBorder="0" applyAlignment="0" applyProtection="0"/>
    <xf numFmtId="0" fontId="1" fillId="41" borderId="4" applyNumberFormat="0" applyBorder="0" applyAlignment="0" applyProtection="0"/>
    <xf numFmtId="0" fontId="1" fillId="42" borderId="4" applyNumberFormat="0" applyBorder="0" applyAlignment="0" applyProtection="0"/>
    <xf numFmtId="0" fontId="1" fillId="44" borderId="4" applyNumberFormat="0" applyBorder="0" applyAlignment="0" applyProtection="0"/>
    <xf numFmtId="0" fontId="1" fillId="45" borderId="4" applyNumberFormat="0" applyBorder="0" applyAlignment="0" applyProtection="0"/>
    <xf numFmtId="0" fontId="1" fillId="46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37" fontId="29" fillId="0" borderId="4"/>
    <xf numFmtId="37" fontId="29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</cellStyleXfs>
  <cellXfs count="18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0" borderId="0" xfId="0" applyNumberFormat="1" applyFont="1" applyAlignment="1"/>
    <xf numFmtId="0" fontId="0" fillId="2" borderId="12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8" borderId="0" xfId="0" applyNumberFormat="1" applyFont="1" applyFill="1" applyAlignment="1"/>
    <xf numFmtId="0" fontId="0" fillId="8" borderId="0" xfId="0" applyFont="1" applyFill="1" applyAlignment="1"/>
    <xf numFmtId="0" fontId="3" fillId="2" borderId="4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0" fontId="7" fillId="0" borderId="0" xfId="0" applyNumberFormat="1" applyFont="1" applyAlignment="1"/>
    <xf numFmtId="0" fontId="11" fillId="12" borderId="4" xfId="0" applyFont="1" applyFill="1" applyBorder="1" applyAlignment="1"/>
    <xf numFmtId="0" fontId="11" fillId="0" borderId="4" xfId="0" applyFont="1" applyBorder="1" applyAlignment="1"/>
    <xf numFmtId="0" fontId="0" fillId="15" borderId="4" xfId="0" applyNumberFormat="1" applyFont="1" applyFill="1" applyBorder="1" applyAlignment="1"/>
    <xf numFmtId="0" fontId="0" fillId="15" borderId="0" xfId="0" applyNumberFormat="1" applyFont="1" applyFill="1" applyAlignment="1"/>
    <xf numFmtId="0" fontId="8" fillId="2" borderId="4" xfId="0" applyNumberFormat="1" applyFont="1" applyFill="1" applyBorder="1" applyAlignment="1"/>
    <xf numFmtId="0" fontId="9" fillId="2" borderId="4" xfId="0" applyNumberFormat="1" applyFont="1" applyFill="1" applyBorder="1" applyAlignment="1"/>
    <xf numFmtId="0" fontId="6" fillId="2" borderId="4" xfId="0" applyNumberFormat="1" applyFont="1" applyFill="1" applyBorder="1" applyAlignment="1"/>
    <xf numFmtId="4" fontId="4" fillId="0" borderId="4" xfId="0" applyNumberFormat="1" applyFont="1" applyBorder="1" applyAlignment="1"/>
    <xf numFmtId="167" fontId="2" fillId="2" borderId="4" xfId="0" applyNumberFormat="1" applyFont="1" applyFill="1" applyBorder="1" applyAlignment="1"/>
    <xf numFmtId="168" fontId="2" fillId="2" borderId="4" xfId="0" applyNumberFormat="1" applyFont="1" applyFill="1" applyBorder="1" applyAlignment="1"/>
    <xf numFmtId="0" fontId="5" fillId="2" borderId="4" xfId="0" applyNumberFormat="1" applyFont="1" applyFill="1" applyBorder="1" applyAlignment="1"/>
    <xf numFmtId="4" fontId="0" fillId="2" borderId="4" xfId="0" applyNumberFormat="1" applyFont="1" applyFill="1" applyBorder="1" applyAlignment="1"/>
    <xf numFmtId="43" fontId="0" fillId="2" borderId="4" xfId="1" applyFont="1" applyFill="1" applyBorder="1" applyAlignment="1"/>
    <xf numFmtId="43" fontId="0" fillId="0" borderId="0" xfId="1" applyFont="1" applyAlignment="1"/>
    <xf numFmtId="0" fontId="7" fillId="2" borderId="4" xfId="0" applyNumberFormat="1" applyFont="1" applyFill="1" applyBorder="1" applyAlignment="1"/>
    <xf numFmtId="0" fontId="7" fillId="0" borderId="0" xfId="0" applyFont="1" applyAlignment="1"/>
    <xf numFmtId="0" fontId="0" fillId="2" borderId="4" xfId="0" applyNumberFormat="1" applyFill="1" applyBorder="1"/>
    <xf numFmtId="167" fontId="2" fillId="2" borderId="4" xfId="0" applyNumberFormat="1" applyFont="1" applyFill="1" applyBorder="1"/>
    <xf numFmtId="0" fontId="0" fillId="0" borderId="0" xfId="0" applyNumberFormat="1"/>
    <xf numFmtId="43" fontId="0" fillId="0" borderId="0" xfId="0" applyNumberFormat="1" applyFont="1" applyAlignment="1"/>
    <xf numFmtId="0" fontId="0" fillId="0" borderId="4" xfId="0" applyNumberFormat="1" applyFont="1" applyBorder="1" applyAlignment="1"/>
    <xf numFmtId="49" fontId="5" fillId="8" borderId="13" xfId="0" applyNumberFormat="1" applyFont="1" applyFill="1" applyBorder="1" applyAlignment="1">
      <alignment horizontal="center" vertical="top" wrapText="1"/>
    </xf>
    <xf numFmtId="43" fontId="5" fillId="8" borderId="13" xfId="1" applyFont="1" applyFill="1" applyBorder="1" applyAlignment="1">
      <alignment horizontal="center" vertical="top" wrapText="1"/>
    </xf>
    <xf numFmtId="166" fontId="34" fillId="0" borderId="13" xfId="0" applyNumberFormat="1" applyFont="1" applyFill="1" applyBorder="1" applyAlignment="1">
      <alignment horizontal="center" wrapText="1"/>
    </xf>
    <xf numFmtId="49" fontId="10" fillId="0" borderId="13" xfId="0" applyNumberFormat="1" applyFont="1" applyFill="1" applyBorder="1" applyAlignment="1">
      <alignment wrapText="1"/>
    </xf>
    <xf numFmtId="167" fontId="35" fillId="0" borderId="13" xfId="0" applyNumberFormat="1" applyFont="1" applyFill="1" applyBorder="1" applyAlignment="1">
      <alignment horizontal="right"/>
    </xf>
    <xf numFmtId="43" fontId="35" fillId="0" borderId="13" xfId="1" applyFont="1" applyFill="1" applyBorder="1" applyAlignment="1"/>
    <xf numFmtId="167" fontId="35" fillId="0" borderId="13" xfId="0" applyNumberFormat="1" applyFont="1" applyFill="1" applyBorder="1" applyAlignment="1"/>
    <xf numFmtId="4" fontId="35" fillId="0" borderId="13" xfId="0" applyNumberFormat="1" applyFont="1" applyFill="1" applyBorder="1" applyAlignment="1"/>
    <xf numFmtId="43" fontId="35" fillId="5" borderId="13" xfId="1" applyFont="1" applyFill="1" applyBorder="1" applyAlignment="1"/>
    <xf numFmtId="4" fontId="35" fillId="2" borderId="13" xfId="0" applyNumberFormat="1" applyFont="1" applyFill="1" applyBorder="1" applyAlignment="1"/>
    <xf numFmtId="167" fontId="35" fillId="7" borderId="13" xfId="0" applyNumberFormat="1" applyFont="1" applyFill="1" applyBorder="1" applyAlignment="1">
      <alignment horizontal="left"/>
    </xf>
    <xf numFmtId="10" fontId="35" fillId="6" borderId="13" xfId="0" applyNumberFormat="1" applyFont="1" applyFill="1" applyBorder="1" applyAlignment="1"/>
    <xf numFmtId="10" fontId="35" fillId="4" borderId="13" xfId="0" applyNumberFormat="1" applyFont="1" applyFill="1" applyBorder="1" applyAlignment="1"/>
    <xf numFmtId="10" fontId="36" fillId="8" borderId="13" xfId="0" applyNumberFormat="1" applyFont="1" applyFill="1" applyBorder="1" applyAlignment="1">
      <alignment horizontal="right" vertical="center"/>
    </xf>
    <xf numFmtId="10" fontId="35" fillId="3" borderId="13" xfId="0" applyNumberFormat="1" applyFont="1" applyFill="1" applyBorder="1" applyAlignment="1">
      <alignment horizontal="right" vertical="center"/>
    </xf>
    <xf numFmtId="167" fontId="35" fillId="3" borderId="13" xfId="0" applyNumberFormat="1" applyFont="1" applyFill="1" applyBorder="1" applyAlignment="1">
      <alignment horizontal="right" vertical="center"/>
    </xf>
    <xf numFmtId="166" fontId="35" fillId="0" borderId="13" xfId="0" applyNumberFormat="1" applyFont="1" applyFill="1" applyBorder="1" applyAlignment="1"/>
    <xf numFmtId="166" fontId="10" fillId="0" borderId="13" xfId="0" applyNumberFormat="1" applyFont="1" applyFill="1" applyBorder="1" applyAlignment="1">
      <alignment horizontal="center" wrapText="1"/>
    </xf>
    <xf numFmtId="49" fontId="10" fillId="0" borderId="13" xfId="0" applyNumberFormat="1" applyFont="1" applyFill="1" applyBorder="1" applyAlignment="1"/>
    <xf numFmtId="4" fontId="35" fillId="15" borderId="13" xfId="0" applyNumberFormat="1" applyFont="1" applyFill="1" applyBorder="1" applyAlignment="1"/>
    <xf numFmtId="166" fontId="35" fillId="15" borderId="13" xfId="0" applyNumberFormat="1" applyFont="1" applyFill="1" applyBorder="1" applyAlignment="1"/>
    <xf numFmtId="10" fontId="35" fillId="11" borderId="13" xfId="0" applyNumberFormat="1" applyFont="1" applyFill="1" applyBorder="1" applyAlignment="1"/>
    <xf numFmtId="10" fontId="35" fillId="9" borderId="13" xfId="0" applyNumberFormat="1" applyFont="1" applyFill="1" applyBorder="1" applyAlignment="1">
      <alignment horizontal="right" vertical="center"/>
    </xf>
    <xf numFmtId="167" fontId="35" fillId="9" borderId="13" xfId="0" applyNumberFormat="1" applyFont="1" applyFill="1" applyBorder="1" applyAlignment="1">
      <alignment horizontal="right" vertical="center"/>
    </xf>
    <xf numFmtId="3" fontId="35" fillId="0" borderId="13" xfId="0" applyNumberFormat="1" applyFont="1" applyBorder="1" applyAlignment="1"/>
    <xf numFmtId="4" fontId="35" fillId="0" borderId="13" xfId="0" applyNumberFormat="1" applyFont="1" applyBorder="1" applyAlignment="1"/>
    <xf numFmtId="166" fontId="35" fillId="2" borderId="13" xfId="0" applyNumberFormat="1" applyFont="1" applyFill="1" applyBorder="1" applyAlignment="1"/>
    <xf numFmtId="167" fontId="35" fillId="2" borderId="13" xfId="0" applyNumberFormat="1" applyFont="1" applyFill="1" applyBorder="1" applyAlignment="1"/>
    <xf numFmtId="49" fontId="10" fillId="0" borderId="13" xfId="0" applyNumberFormat="1" applyFont="1" applyFill="1" applyBorder="1" applyAlignment="1">
      <alignment vertical="center" wrapText="1"/>
    </xf>
    <xf numFmtId="49" fontId="10" fillId="15" borderId="13" xfId="0" applyNumberFormat="1" applyFont="1" applyFill="1" applyBorder="1" applyAlignment="1">
      <alignment vertical="center" wrapText="1"/>
    </xf>
    <xf numFmtId="49" fontId="10" fillId="15" borderId="13" xfId="0" applyNumberFormat="1" applyFont="1" applyFill="1" applyBorder="1" applyAlignment="1"/>
    <xf numFmtId="166" fontId="36" fillId="0" borderId="13" xfId="0" applyNumberFormat="1" applyFont="1" applyFill="1" applyBorder="1" applyAlignment="1">
      <alignment horizontal="center" wrapText="1"/>
    </xf>
    <xf numFmtId="49" fontId="36" fillId="0" borderId="13" xfId="0" applyNumberFormat="1" applyFont="1" applyFill="1" applyBorder="1" applyAlignment="1">
      <alignment vertical="center" wrapText="1"/>
    </xf>
    <xf numFmtId="167" fontId="37" fillId="2" borderId="13" xfId="0" applyNumberFormat="1" applyFont="1" applyFill="1" applyBorder="1" applyAlignment="1"/>
    <xf numFmtId="167" fontId="37" fillId="5" borderId="13" xfId="0" applyNumberFormat="1" applyFont="1" applyFill="1" applyBorder="1" applyAlignment="1"/>
    <xf numFmtId="167" fontId="35" fillId="7" borderId="13" xfId="0" applyNumberFormat="1" applyFont="1" applyFill="1" applyBorder="1" applyAlignment="1"/>
    <xf numFmtId="10" fontId="37" fillId="3" borderId="13" xfId="0" applyNumberFormat="1" applyFont="1" applyFill="1" applyBorder="1" applyAlignment="1">
      <alignment horizontal="right" vertical="center"/>
    </xf>
    <xf numFmtId="167" fontId="37" fillId="3" borderId="13" xfId="0" applyNumberFormat="1" applyFont="1" applyFill="1" applyBorder="1" applyAlignment="1">
      <alignment horizontal="right" vertical="center"/>
    </xf>
    <xf numFmtId="166" fontId="37" fillId="2" borderId="13" xfId="0" applyNumberFormat="1" applyFont="1" applyFill="1" applyBorder="1" applyAlignment="1"/>
    <xf numFmtId="10" fontId="38" fillId="14" borderId="13" xfId="0" applyNumberFormat="1" applyFont="1" applyFill="1" applyBorder="1" applyAlignment="1">
      <alignment horizontal="right" vertical="center"/>
    </xf>
    <xf numFmtId="167" fontId="38" fillId="14" borderId="13" xfId="0" applyNumberFormat="1" applyFont="1" applyFill="1" applyBorder="1" applyAlignment="1">
      <alignment horizontal="right" vertical="center"/>
    </xf>
    <xf numFmtId="166" fontId="39" fillId="2" borderId="13" xfId="0" applyNumberFormat="1" applyFont="1" applyFill="1" applyBorder="1" applyAlignment="1">
      <alignment horizontal="center"/>
    </xf>
    <xf numFmtId="167" fontId="40" fillId="2" borderId="13" xfId="0" applyNumberFormat="1" applyFont="1" applyFill="1" applyBorder="1" applyAlignment="1"/>
    <xf numFmtId="167" fontId="40" fillId="7" borderId="13" xfId="0" applyNumberFormat="1" applyFont="1" applyFill="1" applyBorder="1" applyAlignment="1">
      <alignment horizontal="left"/>
    </xf>
    <xf numFmtId="10" fontId="39" fillId="6" borderId="13" xfId="0" applyNumberFormat="1" applyFont="1" applyFill="1" applyBorder="1" applyAlignment="1"/>
    <xf numFmtId="10" fontId="40" fillId="4" borderId="13" xfId="0" applyNumberFormat="1" applyFont="1" applyFill="1" applyBorder="1" applyAlignment="1"/>
    <xf numFmtId="10" fontId="39" fillId="8" borderId="13" xfId="0" applyNumberFormat="1" applyFont="1" applyFill="1" applyBorder="1" applyAlignment="1">
      <alignment horizontal="right" vertical="center"/>
    </xf>
    <xf numFmtId="10" fontId="40" fillId="3" borderId="13" xfId="0" applyNumberFormat="1" applyFont="1" applyFill="1" applyBorder="1" applyAlignment="1">
      <alignment horizontal="right" vertical="center"/>
    </xf>
    <xf numFmtId="167" fontId="40" fillId="3" borderId="13" xfId="0" applyNumberFormat="1" applyFont="1" applyFill="1" applyBorder="1" applyAlignment="1">
      <alignment horizontal="right" vertical="center"/>
    </xf>
    <xf numFmtId="166" fontId="40" fillId="2" borderId="13" xfId="0" applyNumberFormat="1" applyFont="1" applyFill="1" applyBorder="1" applyAlignment="1"/>
    <xf numFmtId="0" fontId="35" fillId="0" borderId="13" xfId="0" applyNumberFormat="1" applyFont="1" applyBorder="1" applyAlignment="1"/>
    <xf numFmtId="43" fontId="35" fillId="0" borderId="13" xfId="1" applyFont="1" applyFill="1" applyBorder="1" applyAlignment="1">
      <alignment horizontal="right"/>
    </xf>
    <xf numFmtId="49" fontId="10" fillId="15" borderId="13" xfId="0" applyNumberFormat="1" applyFont="1" applyFill="1" applyBorder="1" applyAlignment="1">
      <alignment wrapText="1"/>
    </xf>
    <xf numFmtId="167" fontId="35" fillId="0" borderId="13" xfId="0" applyNumberFormat="1" applyFont="1" applyBorder="1" applyAlignment="1"/>
    <xf numFmtId="167" fontId="35" fillId="15" borderId="13" xfId="0" applyNumberFormat="1" applyFont="1" applyFill="1" applyBorder="1" applyAlignment="1"/>
    <xf numFmtId="49" fontId="10" fillId="0" borderId="13" xfId="0" applyNumberFormat="1" applyFont="1" applyFill="1" applyBorder="1" applyAlignment="1">
      <alignment vertical="top" wrapText="1"/>
    </xf>
    <xf numFmtId="0" fontId="40" fillId="2" borderId="13" xfId="0" applyNumberFormat="1" applyFont="1" applyFill="1" applyBorder="1" applyAlignment="1"/>
    <xf numFmtId="167" fontId="40" fillId="2" borderId="13" xfId="0" applyNumberFormat="1" applyFont="1" applyFill="1" applyBorder="1" applyAlignment="1">
      <alignment horizontal="left"/>
    </xf>
    <xf numFmtId="167" fontId="35" fillId="7" borderId="13" xfId="0" applyNumberFormat="1" applyFont="1" applyFill="1" applyBorder="1"/>
    <xf numFmtId="49" fontId="39" fillId="15" borderId="13" xfId="0" applyNumberFormat="1" applyFont="1" applyFill="1" applyBorder="1" applyAlignment="1">
      <alignment horizontal="center" wrapText="1"/>
    </xf>
    <xf numFmtId="167" fontId="40" fillId="7" borderId="13" xfId="0" applyNumberFormat="1" applyFont="1" applyFill="1" applyBorder="1" applyAlignment="1"/>
    <xf numFmtId="2" fontId="35" fillId="0" borderId="13" xfId="0" applyNumberFormat="1" applyFont="1" applyFill="1" applyBorder="1" applyAlignment="1"/>
    <xf numFmtId="0" fontId="35" fillId="2" borderId="13" xfId="0" applyNumberFormat="1" applyFont="1" applyFill="1" applyBorder="1" applyAlignment="1"/>
    <xf numFmtId="167" fontId="35" fillId="2" borderId="13" xfId="0" applyNumberFormat="1" applyFont="1" applyFill="1" applyBorder="1" applyAlignment="1">
      <alignment horizontal="left"/>
    </xf>
    <xf numFmtId="2" fontId="35" fillId="15" borderId="13" xfId="0" applyNumberFormat="1" applyFont="1" applyFill="1" applyBorder="1" applyAlignment="1"/>
    <xf numFmtId="10" fontId="35" fillId="6" borderId="13" xfId="0" applyNumberFormat="1" applyFont="1" applyFill="1" applyBorder="1" applyAlignment="1">
      <alignment horizontal="right"/>
    </xf>
    <xf numFmtId="165" fontId="35" fillId="2" borderId="13" xfId="0" applyNumberFormat="1" applyFont="1" applyFill="1" applyBorder="1" applyAlignment="1"/>
    <xf numFmtId="167" fontId="35" fillId="10" borderId="13" xfId="0" applyNumberFormat="1" applyFont="1" applyFill="1" applyBorder="1" applyAlignment="1"/>
    <xf numFmtId="1" fontId="35" fillId="0" borderId="13" xfId="0" applyNumberFormat="1" applyFont="1" applyFill="1" applyBorder="1" applyAlignment="1"/>
    <xf numFmtId="167" fontId="40" fillId="7" borderId="13" xfId="0" applyNumberFormat="1" applyFont="1" applyFill="1" applyBorder="1"/>
    <xf numFmtId="166" fontId="10" fillId="0" borderId="13" xfId="0" applyNumberFormat="1" applyFont="1" applyFill="1" applyBorder="1" applyAlignment="1">
      <alignment horizontal="right" wrapText="1"/>
    </xf>
    <xf numFmtId="10" fontId="35" fillId="8" borderId="13" xfId="0" applyNumberFormat="1" applyFont="1" applyFill="1" applyBorder="1" applyAlignment="1"/>
    <xf numFmtId="43" fontId="35" fillId="5" borderId="13" xfId="1" applyFont="1" applyFill="1" applyBorder="1" applyAlignment="1">
      <alignment horizontal="left"/>
    </xf>
    <xf numFmtId="167" fontId="35" fillId="2" borderId="13" xfId="0" applyNumberFormat="1" applyFont="1" applyFill="1" applyBorder="1" applyAlignment="1">
      <alignment horizontal="right"/>
    </xf>
    <xf numFmtId="43" fontId="35" fillId="2" borderId="13" xfId="1" applyFont="1" applyFill="1" applyBorder="1" applyAlignment="1"/>
    <xf numFmtId="43" fontId="35" fillId="10" borderId="13" xfId="1" applyFont="1" applyFill="1" applyBorder="1" applyAlignment="1"/>
    <xf numFmtId="49" fontId="36" fillId="0" borderId="13" xfId="0" applyNumberFormat="1" applyFont="1" applyFill="1" applyBorder="1" applyAlignment="1"/>
    <xf numFmtId="49" fontId="36" fillId="0" borderId="13" xfId="0" applyNumberFormat="1" applyFont="1" applyFill="1" applyBorder="1" applyAlignment="1">
      <alignment wrapText="1"/>
    </xf>
    <xf numFmtId="167" fontId="35" fillId="0" borderId="13" xfId="0" applyNumberFormat="1" applyFont="1" applyFill="1" applyBorder="1" applyAlignment="1">
      <alignment horizontal="left"/>
    </xf>
    <xf numFmtId="3" fontId="35" fillId="2" borderId="13" xfId="0" applyNumberFormat="1" applyFont="1" applyFill="1" applyBorder="1" applyAlignment="1"/>
    <xf numFmtId="167" fontId="38" fillId="0" borderId="13" xfId="0" applyNumberFormat="1" applyFont="1" applyBorder="1" applyAlignment="1"/>
    <xf numFmtId="167" fontId="38" fillId="12" borderId="13" xfId="0" applyNumberFormat="1" applyFont="1" applyFill="1" applyBorder="1" applyAlignment="1">
      <alignment horizontal="left"/>
    </xf>
    <xf numFmtId="166" fontId="39" fillId="0" borderId="13" xfId="0" applyNumberFormat="1" applyFont="1" applyFill="1" applyBorder="1" applyAlignment="1">
      <alignment horizontal="center" wrapText="1"/>
    </xf>
    <xf numFmtId="43" fontId="40" fillId="2" borderId="13" xfId="1" applyFont="1" applyFill="1" applyBorder="1" applyAlignment="1"/>
    <xf numFmtId="169" fontId="40" fillId="2" borderId="13" xfId="1" applyNumberFormat="1" applyFont="1" applyFill="1" applyBorder="1" applyAlignment="1"/>
    <xf numFmtId="49" fontId="35" fillId="2" borderId="13" xfId="0" applyNumberFormat="1" applyFont="1" applyFill="1" applyBorder="1" applyAlignment="1">
      <alignment horizontal="right"/>
    </xf>
    <xf numFmtId="4" fontId="35" fillId="2" borderId="13" xfId="0" applyNumberFormat="1" applyFont="1" applyFill="1" applyBorder="1" applyAlignment="1">
      <alignment horizontal="right"/>
    </xf>
    <xf numFmtId="43" fontId="35" fillId="5" borderId="13" xfId="1" applyFont="1" applyFill="1" applyBorder="1" applyAlignment="1">
      <alignment horizontal="right"/>
    </xf>
    <xf numFmtId="43" fontId="35" fillId="2" borderId="13" xfId="1" applyFont="1" applyFill="1" applyBorder="1" applyAlignment="1">
      <alignment horizontal="right"/>
    </xf>
    <xf numFmtId="166" fontId="35" fillId="2" borderId="13" xfId="0" applyNumberFormat="1" applyFont="1" applyFill="1" applyBorder="1" applyAlignment="1">
      <alignment horizontal="right"/>
    </xf>
    <xf numFmtId="3" fontId="35" fillId="0" borderId="0" xfId="0" applyNumberFormat="1" applyFont="1" applyAlignment="1">
      <alignment vertical="center"/>
    </xf>
    <xf numFmtId="2" fontId="35" fillId="2" borderId="13" xfId="0" applyNumberFormat="1" applyFont="1" applyFill="1" applyBorder="1" applyAlignment="1">
      <alignment horizontal="right"/>
    </xf>
    <xf numFmtId="166" fontId="39" fillId="2" borderId="13" xfId="0" applyNumberFormat="1" applyFont="1" applyFill="1" applyBorder="1" applyAlignment="1">
      <alignment horizontal="center" wrapText="1"/>
    </xf>
    <xf numFmtId="0" fontId="35" fillId="0" borderId="13" xfId="0" applyFont="1" applyBorder="1" applyAlignment="1"/>
    <xf numFmtId="0" fontId="10" fillId="0" borderId="13" xfId="0" applyFont="1" applyFill="1" applyBorder="1" applyAlignment="1"/>
    <xf numFmtId="176" fontId="35" fillId="2" borderId="13" xfId="0" applyNumberFormat="1" applyFont="1" applyFill="1" applyBorder="1" applyAlignment="1"/>
    <xf numFmtId="167" fontId="40" fillId="2" borderId="13" xfId="0" applyNumberFormat="1" applyFont="1" applyFill="1" applyBorder="1" applyAlignment="1">
      <alignment wrapText="1"/>
    </xf>
    <xf numFmtId="166" fontId="36" fillId="15" borderId="13" xfId="0" applyNumberFormat="1" applyFont="1" applyFill="1" applyBorder="1" applyAlignment="1">
      <alignment horizontal="center" wrapText="1"/>
    </xf>
    <xf numFmtId="167" fontId="35" fillId="2" borderId="13" xfId="0" applyNumberFormat="1" applyFont="1" applyFill="1" applyBorder="1" applyAlignment="1">
      <alignment horizontal="left" wrapText="1"/>
    </xf>
    <xf numFmtId="166" fontId="35" fillId="2" borderId="13" xfId="0" applyNumberFormat="1" applyFont="1" applyFill="1" applyBorder="1" applyAlignment="1">
      <alignment horizontal="left"/>
    </xf>
    <xf numFmtId="166" fontId="35" fillId="0" borderId="13" xfId="0" applyNumberFormat="1" applyFont="1" applyFill="1" applyBorder="1" applyAlignment="1">
      <alignment horizontal="center"/>
    </xf>
    <xf numFmtId="49" fontId="40" fillId="0" borderId="13" xfId="0" applyNumberFormat="1" applyFont="1" applyFill="1" applyBorder="1" applyAlignment="1">
      <alignment horizontal="right"/>
    </xf>
    <xf numFmtId="166" fontId="35" fillId="47" borderId="13" xfId="0" applyNumberFormat="1" applyFont="1" applyFill="1" applyBorder="1" applyAlignment="1">
      <alignment horizontal="center" wrapText="1"/>
    </xf>
    <xf numFmtId="49" fontId="40" fillId="47" borderId="13" xfId="0" applyNumberFormat="1" applyFont="1" applyFill="1" applyBorder="1" applyAlignment="1">
      <alignment horizontal="right"/>
    </xf>
    <xf numFmtId="167" fontId="40" fillId="47" borderId="13" xfId="0" applyNumberFormat="1" applyFont="1" applyFill="1" applyBorder="1" applyAlignment="1"/>
    <xf numFmtId="167" fontId="40" fillId="47" borderId="13" xfId="0" applyNumberFormat="1" applyFont="1" applyFill="1" applyBorder="1"/>
    <xf numFmtId="10" fontId="40" fillId="47" borderId="13" xfId="0" applyNumberFormat="1" applyFont="1" applyFill="1" applyBorder="1" applyAlignment="1"/>
    <xf numFmtId="10" fontId="39" fillId="47" borderId="13" xfId="0" applyNumberFormat="1" applyFont="1" applyFill="1" applyBorder="1" applyAlignment="1">
      <alignment horizontal="right" vertical="center"/>
    </xf>
    <xf numFmtId="10" fontId="40" fillId="47" borderId="13" xfId="0" applyNumberFormat="1" applyFont="1" applyFill="1" applyBorder="1" applyAlignment="1">
      <alignment horizontal="right" vertical="center"/>
    </xf>
    <xf numFmtId="167" fontId="40" fillId="47" borderId="13" xfId="0" applyNumberFormat="1" applyFont="1" applyFill="1" applyBorder="1" applyAlignment="1">
      <alignment horizontal="right" vertical="center"/>
    </xf>
    <xf numFmtId="166" fontId="40" fillId="47" borderId="13" xfId="0" applyNumberFormat="1" applyFont="1" applyFill="1" applyBorder="1" applyAlignment="1"/>
    <xf numFmtId="167" fontId="40" fillId="10" borderId="13" xfId="0" applyNumberFormat="1" applyFont="1" applyFill="1" applyBorder="1" applyAlignment="1"/>
    <xf numFmtId="43" fontId="40" fillId="5" borderId="13" xfId="1" applyFont="1" applyFill="1" applyBorder="1" applyAlignment="1">
      <alignment horizontal="left"/>
    </xf>
    <xf numFmtId="43" fontId="40" fillId="5" borderId="13" xfId="1" applyFont="1" applyFill="1" applyBorder="1" applyAlignment="1">
      <alignment horizontal="right"/>
    </xf>
    <xf numFmtId="49" fontId="41" fillId="0" borderId="13" xfId="0" applyNumberFormat="1" applyFont="1" applyFill="1" applyBorder="1" applyAlignment="1">
      <alignment horizontal="right"/>
    </xf>
    <xf numFmtId="49" fontId="41" fillId="2" borderId="13" xfId="0" applyNumberFormat="1" applyFont="1" applyFill="1" applyBorder="1" applyAlignment="1">
      <alignment horizontal="right"/>
    </xf>
    <xf numFmtId="10" fontId="10" fillId="8" borderId="13" xfId="0" applyNumberFormat="1" applyFont="1" applyFill="1" applyBorder="1" applyAlignment="1">
      <alignment horizontal="right" vertical="center"/>
    </xf>
    <xf numFmtId="10" fontId="10" fillId="13" borderId="13" xfId="0" applyNumberFormat="1" applyFont="1" applyFill="1" applyBorder="1" applyAlignment="1">
      <alignment horizontal="right" vertical="center"/>
    </xf>
    <xf numFmtId="10" fontId="41" fillId="8" borderId="13" xfId="0" applyNumberFormat="1" applyFont="1" applyFill="1" applyBorder="1" applyAlignment="1">
      <alignment horizontal="right" vertical="center"/>
    </xf>
    <xf numFmtId="9" fontId="10" fillId="8" borderId="13" xfId="2" applyFont="1" applyFill="1" applyBorder="1" applyAlignment="1">
      <alignment horizontal="right" vertical="center"/>
    </xf>
    <xf numFmtId="167" fontId="35" fillId="0" borderId="13" xfId="0" applyNumberFormat="1" applyFont="1" applyBorder="1" applyAlignment="1">
      <alignment vertical="center"/>
    </xf>
    <xf numFmtId="167" fontId="35" fillId="0" borderId="0" xfId="0" applyNumberFormat="1" applyFont="1" applyFill="1" applyBorder="1" applyAlignment="1"/>
    <xf numFmtId="4" fontId="35" fillId="0" borderId="13" xfId="0" applyNumberFormat="1" applyFont="1" applyBorder="1" applyAlignment="1">
      <alignment vertical="center"/>
    </xf>
    <xf numFmtId="3" fontId="35" fillId="0" borderId="13" xfId="0" applyNumberFormat="1" applyFont="1" applyBorder="1" applyAlignment="1">
      <alignment vertical="center"/>
    </xf>
    <xf numFmtId="167" fontId="35" fillId="2" borderId="0" xfId="0" applyNumberFormat="1" applyFont="1" applyFill="1" applyBorder="1" applyAlignment="1"/>
    <xf numFmtId="0" fontId="35" fillId="0" borderId="13" xfId="0" applyFont="1" applyBorder="1" applyAlignment="1">
      <alignment vertical="center"/>
    </xf>
    <xf numFmtId="49" fontId="44" fillId="48" borderId="13" xfId="0" applyNumberFormat="1" applyFont="1" applyFill="1" applyBorder="1" applyAlignment="1">
      <alignment horizontal="center"/>
    </xf>
    <xf numFmtId="0" fontId="44" fillId="48" borderId="13" xfId="0" applyNumberFormat="1" applyFont="1" applyFill="1" applyBorder="1" applyAlignment="1">
      <alignment horizontal="center"/>
    </xf>
    <xf numFmtId="49" fontId="5" fillId="9" borderId="23" xfId="0" applyNumberFormat="1" applyFont="1" applyFill="1" applyBorder="1" applyAlignment="1">
      <alignment horizontal="center" vertical="top" wrapText="1"/>
    </xf>
    <xf numFmtId="49" fontId="5" fillId="9" borderId="24" xfId="0" applyNumberFormat="1" applyFont="1" applyFill="1" applyBorder="1" applyAlignment="1">
      <alignment horizontal="center" vertical="top" wrapText="1"/>
    </xf>
    <xf numFmtId="49" fontId="5" fillId="9" borderId="25" xfId="0" applyNumberFormat="1" applyFont="1" applyFill="1" applyBorder="1" applyAlignment="1">
      <alignment horizontal="center" vertical="top" wrapText="1"/>
    </xf>
    <xf numFmtId="49" fontId="42" fillId="9" borderId="23" xfId="0" applyNumberFormat="1" applyFont="1" applyFill="1" applyBorder="1" applyAlignment="1">
      <alignment horizontal="center" vertical="top" wrapText="1"/>
    </xf>
    <xf numFmtId="49" fontId="42" fillId="9" borderId="24" xfId="0" applyNumberFormat="1" applyFont="1" applyFill="1" applyBorder="1" applyAlignment="1">
      <alignment horizontal="center" vertical="top" wrapText="1"/>
    </xf>
    <xf numFmtId="49" fontId="42" fillId="9" borderId="25" xfId="0" applyNumberFormat="1" applyFont="1" applyFill="1" applyBorder="1" applyAlignment="1">
      <alignment horizontal="center" vertical="top" wrapText="1"/>
    </xf>
    <xf numFmtId="0" fontId="43" fillId="8" borderId="23" xfId="0" applyFont="1" applyFill="1" applyBorder="1" applyAlignment="1">
      <alignment horizontal="center" wrapText="1"/>
    </xf>
    <xf numFmtId="0" fontId="43" fillId="8" borderId="24" xfId="0" applyFont="1" applyFill="1" applyBorder="1" applyAlignment="1">
      <alignment horizontal="center" wrapText="1"/>
    </xf>
    <xf numFmtId="0" fontId="43" fillId="8" borderId="25" xfId="0" applyFont="1" applyFill="1" applyBorder="1" applyAlignment="1">
      <alignment horizontal="center" wrapText="1"/>
    </xf>
    <xf numFmtId="167" fontId="43" fillId="8" borderId="23" xfId="0" applyNumberFormat="1" applyFont="1" applyFill="1" applyBorder="1" applyAlignment="1">
      <alignment horizontal="center" wrapText="1"/>
    </xf>
    <xf numFmtId="167" fontId="43" fillId="8" borderId="24" xfId="0" applyNumberFormat="1" applyFont="1" applyFill="1" applyBorder="1" applyAlignment="1">
      <alignment horizontal="center" wrapText="1"/>
    </xf>
    <xf numFmtId="167" fontId="43" fillId="8" borderId="25" xfId="0" applyNumberFormat="1" applyFont="1" applyFill="1" applyBorder="1" applyAlignment="1">
      <alignment horizontal="center" wrapText="1"/>
    </xf>
  </cellXfs>
  <cellStyles count="497">
    <cellStyle name="20% - Accent1 2" xfId="112"/>
    <cellStyle name="20% - Accent1 2 2" xfId="383"/>
    <cellStyle name="20% - Accent1 2 3" xfId="227"/>
    <cellStyle name="20% - Accent1 3" xfId="142"/>
    <cellStyle name="20% - Accent1 3 2" xfId="415"/>
    <cellStyle name="20% - Accent1 3 3" xfId="259"/>
    <cellStyle name="20% - Accent1 4" xfId="303"/>
    <cellStyle name="20% - Accent1 4 2" xfId="459"/>
    <cellStyle name="20% - Accent1 5" xfId="348"/>
    <cellStyle name="20% - Accent1 6" xfId="192"/>
    <cellStyle name="20% - Accent1 7" xfId="13"/>
    <cellStyle name="20% - Accent2 2" xfId="116"/>
    <cellStyle name="20% - Accent2 2 2" xfId="386"/>
    <cellStyle name="20% - Accent2 2 3" xfId="230"/>
    <cellStyle name="20% - Accent2 3" xfId="145"/>
    <cellStyle name="20% - Accent2 3 2" xfId="418"/>
    <cellStyle name="20% - Accent2 3 3" xfId="262"/>
    <cellStyle name="20% - Accent2 4" xfId="306"/>
    <cellStyle name="20% - Accent2 4 2" xfId="462"/>
    <cellStyle name="20% - Accent2 5" xfId="351"/>
    <cellStyle name="20% - Accent2 6" xfId="195"/>
    <cellStyle name="20% - Accent2 7" xfId="14"/>
    <cellStyle name="20% - Accent3 2" xfId="120"/>
    <cellStyle name="20% - Accent3 2 2" xfId="389"/>
    <cellStyle name="20% - Accent3 2 3" xfId="233"/>
    <cellStyle name="20% - Accent3 3" xfId="148"/>
    <cellStyle name="20% - Accent3 3 2" xfId="422"/>
    <cellStyle name="20% - Accent3 3 3" xfId="266"/>
    <cellStyle name="20% - Accent3 4" xfId="309"/>
    <cellStyle name="20% - Accent3 4 2" xfId="465"/>
    <cellStyle name="20% - Accent3 5" xfId="354"/>
    <cellStyle name="20% - Accent3 6" xfId="198"/>
    <cellStyle name="20% - Accent3 7" xfId="15"/>
    <cellStyle name="20% - Accent4 2" xfId="123"/>
    <cellStyle name="20% - Accent4 2 2" xfId="392"/>
    <cellStyle name="20% - Accent4 2 3" xfId="236"/>
    <cellStyle name="20% - Accent4 3" xfId="151"/>
    <cellStyle name="20% - Accent4 3 2" xfId="426"/>
    <cellStyle name="20% - Accent4 3 3" xfId="270"/>
    <cellStyle name="20% - Accent4 4" xfId="313"/>
    <cellStyle name="20% - Accent4 4 2" xfId="469"/>
    <cellStyle name="20% - Accent4 5" xfId="357"/>
    <cellStyle name="20% - Accent4 6" xfId="201"/>
    <cellStyle name="20% - Accent4 7" xfId="16"/>
    <cellStyle name="20% - Accent5 2" xfId="127"/>
    <cellStyle name="20% - Accent5 2 2" xfId="395"/>
    <cellStyle name="20% - Accent5 2 3" xfId="239"/>
    <cellStyle name="20% - Accent5 3" xfId="154"/>
    <cellStyle name="20% - Accent5 3 2" xfId="429"/>
    <cellStyle name="20% - Accent5 3 3" xfId="273"/>
    <cellStyle name="20% - Accent5 4" xfId="317"/>
    <cellStyle name="20% - Accent5 4 2" xfId="473"/>
    <cellStyle name="20% - Accent5 5" xfId="360"/>
    <cellStyle name="20% - Accent5 6" xfId="204"/>
    <cellStyle name="20% - Accent5 7" xfId="17"/>
    <cellStyle name="20% - Accent6 2" xfId="131"/>
    <cellStyle name="20% - Accent6 2 2" xfId="398"/>
    <cellStyle name="20% - Accent6 2 3" xfId="242"/>
    <cellStyle name="20% - Accent6 3" xfId="157"/>
    <cellStyle name="20% - Accent6 3 2" xfId="433"/>
    <cellStyle name="20% - Accent6 3 3" xfId="277"/>
    <cellStyle name="20% - Accent6 4" xfId="320"/>
    <cellStyle name="20% - Accent6 4 2" xfId="476"/>
    <cellStyle name="20% - Accent6 5" xfId="363"/>
    <cellStyle name="20% - Accent6 6" xfId="207"/>
    <cellStyle name="20% - Accent6 7" xfId="18"/>
    <cellStyle name="40% - Accent1 2" xfId="113"/>
    <cellStyle name="40% - Accent1 2 2" xfId="384"/>
    <cellStyle name="40% - Accent1 2 3" xfId="228"/>
    <cellStyle name="40% - Accent1 3" xfId="143"/>
    <cellStyle name="40% - Accent1 3 2" xfId="416"/>
    <cellStyle name="40% - Accent1 3 3" xfId="260"/>
    <cellStyle name="40% - Accent1 4" xfId="304"/>
    <cellStyle name="40% - Accent1 4 2" xfId="460"/>
    <cellStyle name="40% - Accent1 5" xfId="349"/>
    <cellStyle name="40% - Accent1 6" xfId="193"/>
    <cellStyle name="40% - Accent1 7" xfId="19"/>
    <cellStyle name="40% - Accent2 2" xfId="117"/>
    <cellStyle name="40% - Accent2 2 2" xfId="387"/>
    <cellStyle name="40% - Accent2 2 3" xfId="231"/>
    <cellStyle name="40% - Accent2 3" xfId="146"/>
    <cellStyle name="40% - Accent2 3 2" xfId="419"/>
    <cellStyle name="40% - Accent2 3 3" xfId="263"/>
    <cellStyle name="40% - Accent2 4" xfId="307"/>
    <cellStyle name="40% - Accent2 4 2" xfId="463"/>
    <cellStyle name="40% - Accent2 5" xfId="352"/>
    <cellStyle name="40% - Accent2 6" xfId="196"/>
    <cellStyle name="40% - Accent2 7" xfId="20"/>
    <cellStyle name="40% - Accent3 2" xfId="121"/>
    <cellStyle name="40% - Accent3 2 2" xfId="390"/>
    <cellStyle name="40% - Accent3 2 3" xfId="234"/>
    <cellStyle name="40% - Accent3 3" xfId="149"/>
    <cellStyle name="40% - Accent3 3 2" xfId="423"/>
    <cellStyle name="40% - Accent3 3 3" xfId="267"/>
    <cellStyle name="40% - Accent3 4" xfId="310"/>
    <cellStyle name="40% - Accent3 4 2" xfId="466"/>
    <cellStyle name="40% - Accent3 5" xfId="355"/>
    <cellStyle name="40% - Accent3 6" xfId="199"/>
    <cellStyle name="40% - Accent3 7" xfId="21"/>
    <cellStyle name="40% - Accent4 2" xfId="124"/>
    <cellStyle name="40% - Accent4 2 2" xfId="393"/>
    <cellStyle name="40% - Accent4 2 3" xfId="237"/>
    <cellStyle name="40% - Accent4 3" xfId="152"/>
    <cellStyle name="40% - Accent4 3 2" xfId="427"/>
    <cellStyle name="40% - Accent4 3 3" xfId="271"/>
    <cellStyle name="40% - Accent4 4" xfId="314"/>
    <cellStyle name="40% - Accent4 4 2" xfId="470"/>
    <cellStyle name="40% - Accent4 5" xfId="358"/>
    <cellStyle name="40% - Accent4 6" xfId="202"/>
    <cellStyle name="40% - Accent4 7" xfId="22"/>
    <cellStyle name="40% - Accent5 2" xfId="128"/>
    <cellStyle name="40% - Accent5 2 2" xfId="396"/>
    <cellStyle name="40% - Accent5 2 3" xfId="240"/>
    <cellStyle name="40% - Accent5 3" xfId="155"/>
    <cellStyle name="40% - Accent5 3 2" xfId="430"/>
    <cellStyle name="40% - Accent5 3 3" xfId="274"/>
    <cellStyle name="40% - Accent5 4" xfId="318"/>
    <cellStyle name="40% - Accent5 4 2" xfId="474"/>
    <cellStyle name="40% - Accent5 5" xfId="361"/>
    <cellStyle name="40% - Accent5 6" xfId="205"/>
    <cellStyle name="40% - Accent5 7" xfId="23"/>
    <cellStyle name="40% - Accent6 2" xfId="132"/>
    <cellStyle name="40% - Accent6 2 2" xfId="399"/>
    <cellStyle name="40% - Accent6 2 3" xfId="243"/>
    <cellStyle name="40% - Accent6 3" xfId="158"/>
    <cellStyle name="40% - Accent6 3 2" xfId="434"/>
    <cellStyle name="40% - Accent6 3 3" xfId="278"/>
    <cellStyle name="40% - Accent6 4" xfId="321"/>
    <cellStyle name="40% - Accent6 4 2" xfId="477"/>
    <cellStyle name="40% - Accent6 5" xfId="364"/>
    <cellStyle name="40% - Accent6 6" xfId="208"/>
    <cellStyle name="40% - Accent6 7" xfId="24"/>
    <cellStyle name="60% - Accent1 2" xfId="114"/>
    <cellStyle name="60% - Accent1 2 2" xfId="385"/>
    <cellStyle name="60% - Accent1 2 3" xfId="229"/>
    <cellStyle name="60% - Accent1 3" xfId="144"/>
    <cellStyle name="60% - Accent1 3 2" xfId="417"/>
    <cellStyle name="60% - Accent1 3 3" xfId="261"/>
    <cellStyle name="60% - Accent1 4" xfId="305"/>
    <cellStyle name="60% - Accent1 4 2" xfId="461"/>
    <cellStyle name="60% - Accent1 5" xfId="350"/>
    <cellStyle name="60% - Accent1 6" xfId="194"/>
    <cellStyle name="60% - Accent1 7" xfId="25"/>
    <cellStyle name="60% - Accent2 2" xfId="118"/>
    <cellStyle name="60% - Accent2 2 2" xfId="388"/>
    <cellStyle name="60% - Accent2 2 3" xfId="232"/>
    <cellStyle name="60% - Accent2 3" xfId="147"/>
    <cellStyle name="60% - Accent2 3 2" xfId="420"/>
    <cellStyle name="60% - Accent2 3 3" xfId="264"/>
    <cellStyle name="60% - Accent2 4" xfId="308"/>
    <cellStyle name="60% - Accent2 4 2" xfId="464"/>
    <cellStyle name="60% - Accent2 5" xfId="353"/>
    <cellStyle name="60% - Accent2 6" xfId="197"/>
    <cellStyle name="60% - Accent2 7" xfId="26"/>
    <cellStyle name="60% - Accent3 2" xfId="122"/>
    <cellStyle name="60% - Accent3 2 2" xfId="391"/>
    <cellStyle name="60% - Accent3 2 3" xfId="235"/>
    <cellStyle name="60% - Accent3 3" xfId="150"/>
    <cellStyle name="60% - Accent3 3 2" xfId="424"/>
    <cellStyle name="60% - Accent3 3 3" xfId="268"/>
    <cellStyle name="60% - Accent3 4" xfId="311"/>
    <cellStyle name="60% - Accent3 4 2" xfId="467"/>
    <cellStyle name="60% - Accent3 5" xfId="356"/>
    <cellStyle name="60% - Accent3 6" xfId="200"/>
    <cellStyle name="60% - Accent3 7" xfId="27"/>
    <cellStyle name="60% - Accent4 2" xfId="125"/>
    <cellStyle name="60% - Accent4 2 2" xfId="394"/>
    <cellStyle name="60% - Accent4 2 3" xfId="238"/>
    <cellStyle name="60% - Accent4 3" xfId="153"/>
    <cellStyle name="60% - Accent4 3 2" xfId="428"/>
    <cellStyle name="60% - Accent4 3 3" xfId="272"/>
    <cellStyle name="60% - Accent4 4" xfId="315"/>
    <cellStyle name="60% - Accent4 4 2" xfId="471"/>
    <cellStyle name="60% - Accent4 5" xfId="359"/>
    <cellStyle name="60% - Accent4 6" xfId="203"/>
    <cellStyle name="60% - Accent4 7" xfId="28"/>
    <cellStyle name="60% - Accent5 2" xfId="129"/>
    <cellStyle name="60% - Accent5 2 2" xfId="397"/>
    <cellStyle name="60% - Accent5 2 3" xfId="241"/>
    <cellStyle name="60% - Accent5 3" xfId="156"/>
    <cellStyle name="60% - Accent5 3 2" xfId="431"/>
    <cellStyle name="60% - Accent5 3 3" xfId="275"/>
    <cellStyle name="60% - Accent5 4" xfId="319"/>
    <cellStyle name="60% - Accent5 4 2" xfId="475"/>
    <cellStyle name="60% - Accent5 5" xfId="362"/>
    <cellStyle name="60% - Accent5 6" xfId="206"/>
    <cellStyle name="60% - Accent5 7" xfId="29"/>
    <cellStyle name="60% - Accent6 2" xfId="133"/>
    <cellStyle name="60% - Accent6 2 2" xfId="400"/>
    <cellStyle name="60% - Accent6 2 3" xfId="244"/>
    <cellStyle name="60% - Accent6 3" xfId="159"/>
    <cellStyle name="60% - Accent6 3 2" xfId="435"/>
    <cellStyle name="60% - Accent6 3 3" xfId="279"/>
    <cellStyle name="60% - Accent6 4" xfId="322"/>
    <cellStyle name="60% - Accent6 4 2" xfId="478"/>
    <cellStyle name="60% - Accent6 5" xfId="365"/>
    <cellStyle name="60% - Accent6 6" xfId="209"/>
    <cellStyle name="60% - Accent6 7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" xfId="8" builtinId="22" customBuiltin="1"/>
    <cellStyle name="Check Cell" xfId="10" builtinId="23" customBuiltin="1"/>
    <cellStyle name="Comma" xfId="1" builtinId="3"/>
    <cellStyle name="Comma 10" xfId="39"/>
    <cellStyle name="Comma 11" xfId="40"/>
    <cellStyle name="Comma 12" xfId="41"/>
    <cellStyle name="Comma 12 2" xfId="367"/>
    <cellStyle name="Comma 12 3" xfId="211"/>
    <cellStyle name="Comma 13" xfId="105"/>
    <cellStyle name="Comma 13 2" xfId="380"/>
    <cellStyle name="Comma 13 3" xfId="224"/>
    <cellStyle name="Comma 14" xfId="42"/>
    <cellStyle name="Comma 15" xfId="138"/>
    <cellStyle name="Comma 15 2" xfId="402"/>
    <cellStyle name="Comma 15 3" xfId="246"/>
    <cellStyle name="Comma 16" xfId="140"/>
    <cellStyle name="Comma 16 2" xfId="449"/>
    <cellStyle name="Comma 16 3" xfId="293"/>
    <cellStyle name="Comma 17" xfId="494"/>
    <cellStyle name="Comma 18" xfId="38"/>
    <cellStyle name="Comma 2" xfId="43"/>
    <cellStyle name="Comma 2 10" xfId="44"/>
    <cellStyle name="Comma 2 10 2" xfId="161"/>
    <cellStyle name="Comma 2 11" xfId="45"/>
    <cellStyle name="Comma 2 11 2" xfId="162"/>
    <cellStyle name="Comma 2 12" xfId="493"/>
    <cellStyle name="Comma 2 2" xfId="46"/>
    <cellStyle name="Comma 2 2 2" xfId="47"/>
    <cellStyle name="Comma 2 2 2 2" xfId="48"/>
    <cellStyle name="Comma 2 2 2 2 2" xfId="165"/>
    <cellStyle name="Comma 2 2 2 2 3" xfId="164"/>
    <cellStyle name="Comma 2 2 2 3" xfId="163"/>
    <cellStyle name="Comma 2 3" xfId="49"/>
    <cellStyle name="Comma 2 3 2" xfId="166"/>
    <cellStyle name="Comma 2 4" xfId="50"/>
    <cellStyle name="Comma 2 4 2" xfId="167"/>
    <cellStyle name="Comma 2 5" xfId="51"/>
    <cellStyle name="Comma 2 5 2" xfId="168"/>
    <cellStyle name="Comma 2 6" xfId="52"/>
    <cellStyle name="Comma 2 6 2" xfId="169"/>
    <cellStyle name="Comma 2 7" xfId="53"/>
    <cellStyle name="Comma 2 7 2" xfId="170"/>
    <cellStyle name="Comma 2 8" xfId="54"/>
    <cellStyle name="Comma 2 8 2" xfId="171"/>
    <cellStyle name="Comma 2 9" xfId="55"/>
    <cellStyle name="Comma 2 9 2" xfId="172"/>
    <cellStyle name="Comma 3" xfId="56"/>
    <cellStyle name="Comma 3 2" xfId="335"/>
    <cellStyle name="Comma 3 3" xfId="173"/>
    <cellStyle name="Comma 3 4" xfId="491"/>
    <cellStyle name="Comma 3 4 3" xfId="495"/>
    <cellStyle name="Comma 3 4 4" xfId="496"/>
    <cellStyle name="Comma 4" xfId="57"/>
    <cellStyle name="Comma 4 2" xfId="58"/>
    <cellStyle name="Comma 4 3" xfId="174"/>
    <cellStyle name="Comma 5" xfId="59"/>
    <cellStyle name="Comma 6" xfId="60"/>
    <cellStyle name="Comma 7" xfId="61"/>
    <cellStyle name="Comma 8" xfId="62"/>
    <cellStyle name="Comma 8 2" xfId="63"/>
    <cellStyle name="Comma 9" xfId="64"/>
    <cellStyle name="Explanatory Text 2" xfId="65"/>
    <cellStyle name="Good 2" xfId="66"/>
    <cellStyle name="Heading 1" xfId="3" builtinId="16" customBuiltin="1"/>
    <cellStyle name="Heading 2" xfId="4" builtinId="17" customBuiltin="1"/>
    <cellStyle name="Heading 3" xfId="5" builtinId="18" customBuiltin="1"/>
    <cellStyle name="Heading 4 2" xfId="67"/>
    <cellStyle name="Input" xfId="6" builtinId="20" customBuiltin="1"/>
    <cellStyle name="Linked Cell" xfId="9" builtinId="24" customBuiltin="1"/>
    <cellStyle name="Neutral 2" xfId="107"/>
    <cellStyle name="Neutral 3" xfId="68"/>
    <cellStyle name="Normal" xfId="0" builtinId="0"/>
    <cellStyle name="Normal - Style1" xfId="69"/>
    <cellStyle name="Normal 10" xfId="70"/>
    <cellStyle name="Normal 10 2" xfId="372"/>
    <cellStyle name="Normal 10 3" xfId="216"/>
    <cellStyle name="Normal 11" xfId="71"/>
    <cellStyle name="Normal 11 2" xfId="376"/>
    <cellStyle name="Normal 11 3" xfId="220"/>
    <cellStyle name="Normal 12" xfId="72"/>
    <cellStyle name="Normal 12 2" xfId="73"/>
    <cellStyle name="Normal 12 2 2" xfId="336"/>
    <cellStyle name="Normal 12 2 3" xfId="175"/>
    <cellStyle name="Normal 12 3" xfId="373"/>
    <cellStyle name="Normal 12 4" xfId="217"/>
    <cellStyle name="Normal 13" xfId="74"/>
    <cellStyle name="Normal 13 2" xfId="378"/>
    <cellStyle name="Normal 13 3" xfId="222"/>
    <cellStyle name="Normal 14" xfId="75"/>
    <cellStyle name="Normal 14 2" xfId="176"/>
    <cellStyle name="Normal 15" xfId="104"/>
    <cellStyle name="Normal 15 2" xfId="374"/>
    <cellStyle name="Normal 15 3" xfId="218"/>
    <cellStyle name="Normal 16" xfId="109"/>
    <cellStyle name="Normal 16 2" xfId="377"/>
    <cellStyle name="Normal 16 3" xfId="221"/>
    <cellStyle name="Normal 17" xfId="126"/>
    <cellStyle name="Normal 17 2" xfId="375"/>
    <cellStyle name="Normal 17 3" xfId="219"/>
    <cellStyle name="Normal 18" xfId="130"/>
    <cellStyle name="Normal 18 2" xfId="379"/>
    <cellStyle name="Normal 18 3" xfId="223"/>
    <cellStyle name="Normal 19" xfId="111"/>
    <cellStyle name="Normal 19 2" xfId="381"/>
    <cellStyle name="Normal 19 3" xfId="225"/>
    <cellStyle name="Normal 2" xfId="76"/>
    <cellStyle name="Normal 2 2" xfId="77"/>
    <cellStyle name="Normal 2 2 2" xfId="177"/>
    <cellStyle name="Normal 2 3" xfId="78"/>
    <cellStyle name="Normal 2 4" xfId="79"/>
    <cellStyle name="Normal 2 5" xfId="80"/>
    <cellStyle name="Normal 2 6" xfId="492"/>
    <cellStyle name="Normal 20" xfId="115"/>
    <cellStyle name="Normal 20 2" xfId="401"/>
    <cellStyle name="Normal 20 3" xfId="245"/>
    <cellStyle name="Normal 21" xfId="136"/>
    <cellStyle name="Normal 21 2" xfId="411"/>
    <cellStyle name="Normal 21 3" xfId="255"/>
    <cellStyle name="Normal 22" xfId="135"/>
    <cellStyle name="Normal 22 2" xfId="407"/>
    <cellStyle name="Normal 22 3" xfId="251"/>
    <cellStyle name="Normal 23" xfId="134"/>
    <cellStyle name="Normal 23 2" xfId="445"/>
    <cellStyle name="Normal 23 3" xfId="289"/>
    <cellStyle name="Normal 24" xfId="108"/>
    <cellStyle name="Normal 24 2" xfId="405"/>
    <cellStyle name="Normal 24 3" xfId="249"/>
    <cellStyle name="Normal 25" xfId="119"/>
    <cellStyle name="Normal 25 2" xfId="413"/>
    <cellStyle name="Normal 25 3" xfId="257"/>
    <cellStyle name="Normal 26" xfId="137"/>
    <cellStyle name="Normal 26 2" xfId="403"/>
    <cellStyle name="Normal 26 3" xfId="247"/>
    <cellStyle name="Normal 27" xfId="139"/>
    <cellStyle name="Normal 27 2" xfId="414"/>
    <cellStyle name="Normal 27 3" xfId="258"/>
    <cellStyle name="Normal 28" xfId="291"/>
    <cellStyle name="Normal 28 2" xfId="447"/>
    <cellStyle name="Normal 29" xfId="281"/>
    <cellStyle name="Normal 29 2" xfId="437"/>
    <cellStyle name="Normal 3" xfId="81"/>
    <cellStyle name="Normal 3 2" xfId="82"/>
    <cellStyle name="Normal 3 2 2" xfId="338"/>
    <cellStyle name="Normal 3 2 3" xfId="179"/>
    <cellStyle name="Normal 3 3" xfId="337"/>
    <cellStyle name="Normal 3 4" xfId="178"/>
    <cellStyle name="Normal 30" xfId="290"/>
    <cellStyle name="Normal 30 2" xfId="446"/>
    <cellStyle name="Normal 31" xfId="285"/>
    <cellStyle name="Normal 31 2" xfId="441"/>
    <cellStyle name="Normal 32" xfId="284"/>
    <cellStyle name="Normal 32 2" xfId="440"/>
    <cellStyle name="Normal 33" xfId="269"/>
    <cellStyle name="Normal 33 2" xfId="425"/>
    <cellStyle name="Normal 34" xfId="250"/>
    <cellStyle name="Normal 34 2" xfId="406"/>
    <cellStyle name="Normal 35" xfId="252"/>
    <cellStyle name="Normal 35 2" xfId="408"/>
    <cellStyle name="Normal 36" xfId="276"/>
    <cellStyle name="Normal 36 2" xfId="432"/>
    <cellStyle name="Normal 37" xfId="254"/>
    <cellStyle name="Normal 37 2" xfId="410"/>
    <cellStyle name="Normal 38" xfId="283"/>
    <cellStyle name="Normal 38 2" xfId="439"/>
    <cellStyle name="Normal 39" xfId="248"/>
    <cellStyle name="Normal 39 2" xfId="404"/>
    <cellStyle name="Normal 4" xfId="83"/>
    <cellStyle name="Normal 4 2" xfId="180"/>
    <cellStyle name="Normal 40" xfId="253"/>
    <cellStyle name="Normal 40 2" xfId="409"/>
    <cellStyle name="Normal 41" xfId="280"/>
    <cellStyle name="Normal 41 2" xfId="436"/>
    <cellStyle name="Normal 42" xfId="286"/>
    <cellStyle name="Normal 42 2" xfId="442"/>
    <cellStyle name="Normal 43" xfId="265"/>
    <cellStyle name="Normal 43 2" xfId="421"/>
    <cellStyle name="Normal 44" xfId="288"/>
    <cellStyle name="Normal 44 2" xfId="444"/>
    <cellStyle name="Normal 45" xfId="282"/>
    <cellStyle name="Normal 45 2" xfId="438"/>
    <cellStyle name="Normal 46" xfId="287"/>
    <cellStyle name="Normal 46 2" xfId="443"/>
    <cellStyle name="Normal 47" xfId="292"/>
    <cellStyle name="Normal 47 2" xfId="448"/>
    <cellStyle name="Normal 48" xfId="299"/>
    <cellStyle name="Normal 48 2" xfId="455"/>
    <cellStyle name="Normal 49" xfId="296"/>
    <cellStyle name="Normal 49 2" xfId="452"/>
    <cellStyle name="Normal 5" xfId="84"/>
    <cellStyle name="Normal 50" xfId="298"/>
    <cellStyle name="Normal 50 2" xfId="454"/>
    <cellStyle name="Normal 51" xfId="302"/>
    <cellStyle name="Normal 51 2" xfId="458"/>
    <cellStyle name="Normal 52" xfId="312"/>
    <cellStyle name="Normal 52 2" xfId="468"/>
    <cellStyle name="Normal 53" xfId="330"/>
    <cellStyle name="Normal 53 2" xfId="486"/>
    <cellStyle name="Normal 54" xfId="325"/>
    <cellStyle name="Normal 54 2" xfId="481"/>
    <cellStyle name="Normal 55" xfId="324"/>
    <cellStyle name="Normal 55 2" xfId="480"/>
    <cellStyle name="Normal 56" xfId="327"/>
    <cellStyle name="Normal 56 2" xfId="483"/>
    <cellStyle name="Normal 57" xfId="323"/>
    <cellStyle name="Normal 57 2" xfId="479"/>
    <cellStyle name="Normal 58" xfId="326"/>
    <cellStyle name="Normal 58 2" xfId="482"/>
    <cellStyle name="Normal 59" xfId="316"/>
    <cellStyle name="Normal 59 2" xfId="472"/>
    <cellStyle name="Normal 6" xfId="85"/>
    <cellStyle name="Normal 6 2" xfId="366"/>
    <cellStyle name="Normal 6 3" xfId="210"/>
    <cellStyle name="Normal 60" xfId="297"/>
    <cellStyle name="Normal 60 2" xfId="453"/>
    <cellStyle name="Normal 61" xfId="301"/>
    <cellStyle name="Normal 61 2" xfId="457"/>
    <cellStyle name="Normal 62" xfId="295"/>
    <cellStyle name="Normal 62 2" xfId="451"/>
    <cellStyle name="Normal 63" xfId="333"/>
    <cellStyle name="Normal 63 2" xfId="489"/>
    <cellStyle name="Normal 64" xfId="334"/>
    <cellStyle name="Normal 64 2" xfId="490"/>
    <cellStyle name="Normal 65" xfId="332"/>
    <cellStyle name="Normal 65 2" xfId="488"/>
    <cellStyle name="Normal 66" xfId="331"/>
    <cellStyle name="Normal 66 2" xfId="487"/>
    <cellStyle name="Normal 67" xfId="329"/>
    <cellStyle name="Normal 67 2" xfId="485"/>
    <cellStyle name="Normal 68" xfId="294"/>
    <cellStyle name="Normal 68 2" xfId="450"/>
    <cellStyle name="Normal 69" xfId="328"/>
    <cellStyle name="Normal 69 2" xfId="484"/>
    <cellStyle name="Normal 7" xfId="86"/>
    <cellStyle name="Normal 7 2" xfId="370"/>
    <cellStyle name="Normal 7 3" xfId="214"/>
    <cellStyle name="Normal 70" xfId="160"/>
    <cellStyle name="Normal 71" xfId="191"/>
    <cellStyle name="Normal 72" xfId="12"/>
    <cellStyle name="Normal 73" xfId="102"/>
    <cellStyle name="Normal 8" xfId="87"/>
    <cellStyle name="Normal 8 2" xfId="368"/>
    <cellStyle name="Normal 8 3" xfId="212"/>
    <cellStyle name="Normal 9" xfId="88"/>
    <cellStyle name="Normal 9 2" xfId="369"/>
    <cellStyle name="Normal 9 3" xfId="213"/>
    <cellStyle name="Note 10" xfId="89"/>
    <cellStyle name="Note 10 2" xfId="339"/>
    <cellStyle name="Note 10 3" xfId="181"/>
    <cellStyle name="Note 11" xfId="110"/>
    <cellStyle name="Note 11 2" xfId="371"/>
    <cellStyle name="Note 11 3" xfId="215"/>
    <cellStyle name="Note 12" xfId="141"/>
    <cellStyle name="Note 12 2" xfId="382"/>
    <cellStyle name="Note 12 3" xfId="226"/>
    <cellStyle name="Note 13" xfId="256"/>
    <cellStyle name="Note 13 2" xfId="412"/>
    <cellStyle name="Note 14" xfId="300"/>
    <cellStyle name="Note 14 2" xfId="456"/>
    <cellStyle name="Note 2" xfId="90"/>
    <cellStyle name="Note 2 2" xfId="340"/>
    <cellStyle name="Note 2 3" xfId="182"/>
    <cellStyle name="Note 3" xfId="91"/>
    <cellStyle name="Note 3 2" xfId="341"/>
    <cellStyle name="Note 3 3" xfId="183"/>
    <cellStyle name="Note 4" xfId="92"/>
    <cellStyle name="Note 4 2" xfId="342"/>
    <cellStyle name="Note 4 3" xfId="184"/>
    <cellStyle name="Note 5" xfId="93"/>
    <cellStyle name="Note 5 2" xfId="343"/>
    <cellStyle name="Note 5 3" xfId="185"/>
    <cellStyle name="Note 6" xfId="94"/>
    <cellStyle name="Note 6 2" xfId="344"/>
    <cellStyle name="Note 6 3" xfId="186"/>
    <cellStyle name="Note 7" xfId="95"/>
    <cellStyle name="Note 7 2" xfId="345"/>
    <cellStyle name="Note 7 3" xfId="187"/>
    <cellStyle name="Note 8" xfId="96"/>
    <cellStyle name="Note 8 2" xfId="346"/>
    <cellStyle name="Note 8 3" xfId="188"/>
    <cellStyle name="Note 9" xfId="97"/>
    <cellStyle name="Note 9 2" xfId="347"/>
    <cellStyle name="Note 9 3" xfId="189"/>
    <cellStyle name="Output" xfId="7" builtinId="21" customBuiltin="1"/>
    <cellStyle name="Percent" xfId="2" builtinId="5"/>
    <cellStyle name="Percent 2" xfId="99"/>
    <cellStyle name="Percent 2 2" xfId="190"/>
    <cellStyle name="Percent 3" xfId="100"/>
    <cellStyle name="Percent 4" xfId="98"/>
    <cellStyle name="Title 2" xfId="106"/>
    <cellStyle name="Title 3" xfId="101"/>
    <cellStyle name="Total" xfId="11" builtinId="25" customBuiltin="1"/>
    <cellStyle name="Warning Text 2" xfId="10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15875</xdr:colOff>
      <xdr:row>27</xdr:row>
      <xdr:rowOff>7938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16875" cy="4379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642938</xdr:colOff>
      <xdr:row>24</xdr:row>
      <xdr:rowOff>15875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10688" cy="382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559594</xdr:colOff>
      <xdr:row>25</xdr:row>
      <xdr:rowOff>83344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70469" cy="484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5"/>
  <sheetViews>
    <sheetView showGridLines="0" tabSelected="1" view="pageBreakPreview" zoomScale="120" zoomScaleNormal="160" zoomScaleSheetLayoutView="120" workbookViewId="0">
      <pane ySplit="2" topLeftCell="A3" activePane="bottomLeft" state="frozen"/>
      <selection pane="bottomLeft" activeCell="A3" sqref="A3:AE3"/>
    </sheetView>
  </sheetViews>
  <sheetFormatPr defaultColWidth="8.85546875" defaultRowHeight="15.75" customHeight="1" x14ac:dyDescent="0.25"/>
  <cols>
    <col min="1" max="1" width="6.42578125" style="1" customWidth="1"/>
    <col min="2" max="2" width="41.5703125" style="17" customWidth="1"/>
    <col min="3" max="3" width="39.85546875" style="1" customWidth="1"/>
    <col min="4" max="4" width="0.28515625" style="1" customWidth="1"/>
    <col min="5" max="5" width="17.42578125" style="1" hidden="1" customWidth="1"/>
    <col min="6" max="6" width="21.140625" style="1" hidden="1" customWidth="1"/>
    <col min="7" max="7" width="19.85546875" style="1" hidden="1" customWidth="1"/>
    <col min="8" max="8" width="18.42578125" style="1" hidden="1" customWidth="1"/>
    <col min="9" max="9" width="18" style="1" hidden="1" customWidth="1"/>
    <col min="10" max="10" width="20.28515625" style="1" customWidth="1"/>
    <col min="11" max="11" width="18.42578125" style="17" customWidth="1"/>
    <col min="12" max="12" width="19.7109375" style="1" customWidth="1"/>
    <col min="13" max="13" width="17.7109375" style="37" customWidth="1"/>
    <col min="14" max="14" width="22.42578125" style="1" customWidth="1"/>
    <col min="15" max="15" width="19.42578125" style="1" customWidth="1"/>
    <col min="16" max="16" width="21.5703125" style="42" customWidth="1"/>
    <col min="17" max="17" width="9.28515625" style="1" customWidth="1"/>
    <col min="18" max="18" width="21.28515625" style="1" customWidth="1"/>
    <col min="19" max="19" width="9.140625" style="1" customWidth="1"/>
    <col min="20" max="21" width="10.140625" style="1" customWidth="1"/>
    <col min="22" max="22" width="10.7109375" style="1" customWidth="1"/>
    <col min="23" max="23" width="10.85546875" style="1" customWidth="1"/>
    <col min="24" max="24" width="10.5703125" style="1" customWidth="1"/>
    <col min="25" max="25" width="15" style="1" customWidth="1"/>
    <col min="26" max="26" width="14.42578125" style="1" customWidth="1"/>
    <col min="27" max="27" width="14.28515625" style="1" customWidth="1"/>
    <col min="28" max="28" width="20.140625" style="17" customWidth="1"/>
    <col min="29" max="29" width="18.140625" style="17" customWidth="1"/>
    <col min="30" max="30" width="19" style="17" customWidth="1"/>
    <col min="31" max="31" width="21.85546875" style="1" customWidth="1"/>
    <col min="32" max="32" width="8.85546875" style="1" customWidth="1"/>
    <col min="33" max="33" width="20.28515625" style="1" customWidth="1"/>
    <col min="34" max="241" width="8.85546875" style="1" customWidth="1"/>
  </cols>
  <sheetData>
    <row r="1" spans="1:241" ht="39" customHeight="1" x14ac:dyDescent="0.65">
      <c r="A1" s="171" t="s">
        <v>209</v>
      </c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44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ht="54" customHeight="1" x14ac:dyDescent="0.25">
      <c r="A2" s="45" t="s">
        <v>186</v>
      </c>
      <c r="B2" s="45" t="s">
        <v>1</v>
      </c>
      <c r="C2" s="45" t="s">
        <v>0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164</v>
      </c>
      <c r="L2" s="45" t="s">
        <v>9</v>
      </c>
      <c r="M2" s="46" t="s">
        <v>10</v>
      </c>
      <c r="N2" s="45" t="s">
        <v>11</v>
      </c>
      <c r="O2" s="45" t="s">
        <v>12</v>
      </c>
      <c r="P2" s="45" t="s">
        <v>208</v>
      </c>
      <c r="Q2" s="45" t="s">
        <v>13</v>
      </c>
      <c r="R2" s="45" t="s">
        <v>193</v>
      </c>
      <c r="S2" s="45" t="s">
        <v>13</v>
      </c>
      <c r="T2" s="45" t="s">
        <v>14</v>
      </c>
      <c r="U2" s="45" t="s">
        <v>15</v>
      </c>
      <c r="V2" s="45" t="s">
        <v>16</v>
      </c>
      <c r="W2" s="45" t="s">
        <v>17</v>
      </c>
      <c r="X2" s="45" t="s">
        <v>18</v>
      </c>
      <c r="Y2" s="45" t="s">
        <v>19</v>
      </c>
      <c r="Z2" s="45" t="s">
        <v>20</v>
      </c>
      <c r="AA2" s="45" t="s">
        <v>21</v>
      </c>
      <c r="AB2" s="45" t="s">
        <v>196</v>
      </c>
      <c r="AC2" s="45" t="s">
        <v>198</v>
      </c>
      <c r="AD2" s="45" t="s">
        <v>199</v>
      </c>
      <c r="AE2" s="45" t="s">
        <v>195</v>
      </c>
      <c r="AF2" s="5"/>
    </row>
    <row r="3" spans="1:241" ht="18" customHeight="1" x14ac:dyDescent="0.25">
      <c r="A3" s="173" t="s">
        <v>22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5"/>
      <c r="AF3" s="5"/>
    </row>
    <row r="4" spans="1:241" ht="18" customHeight="1" x14ac:dyDescent="0.25">
      <c r="A4" s="47">
        <v>1</v>
      </c>
      <c r="B4" s="48" t="s">
        <v>32</v>
      </c>
      <c r="C4" s="48" t="s">
        <v>31</v>
      </c>
      <c r="D4" s="49">
        <v>355295263.63999999</v>
      </c>
      <c r="E4" s="50"/>
      <c r="F4" s="51">
        <v>65076969.82</v>
      </c>
      <c r="G4" s="51"/>
      <c r="H4" s="51"/>
      <c r="I4" s="51"/>
      <c r="J4" s="52">
        <v>420372233.45999998</v>
      </c>
      <c r="K4" s="52">
        <v>1687704.03</v>
      </c>
      <c r="L4" s="52">
        <v>878090.75</v>
      </c>
      <c r="M4" s="53">
        <v>809613.28</v>
      </c>
      <c r="N4" s="54">
        <v>422646039.75999999</v>
      </c>
      <c r="O4" s="54">
        <v>11064034.35</v>
      </c>
      <c r="P4" s="55">
        <v>423689164.36000001</v>
      </c>
      <c r="Q4" s="56">
        <f t="shared" ref="Q4:Q19" si="0">(P4/$P$20)</f>
        <v>2.5337175812966062E-2</v>
      </c>
      <c r="R4" s="55">
        <v>411582005.41000003</v>
      </c>
      <c r="S4" s="56">
        <f t="shared" ref="S4:S19" si="1">(R4/$R$20)</f>
        <v>2.7336559241982181E-2</v>
      </c>
      <c r="T4" s="66">
        <f t="shared" ref="T4:T20" si="2">((R4-P4)/P4)</f>
        <v>-2.8575568998297024E-2</v>
      </c>
      <c r="U4" s="161">
        <f t="shared" ref="U4:U10" si="3">(L4/R4)</f>
        <v>2.1334527225632333E-3</v>
      </c>
      <c r="V4" s="67">
        <f t="shared" ref="V4:V10" si="4">M4/R4</f>
        <v>1.9670764740880703E-3</v>
      </c>
      <c r="W4" s="68">
        <f>R4/AE4</f>
        <v>191.81760727962967</v>
      </c>
      <c r="X4" s="68">
        <f>M4/AE4</f>
        <v>0.37731990259562415</v>
      </c>
      <c r="Y4" s="51">
        <v>191.8176</v>
      </c>
      <c r="Z4" s="51">
        <v>196.97399999999999</v>
      </c>
      <c r="AA4" s="61">
        <v>1712</v>
      </c>
      <c r="AB4" s="51">
        <v>2153996.8163000001</v>
      </c>
      <c r="AC4" s="51"/>
      <c r="AD4" s="51">
        <v>8302.2096000000001</v>
      </c>
      <c r="AE4" s="51">
        <v>2145694.6066999999</v>
      </c>
      <c r="AF4" s="5"/>
    </row>
    <row r="5" spans="1:241" ht="18" customHeight="1" x14ac:dyDescent="0.25">
      <c r="A5" s="62">
        <v>2</v>
      </c>
      <c r="B5" s="48" t="s">
        <v>51</v>
      </c>
      <c r="C5" s="48" t="s">
        <v>50</v>
      </c>
      <c r="D5" s="49">
        <v>318019831.39999998</v>
      </c>
      <c r="E5" s="50"/>
      <c r="F5" s="51">
        <v>62818155.090000004</v>
      </c>
      <c r="G5" s="51">
        <v>39763420.060000002</v>
      </c>
      <c r="H5" s="51"/>
      <c r="I5" s="51"/>
      <c r="J5" s="52">
        <v>420601406.55000001</v>
      </c>
      <c r="K5" s="52">
        <v>444286.73</v>
      </c>
      <c r="L5" s="52">
        <v>650728.88</v>
      </c>
      <c r="M5" s="53">
        <v>-206442.15</v>
      </c>
      <c r="N5" s="54">
        <v>420919239.93000001</v>
      </c>
      <c r="O5" s="54">
        <v>650728.88</v>
      </c>
      <c r="P5" s="55">
        <v>449066823.14999998</v>
      </c>
      <c r="Q5" s="56">
        <f t="shared" si="0"/>
        <v>2.6854793577524586E-2</v>
      </c>
      <c r="R5" s="55">
        <v>420268511.05000001</v>
      </c>
      <c r="S5" s="56">
        <f t="shared" si="1"/>
        <v>2.7913501802425574E-2</v>
      </c>
      <c r="T5" s="57">
        <f t="shared" si="2"/>
        <v>-6.4129235595702383E-2</v>
      </c>
      <c r="U5" s="161">
        <f t="shared" si="3"/>
        <v>1.5483645880920681E-3</v>
      </c>
      <c r="V5" s="59">
        <f t="shared" si="4"/>
        <v>-4.9121488898662511E-4</v>
      </c>
      <c r="W5" s="60">
        <f>R5/AE5</f>
        <v>138.62514253516878</v>
      </c>
      <c r="X5" s="60">
        <f>M5/AE5</f>
        <v>-6.8094734001168028E-2</v>
      </c>
      <c r="Y5" s="51">
        <v>138.4</v>
      </c>
      <c r="Z5" s="51">
        <v>139.94999999999999</v>
      </c>
      <c r="AA5" s="61">
        <v>277</v>
      </c>
      <c r="AB5" s="51">
        <v>3069312.68</v>
      </c>
      <c r="AC5" s="51">
        <v>650.16</v>
      </c>
      <c r="AD5" s="51">
        <v>38272.46</v>
      </c>
      <c r="AE5" s="51">
        <v>3031690.38</v>
      </c>
      <c r="AF5" s="5"/>
    </row>
    <row r="6" spans="1:241" ht="18" customHeight="1" x14ac:dyDescent="0.25">
      <c r="A6" s="62">
        <v>3</v>
      </c>
      <c r="B6" s="48" t="s">
        <v>36</v>
      </c>
      <c r="C6" s="63" t="s">
        <v>35</v>
      </c>
      <c r="D6" s="49">
        <v>1918972180.46</v>
      </c>
      <c r="E6" s="50"/>
      <c r="F6" s="51"/>
      <c r="G6" s="51">
        <v>25625207.59</v>
      </c>
      <c r="H6" s="51">
        <v>1267002.1000000001</v>
      </c>
      <c r="I6" s="51"/>
      <c r="J6" s="52">
        <v>1945864390.1500001</v>
      </c>
      <c r="K6" s="52">
        <v>13054540.529999999</v>
      </c>
      <c r="L6" s="52">
        <v>5492006.6600000001</v>
      </c>
      <c r="M6" s="53">
        <v>-101179790.13</v>
      </c>
      <c r="N6" s="54">
        <v>2420785726</v>
      </c>
      <c r="O6" s="54">
        <v>86411138</v>
      </c>
      <c r="P6" s="55">
        <v>2433904253</v>
      </c>
      <c r="Q6" s="56">
        <f t="shared" si="0"/>
        <v>0.14555071301702815</v>
      </c>
      <c r="R6" s="55">
        <v>1334374588</v>
      </c>
      <c r="S6" s="56">
        <f t="shared" si="1"/>
        <v>8.8626833769179389E-2</v>
      </c>
      <c r="T6" s="57">
        <f t="shared" si="2"/>
        <v>-0.45175551324368385</v>
      </c>
      <c r="U6" s="161">
        <f t="shared" si="3"/>
        <v>4.1157908052127865E-3</v>
      </c>
      <c r="V6" s="59">
        <f t="shared" si="4"/>
        <v>-7.5825627256324815E-2</v>
      </c>
      <c r="W6" s="60">
        <f>R6/AE6</f>
        <v>12.346030785613884</v>
      </c>
      <c r="X6" s="60">
        <f>M6/AE6</f>
        <v>-0.93614552844506937</v>
      </c>
      <c r="Y6" s="51">
        <v>21.490300000000001</v>
      </c>
      <c r="Z6" s="51">
        <v>22.138300000000001</v>
      </c>
      <c r="AA6" s="61">
        <v>722</v>
      </c>
      <c r="AB6" s="61">
        <v>108214114</v>
      </c>
      <c r="AC6" s="61">
        <v>244096</v>
      </c>
      <c r="AD6" s="61">
        <v>376947</v>
      </c>
      <c r="AE6" s="51">
        <v>108081262</v>
      </c>
      <c r="AF6" s="5"/>
    </row>
    <row r="7" spans="1:241" s="19" customFormat="1" ht="15" x14ac:dyDescent="0.25">
      <c r="A7" s="62">
        <v>4</v>
      </c>
      <c r="B7" s="74" t="s">
        <v>43</v>
      </c>
      <c r="C7" s="73" t="s">
        <v>42</v>
      </c>
      <c r="D7" s="49">
        <v>199235616.38</v>
      </c>
      <c r="E7" s="50"/>
      <c r="F7" s="51"/>
      <c r="G7" s="51"/>
      <c r="H7" s="51"/>
      <c r="I7" s="51"/>
      <c r="J7" s="49">
        <v>199235616.38</v>
      </c>
      <c r="K7" s="52">
        <v>721546.5</v>
      </c>
      <c r="L7" s="52">
        <v>469782.1</v>
      </c>
      <c r="M7" s="53">
        <v>251764.4</v>
      </c>
      <c r="N7" s="54">
        <v>282364379.56999999</v>
      </c>
      <c r="O7" s="54">
        <v>2112211.17</v>
      </c>
      <c r="P7" s="55">
        <v>266275186.65000001</v>
      </c>
      <c r="Q7" s="56">
        <f t="shared" si="0"/>
        <v>1.5923610482162117E-2</v>
      </c>
      <c r="R7" s="55">
        <v>280252168.39999998</v>
      </c>
      <c r="S7" s="56">
        <f t="shared" si="1"/>
        <v>1.8613860429901163E-2</v>
      </c>
      <c r="T7" s="57">
        <f t="shared" si="2"/>
        <v>5.249074059751474E-2</v>
      </c>
      <c r="U7" s="161">
        <f t="shared" si="3"/>
        <v>1.6762835509250605E-3</v>
      </c>
      <c r="V7" s="59">
        <f t="shared" si="4"/>
        <v>8.9834951657059153E-4</v>
      </c>
      <c r="W7" s="60">
        <f>R7/AE7</f>
        <v>148.59612184036916</v>
      </c>
      <c r="X7" s="60">
        <f>M7/AE7</f>
        <v>0.13349125421956035</v>
      </c>
      <c r="Y7" s="51">
        <v>144.75</v>
      </c>
      <c r="Z7" s="51">
        <v>147.66999999999999</v>
      </c>
      <c r="AA7" s="61">
        <v>596</v>
      </c>
      <c r="AB7" s="61">
        <v>1761181.17</v>
      </c>
      <c r="AC7" s="61">
        <v>177411.49</v>
      </c>
      <c r="AD7" s="61">
        <v>52593.55</v>
      </c>
      <c r="AE7" s="51">
        <v>1885999.21</v>
      </c>
      <c r="AF7" s="26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</row>
    <row r="8" spans="1:241" s="19" customFormat="1" ht="15" x14ac:dyDescent="0.25">
      <c r="A8" s="47">
        <v>5</v>
      </c>
      <c r="B8" s="77" t="s">
        <v>49</v>
      </c>
      <c r="C8" s="77" t="s">
        <v>48</v>
      </c>
      <c r="D8" s="78">
        <v>3621932.74</v>
      </c>
      <c r="E8" s="78"/>
      <c r="F8" s="72"/>
      <c r="G8" s="78"/>
      <c r="H8" s="78"/>
      <c r="I8" s="78">
        <v>1882545.57</v>
      </c>
      <c r="J8" s="78">
        <v>3621932.74</v>
      </c>
      <c r="K8" s="78">
        <v>0</v>
      </c>
      <c r="L8" s="78">
        <v>0</v>
      </c>
      <c r="M8" s="79">
        <v>0</v>
      </c>
      <c r="N8" s="78">
        <v>5504478.3099999996</v>
      </c>
      <c r="O8" s="78">
        <v>0</v>
      </c>
      <c r="P8" s="80">
        <v>5504478.3099999996</v>
      </c>
      <c r="Q8" s="56">
        <f t="shared" si="0"/>
        <v>3.2917512750131427E-4</v>
      </c>
      <c r="R8" s="80">
        <v>5504478.3099999996</v>
      </c>
      <c r="S8" s="56">
        <f t="shared" si="1"/>
        <v>3.6559785277207589E-4</v>
      </c>
      <c r="T8" s="57">
        <f t="shared" si="2"/>
        <v>0</v>
      </c>
      <c r="U8" s="161">
        <f t="shared" si="3"/>
        <v>0</v>
      </c>
      <c r="V8" s="81">
        <f t="shared" si="4"/>
        <v>0</v>
      </c>
      <c r="W8" s="82">
        <f>R8/AB8</f>
        <v>1.3927630965032134</v>
      </c>
      <c r="X8" s="82">
        <f>M8/AB8</f>
        <v>0</v>
      </c>
      <c r="Y8" s="78">
        <v>1.39</v>
      </c>
      <c r="Z8" s="78">
        <v>1.45</v>
      </c>
      <c r="AA8" s="83">
        <v>2420</v>
      </c>
      <c r="AB8" s="78">
        <v>3952200</v>
      </c>
      <c r="AC8" s="83">
        <v>0</v>
      </c>
      <c r="AD8" s="83">
        <v>0</v>
      </c>
      <c r="AE8" s="78">
        <v>3952200</v>
      </c>
      <c r="AF8" s="26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</row>
    <row r="9" spans="1:241" ht="15" x14ac:dyDescent="0.25">
      <c r="A9" s="62">
        <v>6</v>
      </c>
      <c r="B9" s="48" t="s">
        <v>38</v>
      </c>
      <c r="C9" s="48" t="s">
        <v>37</v>
      </c>
      <c r="D9" s="49">
        <v>287491030.76999998</v>
      </c>
      <c r="E9" s="49"/>
      <c r="F9" s="51">
        <v>97209764.870000005</v>
      </c>
      <c r="G9" s="51"/>
      <c r="H9" s="51"/>
      <c r="I9" s="51"/>
      <c r="J9" s="52">
        <v>380240948.02999997</v>
      </c>
      <c r="K9" s="52">
        <v>997734.5</v>
      </c>
      <c r="L9" s="52">
        <v>-829979.39</v>
      </c>
      <c r="M9" s="53">
        <v>-1271988.96</v>
      </c>
      <c r="N9" s="54">
        <v>385118281.41000003</v>
      </c>
      <c r="O9" s="54">
        <v>4877333.38</v>
      </c>
      <c r="P9" s="55">
        <v>407895111.94999999</v>
      </c>
      <c r="Q9" s="56">
        <f t="shared" si="0"/>
        <v>2.439267046240829E-2</v>
      </c>
      <c r="R9" s="55">
        <v>380240948.02999997</v>
      </c>
      <c r="S9" s="56">
        <f t="shared" si="1"/>
        <v>2.5254940851204208E-2</v>
      </c>
      <c r="T9" s="57">
        <f t="shared" si="2"/>
        <v>-6.7797242746536951E-2</v>
      </c>
      <c r="U9" s="161">
        <f t="shared" si="3"/>
        <v>-2.1827722508584659E-3</v>
      </c>
      <c r="V9" s="59">
        <f t="shared" si="4"/>
        <v>-3.3452182532946019E-3</v>
      </c>
      <c r="W9" s="60">
        <f>R9/AE9</f>
        <v>158.28869632782295</v>
      </c>
      <c r="X9" s="60">
        <f>M9/AE9</f>
        <v>-0.52951023624603955</v>
      </c>
      <c r="Y9" s="51">
        <v>158.29</v>
      </c>
      <c r="Z9" s="51">
        <v>160.4</v>
      </c>
      <c r="AA9" s="61">
        <v>1452</v>
      </c>
      <c r="AB9" s="61">
        <v>2461511</v>
      </c>
      <c r="AC9" s="61">
        <v>2410.04</v>
      </c>
      <c r="AD9" s="61">
        <v>61722</v>
      </c>
      <c r="AE9" s="51">
        <v>2402199</v>
      </c>
      <c r="AF9" s="5"/>
    </row>
    <row r="10" spans="1:241" ht="18" customHeight="1" x14ac:dyDescent="0.25">
      <c r="A10" s="62">
        <v>7</v>
      </c>
      <c r="B10" s="48" t="s">
        <v>28</v>
      </c>
      <c r="C10" s="63" t="s">
        <v>27</v>
      </c>
      <c r="D10" s="49">
        <v>116260201.40000001</v>
      </c>
      <c r="E10" s="50"/>
      <c r="F10" s="51">
        <v>141696399.77000001</v>
      </c>
      <c r="G10" s="51"/>
      <c r="H10" s="51"/>
      <c r="I10" s="51"/>
      <c r="J10" s="52">
        <v>257956601.16999999</v>
      </c>
      <c r="K10" s="52">
        <v>657954.87</v>
      </c>
      <c r="L10" s="52">
        <v>648087.32999999996</v>
      </c>
      <c r="M10" s="53">
        <v>-9867.5400000000009</v>
      </c>
      <c r="N10" s="54">
        <v>261695123.94999999</v>
      </c>
      <c r="O10" s="54">
        <v>18473761.949999999</v>
      </c>
      <c r="P10" s="55">
        <v>253946152.91</v>
      </c>
      <c r="Q10" s="56">
        <f t="shared" si="0"/>
        <v>1.5186317858815853E-2</v>
      </c>
      <c r="R10" s="55">
        <v>243221362</v>
      </c>
      <c r="S10" s="56">
        <f t="shared" si="1"/>
        <v>1.6154338828796255E-2</v>
      </c>
      <c r="T10" s="57">
        <f t="shared" si="2"/>
        <v>-4.2232539406891215E-2</v>
      </c>
      <c r="U10" s="161">
        <f t="shared" si="3"/>
        <v>2.6645987205679736E-3</v>
      </c>
      <c r="V10" s="59">
        <f t="shared" si="4"/>
        <v>-4.0570202875518806E-5</v>
      </c>
      <c r="W10" s="60">
        <f>R10/AE10</f>
        <v>122.19624540799511</v>
      </c>
      <c r="X10" s="60">
        <f>M10/AE10</f>
        <v>-4.9575264668290453E-3</v>
      </c>
      <c r="Y10" s="51"/>
      <c r="Z10" s="51"/>
      <c r="AA10" s="61">
        <v>2470</v>
      </c>
      <c r="AB10" s="61">
        <v>1990416</v>
      </c>
      <c r="AC10" s="61">
        <v>0</v>
      </c>
      <c r="AD10" s="61">
        <v>0</v>
      </c>
      <c r="AE10" s="61">
        <v>1990416</v>
      </c>
      <c r="AF10" s="5"/>
    </row>
    <row r="11" spans="1:241" ht="15" customHeight="1" x14ac:dyDescent="0.25">
      <c r="A11" s="62">
        <v>8</v>
      </c>
      <c r="B11" s="48" t="s">
        <v>170</v>
      </c>
      <c r="C11" s="48" t="s">
        <v>169</v>
      </c>
      <c r="D11" s="49">
        <v>17592885.600000001</v>
      </c>
      <c r="E11" s="50"/>
      <c r="F11" s="51">
        <v>5709387.4400000004</v>
      </c>
      <c r="G11" s="51"/>
      <c r="H11" s="51"/>
      <c r="I11" s="51"/>
      <c r="J11" s="52">
        <v>23302273.039999999</v>
      </c>
      <c r="K11" s="52">
        <v>40051.33</v>
      </c>
      <c r="L11" s="52">
        <v>27221.14</v>
      </c>
      <c r="M11" s="53">
        <v>67272.47</v>
      </c>
      <c r="N11" s="54">
        <v>24212697.699999999</v>
      </c>
      <c r="O11" s="54">
        <v>546943.73</v>
      </c>
      <c r="P11" s="55">
        <v>24634761.287111666</v>
      </c>
      <c r="Q11" s="56">
        <f t="shared" si="0"/>
        <v>1.4731915053452947E-3</v>
      </c>
      <c r="R11" s="55">
        <v>23665753.969999999</v>
      </c>
      <c r="S11" s="56">
        <f t="shared" si="1"/>
        <v>1.5718381195082283E-3</v>
      </c>
      <c r="T11" s="57">
        <f t="shared" si="2"/>
        <v>-3.9334958671534977E-2</v>
      </c>
      <c r="U11" s="162">
        <f>(L10/R11)</f>
        <v>2.7385027784094722E-2</v>
      </c>
      <c r="V11" s="84" t="e">
        <v>#DIV/0!</v>
      </c>
      <c r="W11" s="85" t="e">
        <v>#DIV/0!</v>
      </c>
      <c r="X11" s="85" t="e">
        <v>#DIV/0!</v>
      </c>
      <c r="Y11" s="51">
        <v>92.03</v>
      </c>
      <c r="Z11" s="51">
        <v>94.83</v>
      </c>
      <c r="AA11" s="61">
        <v>3</v>
      </c>
      <c r="AB11" s="51">
        <v>253000</v>
      </c>
      <c r="AC11" s="61"/>
      <c r="AD11" s="61"/>
      <c r="AE11" s="51">
        <v>253000</v>
      </c>
      <c r="AF11" s="5"/>
    </row>
    <row r="12" spans="1:241" ht="16.5" customHeight="1" x14ac:dyDescent="0.25">
      <c r="A12" s="62">
        <v>9</v>
      </c>
      <c r="B12" s="48" t="s">
        <v>26</v>
      </c>
      <c r="C12" s="63" t="s">
        <v>25</v>
      </c>
      <c r="D12" s="49">
        <v>691449462.75</v>
      </c>
      <c r="E12" s="50"/>
      <c r="F12" s="51">
        <v>66647436.710000001</v>
      </c>
      <c r="G12" s="51"/>
      <c r="H12" s="51"/>
      <c r="I12" s="51"/>
      <c r="J12" s="52">
        <v>948987271.87</v>
      </c>
      <c r="K12" s="64">
        <v>4635331.83</v>
      </c>
      <c r="L12" s="52">
        <v>1442313.18</v>
      </c>
      <c r="M12" s="53">
        <v>3193018.65</v>
      </c>
      <c r="N12" s="54">
        <v>948987271.87</v>
      </c>
      <c r="O12" s="54">
        <v>2308528.15</v>
      </c>
      <c r="P12" s="55">
        <v>972984708.29999995</v>
      </c>
      <c r="Q12" s="56">
        <f t="shared" si="0"/>
        <v>5.818578026361259E-2</v>
      </c>
      <c r="R12" s="55">
        <v>946678743.72000003</v>
      </c>
      <c r="S12" s="56">
        <f t="shared" si="1"/>
        <v>6.2876751706011966E-2</v>
      </c>
      <c r="T12" s="57">
        <f t="shared" si="2"/>
        <v>-2.703635972446241E-2</v>
      </c>
      <c r="U12" s="161">
        <f t="shared" ref="U12:U19" si="5">(L12/R12)</f>
        <v>1.5235508239388484E-3</v>
      </c>
      <c r="V12" s="59">
        <f t="shared" ref="V12:V19" si="6">M12/R12</f>
        <v>3.3728639955017325E-3</v>
      </c>
      <c r="W12" s="60">
        <f t="shared" ref="W12:W19" si="7">R12/AE12</f>
        <v>1.927447228885155</v>
      </c>
      <c r="X12" s="60">
        <f t="shared" ref="X12:X19" si="8">M12/AE12</f>
        <v>6.5010173615363256E-3</v>
      </c>
      <c r="Y12" s="51">
        <v>1.91</v>
      </c>
      <c r="Z12" s="51">
        <v>1.94</v>
      </c>
      <c r="AA12" s="65">
        <v>3687</v>
      </c>
      <c r="AB12" s="65">
        <v>490911.04100000003</v>
      </c>
      <c r="AC12" s="65"/>
      <c r="AD12" s="65">
        <v>245723</v>
      </c>
      <c r="AE12" s="51">
        <v>491156764</v>
      </c>
      <c r="AF12" s="5"/>
    </row>
    <row r="13" spans="1:241" ht="16.5" customHeight="1" x14ac:dyDescent="0.25">
      <c r="A13" s="62">
        <v>10</v>
      </c>
      <c r="B13" s="48" t="s">
        <v>40</v>
      </c>
      <c r="C13" s="48" t="s">
        <v>39</v>
      </c>
      <c r="D13" s="70">
        <v>232035006.65000001</v>
      </c>
      <c r="E13" s="49"/>
      <c r="F13" s="51">
        <v>48850740.210000001</v>
      </c>
      <c r="G13" s="51"/>
      <c r="H13" s="51"/>
      <c r="I13" s="51"/>
      <c r="J13" s="52">
        <v>280885746.86000001</v>
      </c>
      <c r="K13" s="52">
        <v>557294.42000000004</v>
      </c>
      <c r="L13" s="52">
        <v>544758.67000000004</v>
      </c>
      <c r="M13" s="53">
        <v>-7274033.8200000003</v>
      </c>
      <c r="N13" s="54">
        <v>281346916.31</v>
      </c>
      <c r="O13" s="54">
        <v>1499577.8</v>
      </c>
      <c r="P13" s="55">
        <v>299961672.32999998</v>
      </c>
      <c r="Q13" s="56">
        <f t="shared" si="0"/>
        <v>1.7938107150927297E-2</v>
      </c>
      <c r="R13" s="55">
        <v>279847338.50999999</v>
      </c>
      <c r="S13" s="56">
        <f t="shared" si="1"/>
        <v>1.8586972334392989E-2</v>
      </c>
      <c r="T13" s="57">
        <f t="shared" si="2"/>
        <v>-6.7056346445059825E-2</v>
      </c>
      <c r="U13" s="161">
        <f t="shared" si="5"/>
        <v>1.9466280183348386E-3</v>
      </c>
      <c r="V13" s="59">
        <f t="shared" si="6"/>
        <v>-2.5992864033402525E-2</v>
      </c>
      <c r="W13" s="60">
        <f t="shared" si="7"/>
        <v>12.189234116375596</v>
      </c>
      <c r="X13" s="60">
        <f t="shared" si="8"/>
        <v>-0.31683310505826229</v>
      </c>
      <c r="Y13" s="51">
        <v>12.25</v>
      </c>
      <c r="Z13" s="51">
        <v>12.3</v>
      </c>
      <c r="AA13" s="71">
        <v>167</v>
      </c>
      <c r="AB13" s="71">
        <v>23943595.969999999</v>
      </c>
      <c r="AC13" s="72">
        <v>184272.76</v>
      </c>
      <c r="AD13" s="72">
        <v>1169302.52</v>
      </c>
      <c r="AE13" s="51">
        <v>22958566.210000001</v>
      </c>
      <c r="AF13" s="5"/>
    </row>
    <row r="14" spans="1:241" ht="16.5" customHeight="1" x14ac:dyDescent="0.25">
      <c r="A14" s="62">
        <v>11</v>
      </c>
      <c r="B14" s="73" t="s">
        <v>47</v>
      </c>
      <c r="C14" s="73" t="s">
        <v>46</v>
      </c>
      <c r="D14" s="49">
        <v>202716196.59999999</v>
      </c>
      <c r="E14" s="50"/>
      <c r="F14" s="51">
        <v>68944265.459999993</v>
      </c>
      <c r="G14" s="51">
        <v>6648181.9699999997</v>
      </c>
      <c r="H14" s="51"/>
      <c r="I14" s="51"/>
      <c r="J14" s="52">
        <v>278308644.02999997</v>
      </c>
      <c r="K14" s="52">
        <v>401185.24</v>
      </c>
      <c r="L14" s="52">
        <v>374215.76</v>
      </c>
      <c r="M14" s="53">
        <v>26969.48</v>
      </c>
      <c r="N14" s="54">
        <v>283010868.63999999</v>
      </c>
      <c r="O14" s="54">
        <v>2754533.85</v>
      </c>
      <c r="P14" s="55">
        <v>293957905.5</v>
      </c>
      <c r="Q14" s="56">
        <f t="shared" si="0"/>
        <v>1.757907390554906E-2</v>
      </c>
      <c r="R14" s="55">
        <v>280256334.79000002</v>
      </c>
      <c r="S14" s="56">
        <f t="shared" si="1"/>
        <v>1.8614137154261228E-2</v>
      </c>
      <c r="T14" s="57">
        <f t="shared" si="2"/>
        <v>-4.6610655653892524E-2</v>
      </c>
      <c r="U14" s="161">
        <f t="shared" si="5"/>
        <v>1.335262449216019E-3</v>
      </c>
      <c r="V14" s="59">
        <f t="shared" si="6"/>
        <v>9.6231473305353143E-5</v>
      </c>
      <c r="W14" s="60">
        <f t="shared" si="7"/>
        <v>1.4251937383899873</v>
      </c>
      <c r="X14" s="60">
        <f t="shared" si="8"/>
        <v>1.3714849319083252E-4</v>
      </c>
      <c r="Y14" s="51">
        <v>1.4252</v>
      </c>
      <c r="Z14" s="51">
        <v>1.4392</v>
      </c>
      <c r="AA14" s="61">
        <v>12</v>
      </c>
      <c r="AB14" s="61">
        <v>196644377</v>
      </c>
      <c r="AC14" s="61"/>
      <c r="AD14" s="61"/>
      <c r="AE14" s="61">
        <v>196644377</v>
      </c>
      <c r="AF14" s="5"/>
    </row>
    <row r="15" spans="1:241" ht="16.5" customHeight="1" x14ac:dyDescent="0.25">
      <c r="A15" s="62">
        <v>12</v>
      </c>
      <c r="B15" s="48" t="s">
        <v>30</v>
      </c>
      <c r="C15" s="48" t="s">
        <v>29</v>
      </c>
      <c r="D15" s="49">
        <v>598742911.60000002</v>
      </c>
      <c r="E15" s="50"/>
      <c r="F15" s="51">
        <v>76246848.409999996</v>
      </c>
      <c r="G15" s="51">
        <v>10308355.630000001</v>
      </c>
      <c r="H15" s="51"/>
      <c r="I15" s="51"/>
      <c r="J15" s="51">
        <v>712161132.24000001</v>
      </c>
      <c r="K15" s="52">
        <v>2114446.1800000002</v>
      </c>
      <c r="L15" s="52">
        <v>1245003.06</v>
      </c>
      <c r="M15" s="53">
        <v>869443.12</v>
      </c>
      <c r="N15" s="54">
        <v>712161132.24000001</v>
      </c>
      <c r="O15" s="54">
        <v>2275696.5699999998</v>
      </c>
      <c r="P15" s="55">
        <v>735411796.45000005</v>
      </c>
      <c r="Q15" s="56">
        <f t="shared" si="0"/>
        <v>4.3978604007324965E-2</v>
      </c>
      <c r="R15" s="55">
        <v>709885435.66999996</v>
      </c>
      <c r="S15" s="56">
        <f t="shared" si="1"/>
        <v>4.7149353013822962E-2</v>
      </c>
      <c r="T15" s="66">
        <f t="shared" si="2"/>
        <v>-3.471029551500484E-2</v>
      </c>
      <c r="U15" s="161">
        <f t="shared" si="5"/>
        <v>1.7538084280105683E-3</v>
      </c>
      <c r="V15" s="67">
        <f t="shared" si="6"/>
        <v>1.2247654006021509E-3</v>
      </c>
      <c r="W15" s="68">
        <f t="shared" si="7"/>
        <v>19.595908904471354</v>
      </c>
      <c r="X15" s="68">
        <f t="shared" si="8"/>
        <v>2.4000391219548119E-2</v>
      </c>
      <c r="Y15" s="51">
        <v>19.27</v>
      </c>
      <c r="Z15" s="51">
        <v>19.62</v>
      </c>
      <c r="AA15" s="61">
        <v>8812</v>
      </c>
      <c r="AB15" s="61">
        <v>36418625.68</v>
      </c>
      <c r="AC15" s="61"/>
      <c r="AD15" s="61">
        <v>192419.53</v>
      </c>
      <c r="AE15" s="51">
        <v>36226206.149999999</v>
      </c>
      <c r="AF15" s="5"/>
    </row>
    <row r="16" spans="1:241" ht="16.5" customHeight="1" x14ac:dyDescent="0.25">
      <c r="A16" s="62">
        <v>13</v>
      </c>
      <c r="B16" s="63" t="s">
        <v>41</v>
      </c>
      <c r="C16" s="48" t="s">
        <v>23</v>
      </c>
      <c r="D16" s="49">
        <v>255187668.68000001</v>
      </c>
      <c r="E16" s="49"/>
      <c r="F16" s="51">
        <v>88811993.319999993</v>
      </c>
      <c r="G16" s="51"/>
      <c r="H16" s="51"/>
      <c r="I16" s="51">
        <v>82849.320000000007</v>
      </c>
      <c r="J16" s="52">
        <v>344112841.31999999</v>
      </c>
      <c r="K16" s="50">
        <v>13478825.699999999</v>
      </c>
      <c r="L16" s="52">
        <v>-1358398.37</v>
      </c>
      <c r="M16" s="53">
        <v>-17226317.170000002</v>
      </c>
      <c r="N16" s="54">
        <v>348125669.19999999</v>
      </c>
      <c r="O16" s="54">
        <v>5091740.54</v>
      </c>
      <c r="P16" s="55">
        <v>363306244.38999999</v>
      </c>
      <c r="Q16" s="56">
        <f t="shared" si="0"/>
        <v>2.1726196849906725E-2</v>
      </c>
      <c r="R16" s="55">
        <v>343033928.66000003</v>
      </c>
      <c r="S16" s="56">
        <f t="shared" si="1"/>
        <v>2.2783715491843857E-2</v>
      </c>
      <c r="T16" s="57">
        <f t="shared" si="2"/>
        <v>-5.5799524624295049E-2</v>
      </c>
      <c r="U16" s="161">
        <f t="shared" si="5"/>
        <v>-3.9599533938416455E-3</v>
      </c>
      <c r="V16" s="59">
        <f t="shared" si="6"/>
        <v>-5.0217531651436033E-2</v>
      </c>
      <c r="W16" s="60">
        <f t="shared" si="7"/>
        <v>3154.8217615554845</v>
      </c>
      <c r="X16" s="60">
        <f t="shared" si="8"/>
        <v>-158.42736166555173</v>
      </c>
      <c r="Y16" s="51">
        <v>3124.98</v>
      </c>
      <c r="Z16" s="51">
        <v>3171.32</v>
      </c>
      <c r="AA16" s="61">
        <v>21</v>
      </c>
      <c r="AB16" s="61">
        <v>110652.32</v>
      </c>
      <c r="AC16" s="61"/>
      <c r="AD16" s="61">
        <v>1919.11</v>
      </c>
      <c r="AE16" s="51">
        <v>108733.22</v>
      </c>
      <c r="AF16" s="5"/>
    </row>
    <row r="17" spans="1:241" ht="15.95" customHeight="1" x14ac:dyDescent="0.25">
      <c r="A17" s="62">
        <v>14</v>
      </c>
      <c r="B17" s="48" t="s">
        <v>24</v>
      </c>
      <c r="C17" s="48" t="s">
        <v>23</v>
      </c>
      <c r="D17" s="49">
        <v>5224048063.8100004</v>
      </c>
      <c r="E17" s="50"/>
      <c r="F17" s="51">
        <v>1884666779.98</v>
      </c>
      <c r="G17" s="51">
        <v>57196276.920000002</v>
      </c>
      <c r="H17" s="51"/>
      <c r="I17" s="51"/>
      <c r="J17" s="52">
        <v>7166487315.4700003</v>
      </c>
      <c r="K17" s="50">
        <v>103183756.34999999</v>
      </c>
      <c r="L17" s="52">
        <v>28261424.629999999</v>
      </c>
      <c r="M17" s="53">
        <v>-308709363.19</v>
      </c>
      <c r="N17" s="54">
        <v>7239676269.6899996</v>
      </c>
      <c r="O17" s="54">
        <v>25701837.800000001</v>
      </c>
      <c r="P17" s="55">
        <v>7540343099.5200005</v>
      </c>
      <c r="Q17" s="56">
        <f t="shared" si="0"/>
        <v>0.45092255094891115</v>
      </c>
      <c r="R17" s="55">
        <v>7213974431.8900003</v>
      </c>
      <c r="S17" s="56">
        <f t="shared" si="1"/>
        <v>0.47913960483053308</v>
      </c>
      <c r="T17" s="57">
        <f t="shared" si="2"/>
        <v>-4.3282999635756089E-2</v>
      </c>
      <c r="U17" s="161">
        <f t="shared" si="5"/>
        <v>3.9175942328084669E-3</v>
      </c>
      <c r="V17" s="59">
        <f t="shared" si="6"/>
        <v>-4.2793243323031957E-2</v>
      </c>
      <c r="W17" s="60">
        <f t="shared" si="7"/>
        <v>12057.571601637283</v>
      </c>
      <c r="X17" s="60">
        <f t="shared" si="8"/>
        <v>-515.98259543374434</v>
      </c>
      <c r="Y17" s="51">
        <v>11947.11</v>
      </c>
      <c r="Z17" s="51">
        <v>12118.71</v>
      </c>
      <c r="AA17" s="61">
        <v>17149</v>
      </c>
      <c r="AB17" s="51">
        <v>600180.17000000004</v>
      </c>
      <c r="AC17" s="51">
        <v>1001.09</v>
      </c>
      <c r="AD17" s="51">
        <v>2887.12</v>
      </c>
      <c r="AE17" s="51">
        <v>598294.14</v>
      </c>
      <c r="AF17" s="5"/>
    </row>
    <row r="18" spans="1:241" ht="16.5" customHeight="1" x14ac:dyDescent="0.25">
      <c r="A18" s="62">
        <v>15</v>
      </c>
      <c r="B18" s="48" t="s">
        <v>34</v>
      </c>
      <c r="C18" s="48" t="s">
        <v>33</v>
      </c>
      <c r="D18" s="69">
        <v>1515363033</v>
      </c>
      <c r="E18" s="50"/>
      <c r="F18" s="51">
        <v>9685584</v>
      </c>
      <c r="G18" s="51"/>
      <c r="H18" s="51"/>
      <c r="I18" s="51"/>
      <c r="J18" s="69">
        <v>1525048617</v>
      </c>
      <c r="K18" s="50">
        <v>17718065</v>
      </c>
      <c r="L18" s="69">
        <v>-3451456</v>
      </c>
      <c r="M18" s="53">
        <v>-49371330</v>
      </c>
      <c r="N18" s="69">
        <v>1894071704</v>
      </c>
      <c r="O18" s="70">
        <v>25550480.16</v>
      </c>
      <c r="P18" s="55">
        <v>1923357616</v>
      </c>
      <c r="Q18" s="56">
        <f t="shared" si="0"/>
        <v>0.11501934476283256</v>
      </c>
      <c r="R18" s="55">
        <v>1868521224</v>
      </c>
      <c r="S18" s="56">
        <f t="shared" si="1"/>
        <v>0.12410392209419953</v>
      </c>
      <c r="T18" s="57">
        <f t="shared" si="2"/>
        <v>-2.8510762399996652E-2</v>
      </c>
      <c r="U18" s="161">
        <f t="shared" si="5"/>
        <v>-1.8471591093899183E-3</v>
      </c>
      <c r="V18" s="59">
        <f t="shared" si="6"/>
        <v>-2.6422675517867172E-2</v>
      </c>
      <c r="W18" s="60">
        <f t="shared" si="7"/>
        <v>0.97735769304024456</v>
      </c>
      <c r="X18" s="60">
        <f t="shared" si="8"/>
        <v>-2.5824405188093608E-2</v>
      </c>
      <c r="Y18" s="51">
        <v>0.98</v>
      </c>
      <c r="Z18" s="51">
        <v>1</v>
      </c>
      <c r="AA18" s="61">
        <v>2734</v>
      </c>
      <c r="AB18" s="61">
        <v>1912720217</v>
      </c>
      <c r="AC18" s="61">
        <v>46879524</v>
      </c>
      <c r="AD18" s="61">
        <v>47790750</v>
      </c>
      <c r="AE18" s="51">
        <v>1911808990</v>
      </c>
      <c r="AF18" s="5"/>
    </row>
    <row r="19" spans="1:241" ht="16.5" customHeight="1" x14ac:dyDescent="0.25">
      <c r="A19" s="62">
        <v>16</v>
      </c>
      <c r="B19" s="75" t="s">
        <v>45</v>
      </c>
      <c r="C19" s="48" t="s">
        <v>44</v>
      </c>
      <c r="D19" s="49">
        <v>234634831.30000001</v>
      </c>
      <c r="E19" s="50"/>
      <c r="F19" s="51">
        <v>88071873.799999997</v>
      </c>
      <c r="G19" s="51"/>
      <c r="H19" s="51"/>
      <c r="I19" s="51"/>
      <c r="J19" s="52">
        <v>322706705.10000002</v>
      </c>
      <c r="K19" s="52">
        <v>1568302.33</v>
      </c>
      <c r="L19" s="52">
        <v>704583.07</v>
      </c>
      <c r="M19" s="53">
        <v>-16404949.210000001</v>
      </c>
      <c r="N19" s="54">
        <v>323941761.52999997</v>
      </c>
      <c r="O19" s="54">
        <v>9147704.0899999999</v>
      </c>
      <c r="P19" s="55">
        <v>327796957.89999998</v>
      </c>
      <c r="Q19" s="56">
        <f t="shared" si="0"/>
        <v>1.9602694267183959E-2</v>
      </c>
      <c r="R19" s="55">
        <v>314794057.44</v>
      </c>
      <c r="S19" s="56">
        <f t="shared" si="1"/>
        <v>2.0908072479165339E-2</v>
      </c>
      <c r="T19" s="57">
        <f t="shared" si="2"/>
        <v>-3.9667544638918625E-2</v>
      </c>
      <c r="U19" s="161">
        <f t="shared" si="5"/>
        <v>2.2382349772733369E-3</v>
      </c>
      <c r="V19" s="59">
        <f t="shared" si="6"/>
        <v>-5.2113274765762684E-2</v>
      </c>
      <c r="W19" s="60">
        <f t="shared" si="7"/>
        <v>1.2400000000236344</v>
      </c>
      <c r="X19" s="60">
        <f t="shared" si="8"/>
        <v>-6.46204607107774E-2</v>
      </c>
      <c r="Y19" s="51">
        <v>1.22</v>
      </c>
      <c r="Z19" s="51">
        <v>1.26</v>
      </c>
      <c r="AA19" s="61">
        <v>98</v>
      </c>
      <c r="AB19" s="61">
        <v>253372830.47999999</v>
      </c>
      <c r="AC19" s="61">
        <v>621642.43999999994</v>
      </c>
      <c r="AD19" s="61">
        <v>128297.57</v>
      </c>
      <c r="AE19" s="51">
        <v>253866175.34999999</v>
      </c>
      <c r="AF19" s="24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</row>
    <row r="20" spans="1:241" ht="16.5" customHeight="1" x14ac:dyDescent="0.25">
      <c r="A20" s="86"/>
      <c r="C20" s="160" t="s">
        <v>52</v>
      </c>
      <c r="D20" s="87"/>
      <c r="E20" s="87"/>
      <c r="F20" s="87"/>
      <c r="G20" s="87"/>
      <c r="H20" s="87"/>
      <c r="I20" s="87"/>
      <c r="J20" s="87"/>
      <c r="K20" s="87"/>
      <c r="L20" s="87"/>
      <c r="M20" s="53"/>
      <c r="N20" s="87"/>
      <c r="O20" s="87"/>
      <c r="P20" s="88">
        <f>SUM(P4:P19)</f>
        <v>16722035932.007113</v>
      </c>
      <c r="Q20" s="89">
        <f>(P20/$P$150)</f>
        <v>1.2056225684445993E-2</v>
      </c>
      <c r="R20" s="88">
        <f>SUM(R4:R19)</f>
        <v>15056101309.85</v>
      </c>
      <c r="S20" s="89">
        <f>(R20/$R$150)</f>
        <v>1.1073455134872191E-2</v>
      </c>
      <c r="T20" s="90">
        <f t="shared" si="2"/>
        <v>-9.9625107189753134E-2</v>
      </c>
      <c r="U20" s="163"/>
      <c r="V20" s="92"/>
      <c r="W20" s="93"/>
      <c r="X20" s="93"/>
      <c r="Y20" s="87"/>
      <c r="Z20" s="87"/>
      <c r="AA20" s="94">
        <f>SUM(AA4:AA19)</f>
        <v>42332</v>
      </c>
      <c r="AB20" s="94"/>
      <c r="AC20" s="94"/>
      <c r="AD20" s="94"/>
      <c r="AE20" s="87"/>
      <c r="AF20" s="5"/>
    </row>
    <row r="21" spans="1:241" ht="15.75" customHeight="1" x14ac:dyDescent="0.25">
      <c r="A21" s="176" t="s">
        <v>53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8"/>
      <c r="AF21" s="5"/>
    </row>
    <row r="22" spans="1:241" ht="18" customHeight="1" x14ac:dyDescent="0.25">
      <c r="A22" s="62">
        <v>17</v>
      </c>
      <c r="B22" s="97" t="s">
        <v>68</v>
      </c>
      <c r="C22" s="48" t="s">
        <v>44</v>
      </c>
      <c r="D22" s="51"/>
      <c r="E22" s="51"/>
      <c r="F22" s="51">
        <v>12842010239.4</v>
      </c>
      <c r="G22" s="51"/>
      <c r="H22" s="51"/>
      <c r="I22" s="51"/>
      <c r="J22" s="51">
        <v>12842010239.4</v>
      </c>
      <c r="K22" s="51">
        <v>94053605.010000005</v>
      </c>
      <c r="L22" s="51">
        <v>24650782.260000002</v>
      </c>
      <c r="M22" s="53">
        <v>69402822.739999995</v>
      </c>
      <c r="N22" s="72">
        <v>12848883813.549999</v>
      </c>
      <c r="O22" s="72">
        <v>206773042.41999999</v>
      </c>
      <c r="P22" s="80">
        <v>20073120282.130001</v>
      </c>
      <c r="Q22" s="56">
        <f t="shared" ref="Q22:Q50" si="9">(P22/$P$51)</f>
        <v>3.447230727401418E-2</v>
      </c>
      <c r="R22" s="80">
        <v>12642110771.129999</v>
      </c>
      <c r="S22" s="56">
        <f t="shared" ref="S22:S50" si="10">(R22/$R$51)</f>
        <v>2.2650282918293869E-2</v>
      </c>
      <c r="T22" s="57">
        <f t="shared" ref="T22:T30" si="11">((R22-P22)/P22)</f>
        <v>-0.3701970299861862</v>
      </c>
      <c r="U22" s="161">
        <f t="shared" ref="U22:U30" si="12">(L22/R22)</f>
        <v>1.9498944999195432E-3</v>
      </c>
      <c r="V22" s="59">
        <f t="shared" ref="V22:V30" si="13">M22/R22</f>
        <v>5.4898128956828076E-3</v>
      </c>
      <c r="W22" s="60">
        <f t="shared" ref="W22:W30" si="14">R22/AE22</f>
        <v>100.00000000102831</v>
      </c>
      <c r="X22" s="60">
        <f t="shared" ref="X22:X30" si="15">M22/AE22</f>
        <v>0.548981289573926</v>
      </c>
      <c r="Y22" s="72">
        <v>100</v>
      </c>
      <c r="Z22" s="72">
        <v>100</v>
      </c>
      <c r="AA22" s="61">
        <v>5647</v>
      </c>
      <c r="AB22" s="51">
        <v>200731202.81999999</v>
      </c>
      <c r="AC22" s="51">
        <v>74674778.040000007</v>
      </c>
      <c r="AD22" s="51">
        <v>148984873.15000001</v>
      </c>
      <c r="AE22" s="51">
        <v>126421107.70999999</v>
      </c>
      <c r="AF22" s="5"/>
    </row>
    <row r="23" spans="1:241" ht="18" customHeight="1" x14ac:dyDescent="0.25">
      <c r="A23" s="62">
        <v>18</v>
      </c>
      <c r="B23" s="48" t="s">
        <v>75</v>
      </c>
      <c r="C23" s="48" t="s">
        <v>31</v>
      </c>
      <c r="D23" s="51"/>
      <c r="E23" s="51"/>
      <c r="F23" s="51">
        <v>583398363.94000006</v>
      </c>
      <c r="G23" s="51"/>
      <c r="H23" s="51"/>
      <c r="I23" s="51"/>
      <c r="J23" s="51">
        <v>583398363.94000006</v>
      </c>
      <c r="K23" s="51">
        <v>4164652.28</v>
      </c>
      <c r="L23" s="51">
        <v>1311945.77</v>
      </c>
      <c r="M23" s="53">
        <v>2852706.51</v>
      </c>
      <c r="N23" s="72">
        <v>609471708.26999998</v>
      </c>
      <c r="O23" s="72">
        <v>21506047.23</v>
      </c>
      <c r="P23" s="80">
        <v>575319332.97000003</v>
      </c>
      <c r="Q23" s="56">
        <f t="shared" si="9"/>
        <v>9.880170371159775E-4</v>
      </c>
      <c r="R23" s="80">
        <v>587965661.03999996</v>
      </c>
      <c r="S23" s="56">
        <f t="shared" si="10"/>
        <v>1.0534307767030662E-3</v>
      </c>
      <c r="T23" s="57">
        <f t="shared" si="11"/>
        <v>2.1981406403840376E-2</v>
      </c>
      <c r="U23" s="161">
        <f t="shared" si="12"/>
        <v>2.2313305979118174E-3</v>
      </c>
      <c r="V23" s="59">
        <f t="shared" si="13"/>
        <v>4.8518250282747841E-3</v>
      </c>
      <c r="W23" s="60">
        <f t="shared" si="14"/>
        <v>101.09242261851543</v>
      </c>
      <c r="X23" s="60">
        <f t="shared" si="15"/>
        <v>0.49048274622944504</v>
      </c>
      <c r="Y23" s="72">
        <v>100</v>
      </c>
      <c r="Z23" s="72">
        <v>100</v>
      </c>
      <c r="AA23" s="61">
        <v>630</v>
      </c>
      <c r="AB23" s="51">
        <v>5688270</v>
      </c>
      <c r="AC23" s="51">
        <v>155750</v>
      </c>
      <c r="AD23" s="51">
        <v>27900</v>
      </c>
      <c r="AE23" s="51">
        <v>5816120</v>
      </c>
      <c r="AF23" s="5"/>
    </row>
    <row r="24" spans="1:241" ht="18" customHeight="1" x14ac:dyDescent="0.25">
      <c r="A24" s="62">
        <v>19</v>
      </c>
      <c r="B24" s="48" t="s">
        <v>59</v>
      </c>
      <c r="C24" s="48" t="s">
        <v>58</v>
      </c>
      <c r="D24" s="51"/>
      <c r="E24" s="51"/>
      <c r="F24" s="51">
        <v>1046498382.46</v>
      </c>
      <c r="G24" s="51"/>
      <c r="H24" s="51"/>
      <c r="I24" s="51"/>
      <c r="J24" s="51">
        <v>1167870656.6199999</v>
      </c>
      <c r="K24" s="51">
        <v>9570954.3599999994</v>
      </c>
      <c r="L24" s="51">
        <v>2064749.44</v>
      </c>
      <c r="M24" s="53">
        <v>7506205</v>
      </c>
      <c r="N24" s="72">
        <v>1167870656.6199999</v>
      </c>
      <c r="O24" s="72">
        <v>133776581.48999999</v>
      </c>
      <c r="P24" s="80">
        <v>1052226557.34</v>
      </c>
      <c r="Q24" s="56">
        <f t="shared" si="9"/>
        <v>1.8070273428687695E-3</v>
      </c>
      <c r="R24" s="80">
        <v>1034094075.13</v>
      </c>
      <c r="S24" s="56">
        <f t="shared" si="10"/>
        <v>1.8527383432926797E-3</v>
      </c>
      <c r="T24" s="57">
        <f t="shared" si="11"/>
        <v>-1.7232488653240664E-2</v>
      </c>
      <c r="U24" s="161">
        <f t="shared" si="12"/>
        <v>1.9966746639955677E-3</v>
      </c>
      <c r="V24" s="59">
        <f t="shared" si="13"/>
        <v>7.2587254685279635E-3</v>
      </c>
      <c r="W24" s="60">
        <f t="shared" si="14"/>
        <v>100.99717640807611</v>
      </c>
      <c r="X24" s="60">
        <f t="shared" si="15"/>
        <v>0.73311077664271362</v>
      </c>
      <c r="Y24" s="72">
        <v>100</v>
      </c>
      <c r="Z24" s="72">
        <v>100</v>
      </c>
      <c r="AA24" s="61">
        <v>855</v>
      </c>
      <c r="AB24" s="51">
        <v>10291706.91</v>
      </c>
      <c r="AC24" s="51">
        <v>279088.36</v>
      </c>
      <c r="AD24" s="51">
        <v>331953.83</v>
      </c>
      <c r="AE24" s="51">
        <v>10238841.439999999</v>
      </c>
      <c r="AF24" s="5"/>
    </row>
    <row r="25" spans="1:241" ht="18" customHeight="1" x14ac:dyDescent="0.25">
      <c r="A25" s="62">
        <v>20</v>
      </c>
      <c r="B25" s="48" t="s">
        <v>83</v>
      </c>
      <c r="C25" s="48" t="s">
        <v>50</v>
      </c>
      <c r="D25" s="51"/>
      <c r="E25" s="51"/>
      <c r="F25" s="51">
        <v>443865622.23000002</v>
      </c>
      <c r="G25" s="51"/>
      <c r="H25" s="51"/>
      <c r="I25" s="51"/>
      <c r="J25" s="51">
        <v>443865622.23000002</v>
      </c>
      <c r="K25" s="51">
        <v>2378790.66</v>
      </c>
      <c r="L25" s="51">
        <v>654927.27</v>
      </c>
      <c r="M25" s="53">
        <v>1723863.39</v>
      </c>
      <c r="N25" s="72">
        <v>451083104.25999999</v>
      </c>
      <c r="O25" s="72">
        <v>654927.27</v>
      </c>
      <c r="P25" s="80">
        <v>442750355.81999999</v>
      </c>
      <c r="Q25" s="56">
        <f t="shared" si="9"/>
        <v>7.603514599119715E-4</v>
      </c>
      <c r="R25" s="80">
        <v>450428176.99000001</v>
      </c>
      <c r="S25" s="56">
        <f t="shared" si="10"/>
        <v>8.0701125214732814E-4</v>
      </c>
      <c r="T25" s="57">
        <f t="shared" si="11"/>
        <v>1.7341197063027166E-2</v>
      </c>
      <c r="U25" s="161">
        <f t="shared" si="12"/>
        <v>1.4540104359735473E-3</v>
      </c>
      <c r="V25" s="59">
        <f t="shared" si="13"/>
        <v>3.8271659679902119E-3</v>
      </c>
      <c r="W25" s="60">
        <f t="shared" si="14"/>
        <v>99.653064865390007</v>
      </c>
      <c r="X25" s="60">
        <f t="shared" si="15"/>
        <v>0.38138881845874173</v>
      </c>
      <c r="Y25" s="72">
        <v>100</v>
      </c>
      <c r="Z25" s="72">
        <v>100</v>
      </c>
      <c r="AA25" s="61">
        <v>945</v>
      </c>
      <c r="AB25" s="51">
        <v>4389677.99</v>
      </c>
      <c r="AC25" s="51">
        <v>421256.58</v>
      </c>
      <c r="AD25" s="51">
        <v>290971.46000000002</v>
      </c>
      <c r="AE25" s="51">
        <v>4519963.1100000003</v>
      </c>
      <c r="AF25" s="5"/>
    </row>
    <row r="26" spans="1:241" ht="18" customHeight="1" x14ac:dyDescent="0.25">
      <c r="A26" s="62">
        <v>21</v>
      </c>
      <c r="B26" s="48" t="s">
        <v>60</v>
      </c>
      <c r="C26" s="63" t="s">
        <v>35</v>
      </c>
      <c r="D26" s="51"/>
      <c r="E26" s="51"/>
      <c r="F26" s="51">
        <v>23249699683.599998</v>
      </c>
      <c r="G26" s="51"/>
      <c r="H26" s="51"/>
      <c r="I26" s="95"/>
      <c r="J26" s="51">
        <v>23249699683.599998</v>
      </c>
      <c r="K26" s="51">
        <v>510663544.73000002</v>
      </c>
      <c r="L26" s="51">
        <v>122614168.34</v>
      </c>
      <c r="M26" s="53">
        <v>388049376.38999999</v>
      </c>
      <c r="N26" s="72">
        <v>66922305790</v>
      </c>
      <c r="O26" s="72">
        <v>1212140663</v>
      </c>
      <c r="P26" s="80">
        <v>66817771337</v>
      </c>
      <c r="Q26" s="56">
        <f t="shared" si="9"/>
        <v>0.11474861469068358</v>
      </c>
      <c r="R26" s="80">
        <v>65710165127</v>
      </c>
      <c r="S26" s="56">
        <f t="shared" si="10"/>
        <v>0.11772985205391638</v>
      </c>
      <c r="T26" s="57">
        <f t="shared" si="11"/>
        <v>-1.6576521303198102E-2</v>
      </c>
      <c r="U26" s="161">
        <f t="shared" si="12"/>
        <v>1.865984784896217E-3</v>
      </c>
      <c r="V26" s="59">
        <f t="shared" si="13"/>
        <v>5.9054695059737768E-3</v>
      </c>
      <c r="W26" s="60">
        <f t="shared" si="14"/>
        <v>1</v>
      </c>
      <c r="X26" s="60">
        <f t="shared" si="15"/>
        <v>5.9054695059737768E-3</v>
      </c>
      <c r="Y26" s="72">
        <v>1</v>
      </c>
      <c r="Z26" s="72">
        <v>1</v>
      </c>
      <c r="AA26" s="61">
        <v>27160</v>
      </c>
      <c r="AB26" s="51">
        <v>66817771337</v>
      </c>
      <c r="AC26" s="51">
        <v>6585076495</v>
      </c>
      <c r="AD26" s="51">
        <v>7692682706</v>
      </c>
      <c r="AE26" s="51">
        <v>65710165127</v>
      </c>
      <c r="AF26" s="5"/>
    </row>
    <row r="27" spans="1:241" ht="18" customHeight="1" x14ac:dyDescent="0.25">
      <c r="A27" s="62">
        <v>22</v>
      </c>
      <c r="B27" s="74" t="s">
        <v>43</v>
      </c>
      <c r="C27" s="73" t="s">
        <v>42</v>
      </c>
      <c r="D27" s="51"/>
      <c r="E27" s="51"/>
      <c r="F27" s="51">
        <f>13459992103.79+18080156887.27</f>
        <v>31540148991.060001</v>
      </c>
      <c r="G27" s="51"/>
      <c r="H27" s="51"/>
      <c r="I27" s="51"/>
      <c r="J27" s="51">
        <f>13459992103.79+18080156887.27</f>
        <v>31540148991.060001</v>
      </c>
      <c r="K27" s="51">
        <v>240665498.58000001</v>
      </c>
      <c r="L27" s="51">
        <v>40817157.979999997</v>
      </c>
      <c r="M27" s="53">
        <v>199848340.59999999</v>
      </c>
      <c r="N27" s="72">
        <v>31842458928.639999</v>
      </c>
      <c r="O27" s="72">
        <v>166419266.74000001</v>
      </c>
      <c r="P27" s="80">
        <v>32297953610.490002</v>
      </c>
      <c r="Q27" s="56">
        <f t="shared" si="9"/>
        <v>5.5466462888375791E-2</v>
      </c>
      <c r="R27" s="80">
        <v>31676039701.900002</v>
      </c>
      <c r="S27" s="56">
        <f t="shared" si="10"/>
        <v>5.6752489672657232E-2</v>
      </c>
      <c r="T27" s="57">
        <f t="shared" si="11"/>
        <v>-1.9255520522761842E-2</v>
      </c>
      <c r="U27" s="161">
        <f t="shared" si="12"/>
        <v>1.288581475592471E-3</v>
      </c>
      <c r="V27" s="59">
        <f t="shared" si="13"/>
        <v>6.3091327855613411E-3</v>
      </c>
      <c r="W27" s="60">
        <f t="shared" si="14"/>
        <v>1.0060656123765905</v>
      </c>
      <c r="X27" s="60">
        <f t="shared" si="15"/>
        <v>6.3474015394709956E-3</v>
      </c>
      <c r="Y27" s="72">
        <v>1</v>
      </c>
      <c r="Z27" s="72">
        <v>1</v>
      </c>
      <c r="AA27" s="71">
        <v>20627</v>
      </c>
      <c r="AB27" s="72">
        <v>31798502679.099998</v>
      </c>
      <c r="AC27" s="72">
        <v>5512399935.1599998</v>
      </c>
      <c r="AD27" s="72">
        <v>5825839103.2700005</v>
      </c>
      <c r="AE27" s="51">
        <v>31485063510.990002</v>
      </c>
      <c r="AF27" s="5"/>
    </row>
    <row r="28" spans="1:241" ht="18" customHeight="1" x14ac:dyDescent="0.25">
      <c r="A28" s="62">
        <v>23</v>
      </c>
      <c r="B28" s="63" t="s">
        <v>67</v>
      </c>
      <c r="C28" s="63" t="s">
        <v>29</v>
      </c>
      <c r="D28" s="51"/>
      <c r="E28" s="51"/>
      <c r="F28" s="51">
        <v>3411611651.5300002</v>
      </c>
      <c r="G28" s="51"/>
      <c r="H28" s="51"/>
      <c r="I28" s="51"/>
      <c r="J28" s="51">
        <v>3432799652.2600002</v>
      </c>
      <c r="K28" s="51">
        <v>21525290.77</v>
      </c>
      <c r="L28" s="51">
        <v>5742650.9199999999</v>
      </c>
      <c r="M28" s="53">
        <v>15782639.85</v>
      </c>
      <c r="N28" s="72">
        <v>3432799652.2600002</v>
      </c>
      <c r="O28" s="72">
        <v>19672798.800000001</v>
      </c>
      <c r="P28" s="80">
        <v>2521082996.3099999</v>
      </c>
      <c r="Q28" s="56">
        <f t="shared" si="9"/>
        <v>4.3295484952311928E-3</v>
      </c>
      <c r="R28" s="80">
        <v>3413126853.46</v>
      </c>
      <c r="S28" s="56">
        <f t="shared" si="10"/>
        <v>6.1151409180371418E-3</v>
      </c>
      <c r="T28" s="57">
        <f t="shared" si="11"/>
        <v>0.35383359391802893</v>
      </c>
      <c r="U28" s="161">
        <f t="shared" si="12"/>
        <v>1.6825190409136079E-3</v>
      </c>
      <c r="V28" s="59">
        <f t="shared" si="13"/>
        <v>4.6240999903067225E-3</v>
      </c>
      <c r="W28" s="60">
        <f t="shared" si="14"/>
        <v>100.00000001347738</v>
      </c>
      <c r="X28" s="60">
        <f t="shared" si="15"/>
        <v>0.46240999909299296</v>
      </c>
      <c r="Y28" s="72">
        <v>100</v>
      </c>
      <c r="Z28" s="72">
        <v>100</v>
      </c>
      <c r="AA28" s="61">
        <v>1496</v>
      </c>
      <c r="AB28" s="51">
        <v>25210829.969999999</v>
      </c>
      <c r="AC28" s="51">
        <v>12065792.949999999</v>
      </c>
      <c r="AD28" s="51">
        <v>3145354.39</v>
      </c>
      <c r="AE28" s="51">
        <v>34131268.530000001</v>
      </c>
      <c r="AF28" s="5"/>
    </row>
    <row r="29" spans="1:241" ht="16.5" customHeight="1" x14ac:dyDescent="0.25">
      <c r="A29" s="62">
        <v>24</v>
      </c>
      <c r="B29" s="48" t="s">
        <v>149</v>
      </c>
      <c r="C29" s="48" t="s">
        <v>81</v>
      </c>
      <c r="D29" s="51"/>
      <c r="E29" s="51"/>
      <c r="F29" s="51">
        <v>5913100330.9700003</v>
      </c>
      <c r="G29" s="51"/>
      <c r="H29" s="51"/>
      <c r="I29" s="51"/>
      <c r="J29" s="51">
        <v>5913100330.9700003</v>
      </c>
      <c r="K29" s="51">
        <v>51525437.020000003</v>
      </c>
      <c r="L29" s="51">
        <v>10612519.539999999</v>
      </c>
      <c r="M29" s="53">
        <v>41942213.619999997</v>
      </c>
      <c r="N29" s="72">
        <v>5972375216.0699997</v>
      </c>
      <c r="O29" s="72">
        <v>118707849.69</v>
      </c>
      <c r="P29" s="80">
        <v>5770174542.6599998</v>
      </c>
      <c r="Q29" s="56">
        <f t="shared" si="9"/>
        <v>9.9093328323424396E-3</v>
      </c>
      <c r="R29" s="80">
        <v>5853667366.3800001</v>
      </c>
      <c r="S29" s="56">
        <f t="shared" si="10"/>
        <v>1.0487744045153628E-2</v>
      </c>
      <c r="T29" s="57">
        <f t="shared" si="11"/>
        <v>1.4469722380618111E-2</v>
      </c>
      <c r="U29" s="161">
        <f t="shared" si="12"/>
        <v>1.812969353358209E-3</v>
      </c>
      <c r="V29" s="59">
        <f t="shared" si="13"/>
        <v>7.1651173520537303E-3</v>
      </c>
      <c r="W29" s="60">
        <f t="shared" si="14"/>
        <v>99.999999989408352</v>
      </c>
      <c r="X29" s="60">
        <f t="shared" si="15"/>
        <v>0.71651173512948252</v>
      </c>
      <c r="Y29" s="72">
        <v>100</v>
      </c>
      <c r="Z29" s="72">
        <v>100</v>
      </c>
      <c r="AA29" s="61">
        <v>1157</v>
      </c>
      <c r="AB29" s="51">
        <v>57689873.390000001</v>
      </c>
      <c r="AC29" s="51">
        <v>5696555.3899999997</v>
      </c>
      <c r="AD29" s="51">
        <v>4849755.12</v>
      </c>
      <c r="AE29" s="51">
        <v>58536673.670000002</v>
      </c>
      <c r="AF29" s="5"/>
    </row>
    <row r="30" spans="1:241" ht="18" customHeight="1" x14ac:dyDescent="0.25">
      <c r="A30" s="62">
        <v>25</v>
      </c>
      <c r="B30" s="48" t="s">
        <v>65</v>
      </c>
      <c r="C30" s="48" t="s">
        <v>64</v>
      </c>
      <c r="D30" s="51"/>
      <c r="E30" s="51"/>
      <c r="F30" s="51">
        <v>2627736620.98</v>
      </c>
      <c r="G30" s="51"/>
      <c r="H30" s="51"/>
      <c r="I30" s="51"/>
      <c r="J30" s="51">
        <v>2627736620.98</v>
      </c>
      <c r="K30" s="51">
        <v>37263129.130000003</v>
      </c>
      <c r="L30" s="51">
        <v>6740219.96</v>
      </c>
      <c r="M30" s="53" t="s">
        <v>90</v>
      </c>
      <c r="N30" s="72">
        <v>5191692172.8299999</v>
      </c>
      <c r="O30" s="72">
        <v>45135272.960000001</v>
      </c>
      <c r="P30" s="80">
        <v>6360842062.6999998</v>
      </c>
      <c r="Q30" s="56">
        <f t="shared" si="9"/>
        <v>1.0923707875256206E-2</v>
      </c>
      <c r="R30" s="80">
        <v>5146556899.8699999</v>
      </c>
      <c r="S30" s="56">
        <f t="shared" si="10"/>
        <v>9.2208470521678056E-3</v>
      </c>
      <c r="T30" s="57">
        <f t="shared" si="11"/>
        <v>-0.19090006493803272</v>
      </c>
      <c r="U30" s="161">
        <f t="shared" si="12"/>
        <v>1.3096561625832322E-3</v>
      </c>
      <c r="V30" s="59" t="e">
        <f t="shared" si="13"/>
        <v>#VALUE!</v>
      </c>
      <c r="W30" s="60">
        <f t="shared" si="14"/>
        <v>99.999999997474035</v>
      </c>
      <c r="X30" s="60" t="e">
        <f t="shared" si="15"/>
        <v>#VALUE!</v>
      </c>
      <c r="Y30" s="72">
        <v>100</v>
      </c>
      <c r="Z30" s="72">
        <v>100</v>
      </c>
      <c r="AA30" s="61">
        <v>5213</v>
      </c>
      <c r="AB30" s="51">
        <v>63608421</v>
      </c>
      <c r="AC30" s="51">
        <v>5627472</v>
      </c>
      <c r="AD30" s="51">
        <v>17770324</v>
      </c>
      <c r="AE30" s="51">
        <v>51465569</v>
      </c>
      <c r="AF30" s="5"/>
    </row>
    <row r="31" spans="1:241" ht="18" customHeight="1" x14ac:dyDescent="0.25">
      <c r="A31" s="62">
        <v>26</v>
      </c>
      <c r="B31" s="48" t="s">
        <v>154</v>
      </c>
      <c r="C31" s="63" t="s">
        <v>153</v>
      </c>
      <c r="D31" s="51"/>
      <c r="E31" s="51"/>
      <c r="F31" s="72">
        <v>9937155.7799999993</v>
      </c>
      <c r="G31" s="72"/>
      <c r="H31" s="101"/>
      <c r="I31" s="102"/>
      <c r="J31" s="72">
        <v>9937155.7799999993</v>
      </c>
      <c r="K31" s="70">
        <v>50848.53</v>
      </c>
      <c r="L31" s="70">
        <v>13988.97</v>
      </c>
      <c r="M31" s="53">
        <v>36859.56</v>
      </c>
      <c r="N31" s="70">
        <v>10373838.85</v>
      </c>
      <c r="O31" s="70">
        <v>278466.88</v>
      </c>
      <c r="P31" s="103">
        <v>16079389.1</v>
      </c>
      <c r="Q31" s="56">
        <f t="shared" si="9"/>
        <v>2.7613725920184493E-5</v>
      </c>
      <c r="R31" s="103">
        <v>10095371.970000001</v>
      </c>
      <c r="S31" s="56">
        <f t="shared" si="10"/>
        <v>1.8087409248785991E-5</v>
      </c>
      <c r="T31" s="57" t="e">
        <f>((#REF!-P31)/P31)</f>
        <v>#REF!</v>
      </c>
      <c r="U31" s="161" t="e">
        <f>(#REF!/#REF!)</f>
        <v>#REF!</v>
      </c>
      <c r="V31" s="59" t="e">
        <f>#REF!/#REF!</f>
        <v>#REF!</v>
      </c>
      <c r="W31" s="60" t="e">
        <f>#REF!/AE31</f>
        <v>#REF!</v>
      </c>
      <c r="X31" s="60" t="e">
        <f>#REF!/AE31</f>
        <v>#REF!</v>
      </c>
      <c r="Y31" s="72">
        <v>100</v>
      </c>
      <c r="Z31" s="72">
        <v>100</v>
      </c>
      <c r="AA31" s="61">
        <v>72</v>
      </c>
      <c r="AB31" s="51">
        <v>158885</v>
      </c>
      <c r="AC31" s="51">
        <v>0</v>
      </c>
      <c r="AD31" s="51">
        <f>AB31-AE31</f>
        <v>60000</v>
      </c>
      <c r="AE31" s="51">
        <v>98885</v>
      </c>
      <c r="AF31" s="5"/>
    </row>
    <row r="32" spans="1:241" ht="18" customHeight="1" x14ac:dyDescent="0.25">
      <c r="A32" s="62">
        <v>27</v>
      </c>
      <c r="B32" s="48" t="s">
        <v>72</v>
      </c>
      <c r="C32" s="48" t="s">
        <v>71</v>
      </c>
      <c r="D32" s="51"/>
      <c r="E32" s="51"/>
      <c r="F32" s="51">
        <v>2376766955.8600001</v>
      </c>
      <c r="G32" s="51"/>
      <c r="H32" s="51"/>
      <c r="I32" s="51"/>
      <c r="J32" s="51">
        <v>2376766955.8600001</v>
      </c>
      <c r="K32" s="51">
        <v>34416061.789999999</v>
      </c>
      <c r="L32" s="51">
        <v>6325395.2699999996</v>
      </c>
      <c r="M32" s="53">
        <v>28090666.510000002</v>
      </c>
      <c r="N32" s="72">
        <v>5101244514.7799997</v>
      </c>
      <c r="O32" s="72">
        <v>19246266.84</v>
      </c>
      <c r="P32" s="80">
        <v>5053155435.9200001</v>
      </c>
      <c r="Q32" s="56">
        <f t="shared" si="9"/>
        <v>8.6779695653726851E-3</v>
      </c>
      <c r="R32" s="80">
        <v>5081998247.9499998</v>
      </c>
      <c r="S32" s="56">
        <f t="shared" si="10"/>
        <v>9.1051803128641955E-3</v>
      </c>
      <c r="T32" s="57">
        <f t="shared" ref="T32:T50" si="16">((R32-P32)/P32)</f>
        <v>5.7078814209775997E-3</v>
      </c>
      <c r="U32" s="161">
        <f t="shared" ref="U32:U50" si="17">(L32/R32)</f>
        <v>1.2446669521288338E-3</v>
      </c>
      <c r="V32" s="59">
        <f t="shared" ref="V32:V50" si="18">M32/R32</f>
        <v>5.527484493197404E-3</v>
      </c>
      <c r="W32" s="60">
        <f t="shared" ref="W32:W50" si="19">R32/AE32</f>
        <v>1.0043501772466479</v>
      </c>
      <c r="X32" s="60">
        <f t="shared" ref="X32:X50" si="20">M32/AE32</f>
        <v>5.5515300304709112E-3</v>
      </c>
      <c r="Y32" s="72">
        <v>1</v>
      </c>
      <c r="Z32" s="72">
        <v>1</v>
      </c>
      <c r="AA32" s="61">
        <v>1615</v>
      </c>
      <c r="AB32" s="51">
        <v>4994049101.4200001</v>
      </c>
      <c r="AC32" s="51">
        <v>5447771794.0100002</v>
      </c>
      <c r="AD32" s="51">
        <v>5381834485.2200003</v>
      </c>
      <c r="AE32" s="51">
        <v>5059986410.1999998</v>
      </c>
      <c r="AF32" s="5"/>
    </row>
    <row r="33" spans="1:241" ht="16.5" customHeight="1" x14ac:dyDescent="0.25">
      <c r="A33" s="62">
        <v>28</v>
      </c>
      <c r="B33" s="48" t="s">
        <v>167</v>
      </c>
      <c r="C33" s="48" t="s">
        <v>69</v>
      </c>
      <c r="D33" s="51"/>
      <c r="E33" s="51"/>
      <c r="F33" s="51">
        <f>5202985569.13+5634885917.22</f>
        <v>10837871486.35</v>
      </c>
      <c r="G33" s="51"/>
      <c r="H33" s="51"/>
      <c r="I33" s="51"/>
      <c r="J33" s="51">
        <v>11364552043.48</v>
      </c>
      <c r="K33" s="51">
        <v>75502829.680000007</v>
      </c>
      <c r="L33" s="51">
        <v>18315747.109999999</v>
      </c>
      <c r="M33" s="53">
        <v>57187082.57</v>
      </c>
      <c r="N33" s="72">
        <v>11364552043.48</v>
      </c>
      <c r="O33" s="72">
        <v>121824843.09999999</v>
      </c>
      <c r="P33" s="80">
        <v>11659178901.5</v>
      </c>
      <c r="Q33" s="56">
        <f t="shared" si="9"/>
        <v>2.0022736475754463E-2</v>
      </c>
      <c r="R33" s="80">
        <v>11242727200.379999</v>
      </c>
      <c r="S33" s="56">
        <f t="shared" si="10"/>
        <v>2.0143072345429489E-2</v>
      </c>
      <c r="T33" s="57">
        <f t="shared" si="16"/>
        <v>-3.5718784713597858E-2</v>
      </c>
      <c r="U33" s="161">
        <f t="shared" si="17"/>
        <v>1.6291195884732431E-3</v>
      </c>
      <c r="V33" s="59">
        <f t="shared" si="18"/>
        <v>5.0865845582437601E-3</v>
      </c>
      <c r="W33" s="60">
        <f t="shared" si="19"/>
        <v>100.00000000337995</v>
      </c>
      <c r="X33" s="60">
        <f t="shared" si="20"/>
        <v>0.50865845584156844</v>
      </c>
      <c r="Y33" s="72">
        <v>100</v>
      </c>
      <c r="Z33" s="72">
        <v>100</v>
      </c>
      <c r="AA33" s="61">
        <v>3650</v>
      </c>
      <c r="AB33" s="51">
        <v>116591789</v>
      </c>
      <c r="AC33" s="51">
        <v>3455394</v>
      </c>
      <c r="AD33" s="51">
        <v>7619911</v>
      </c>
      <c r="AE33" s="51">
        <v>112427272</v>
      </c>
      <c r="AF33" s="5"/>
    </row>
    <row r="34" spans="1:241" ht="16.5" customHeight="1" x14ac:dyDescent="0.25">
      <c r="A34" s="62">
        <v>29</v>
      </c>
      <c r="B34" s="48" t="s">
        <v>70</v>
      </c>
      <c r="C34" s="48" t="s">
        <v>69</v>
      </c>
      <c r="D34" s="51"/>
      <c r="E34" s="51"/>
      <c r="F34" s="51">
        <f>193334746.35+195112932.94</f>
        <v>388447679.28999996</v>
      </c>
      <c r="G34" s="51"/>
      <c r="H34" s="51"/>
      <c r="I34" s="51"/>
      <c r="J34" s="51">
        <v>392778168.04000002</v>
      </c>
      <c r="K34" s="51">
        <v>2638367.9500000002</v>
      </c>
      <c r="L34" s="51">
        <v>359707.44</v>
      </c>
      <c r="M34" s="53">
        <v>2278660.5099999998</v>
      </c>
      <c r="N34" s="72">
        <v>392778168.04000002</v>
      </c>
      <c r="O34" s="72">
        <v>2504870.9</v>
      </c>
      <c r="P34" s="80">
        <v>391142814</v>
      </c>
      <c r="Q34" s="56">
        <f t="shared" si="9"/>
        <v>6.717239314425013E-4</v>
      </c>
      <c r="R34" s="80">
        <v>390273297.13</v>
      </c>
      <c r="S34" s="56">
        <f t="shared" si="10"/>
        <v>6.9923454678444744E-4</v>
      </c>
      <c r="T34" s="57">
        <f t="shared" si="16"/>
        <v>-2.2230163481924657E-3</v>
      </c>
      <c r="U34" s="161">
        <f t="shared" si="17"/>
        <v>9.2168089040481165E-4</v>
      </c>
      <c r="V34" s="59">
        <f t="shared" si="18"/>
        <v>5.8386277686863575E-3</v>
      </c>
      <c r="W34" s="60">
        <f t="shared" si="19"/>
        <v>998141.42488491046</v>
      </c>
      <c r="X34" s="60">
        <f t="shared" si="20"/>
        <v>5827.7762404092064</v>
      </c>
      <c r="Y34" s="72">
        <v>1000000</v>
      </c>
      <c r="Z34" s="72">
        <v>1000000</v>
      </c>
      <c r="AA34" s="61">
        <v>13</v>
      </c>
      <c r="AB34" s="51">
        <v>391</v>
      </c>
      <c r="AC34" s="51">
        <v>0</v>
      </c>
      <c r="AD34" s="51">
        <v>0</v>
      </c>
      <c r="AE34" s="51">
        <v>391</v>
      </c>
      <c r="AF34" s="5"/>
    </row>
    <row r="35" spans="1:241" ht="16.5" customHeight="1" x14ac:dyDescent="0.25">
      <c r="A35" s="62">
        <v>30</v>
      </c>
      <c r="B35" s="63" t="s">
        <v>158</v>
      </c>
      <c r="C35" s="63" t="s">
        <v>157</v>
      </c>
      <c r="D35" s="51"/>
      <c r="E35" s="51"/>
      <c r="F35" s="51">
        <v>409301850.39999998</v>
      </c>
      <c r="G35" s="51"/>
      <c r="H35" s="51"/>
      <c r="I35" s="51"/>
      <c r="J35" s="51">
        <v>410304430.49000001</v>
      </c>
      <c r="K35" s="51">
        <v>9183326.9700000007</v>
      </c>
      <c r="L35" s="51">
        <v>1967181.83</v>
      </c>
      <c r="M35" s="53">
        <v>7216145.1399999997</v>
      </c>
      <c r="N35" s="72">
        <v>1104557940.04</v>
      </c>
      <c r="O35" s="72">
        <f>N35-R35</f>
        <v>12149013.349999905</v>
      </c>
      <c r="P35" s="80">
        <v>1012601287.3099999</v>
      </c>
      <c r="Q35" s="56">
        <f t="shared" si="9"/>
        <v>1.7389774101681718E-3</v>
      </c>
      <c r="R35" s="80">
        <v>1092408926.6900001</v>
      </c>
      <c r="S35" s="56">
        <f t="shared" si="10"/>
        <v>1.9572183553796369E-3</v>
      </c>
      <c r="T35" s="57">
        <f t="shared" si="16"/>
        <v>7.8814475529663863E-2</v>
      </c>
      <c r="U35" s="161">
        <f t="shared" si="17"/>
        <v>1.800774217362506E-3</v>
      </c>
      <c r="V35" s="59">
        <f t="shared" si="18"/>
        <v>6.605717844017373E-3</v>
      </c>
      <c r="W35" s="60">
        <f t="shared" si="19"/>
        <v>1.0007914987504671</v>
      </c>
      <c r="X35" s="60">
        <f t="shared" si="20"/>
        <v>6.6109462614368517E-3</v>
      </c>
      <c r="Y35" s="72">
        <v>1</v>
      </c>
      <c r="Z35" s="72">
        <v>1</v>
      </c>
      <c r="AA35" s="61">
        <v>262</v>
      </c>
      <c r="AB35" s="51">
        <v>1011754877.25</v>
      </c>
      <c r="AC35" s="51">
        <v>116953150.03</v>
      </c>
      <c r="AD35" s="51">
        <v>37163057.07</v>
      </c>
      <c r="AE35" s="51">
        <v>1091544970.21</v>
      </c>
      <c r="AF35" s="5"/>
    </row>
    <row r="36" spans="1:241" ht="16.5" customHeight="1" x14ac:dyDescent="0.25">
      <c r="A36" s="62">
        <v>31</v>
      </c>
      <c r="B36" s="48" t="s">
        <v>82</v>
      </c>
      <c r="C36" s="48" t="s">
        <v>171</v>
      </c>
      <c r="D36" s="51"/>
      <c r="E36" s="51"/>
      <c r="F36" s="51">
        <v>197997756.16</v>
      </c>
      <c r="G36" s="51"/>
      <c r="H36" s="51"/>
      <c r="I36" s="51"/>
      <c r="J36" s="51">
        <v>197997756.16</v>
      </c>
      <c r="K36" s="51">
        <v>1977193.87</v>
      </c>
      <c r="L36" s="51">
        <v>690210.87</v>
      </c>
      <c r="M36" s="53">
        <v>1286983</v>
      </c>
      <c r="N36" s="72">
        <v>309290670.74000001</v>
      </c>
      <c r="O36" s="72">
        <v>1498920.35</v>
      </c>
      <c r="P36" s="80">
        <v>302305411</v>
      </c>
      <c r="Q36" s="56">
        <f t="shared" si="9"/>
        <v>5.191601939368907E-4</v>
      </c>
      <c r="R36" s="80">
        <v>307791750.38999999</v>
      </c>
      <c r="S36" s="56">
        <f t="shared" si="10"/>
        <v>5.5145618895943607E-4</v>
      </c>
      <c r="T36" s="57">
        <f t="shared" si="16"/>
        <v>1.8148333408428426E-2</v>
      </c>
      <c r="U36" s="161">
        <f t="shared" si="17"/>
        <v>2.2424605894259364E-3</v>
      </c>
      <c r="V36" s="59">
        <f t="shared" si="18"/>
        <v>4.1813433867843308E-3</v>
      </c>
      <c r="W36" s="60">
        <f t="shared" si="19"/>
        <v>1.0042708116233072</v>
      </c>
      <c r="X36" s="60">
        <f t="shared" si="20"/>
        <v>4.1992011167216485E-3</v>
      </c>
      <c r="Y36" s="72">
        <v>1</v>
      </c>
      <c r="Z36" s="72">
        <v>1</v>
      </c>
      <c r="AA36" s="61">
        <v>272</v>
      </c>
      <c r="AB36" s="51">
        <v>302305411</v>
      </c>
      <c r="AC36" s="51">
        <v>730474</v>
      </c>
      <c r="AD36" s="51">
        <v>4907883</v>
      </c>
      <c r="AE36" s="51">
        <v>306482820</v>
      </c>
      <c r="AF36" s="5"/>
    </row>
    <row r="37" spans="1:241" s="22" customFormat="1" ht="16.5" customHeight="1" x14ac:dyDescent="0.3">
      <c r="A37" s="62">
        <v>32</v>
      </c>
      <c r="B37" s="48" t="s">
        <v>56</v>
      </c>
      <c r="C37" s="48" t="s">
        <v>55</v>
      </c>
      <c r="D37" s="51"/>
      <c r="E37" s="51"/>
      <c r="F37" s="51">
        <v>147977474134.81</v>
      </c>
      <c r="G37" s="51"/>
      <c r="H37" s="51"/>
      <c r="I37" s="51"/>
      <c r="J37" s="51">
        <v>148860079827.62</v>
      </c>
      <c r="K37" s="51">
        <v>901992734.25999999</v>
      </c>
      <c r="L37" s="51">
        <v>219904084.06999999</v>
      </c>
      <c r="M37" s="53">
        <v>682088650.17999995</v>
      </c>
      <c r="N37" s="72">
        <v>149825906013.22</v>
      </c>
      <c r="O37" s="72">
        <v>965826185.60000002</v>
      </c>
      <c r="P37" s="80">
        <v>160421742944.94</v>
      </c>
      <c r="Q37" s="56">
        <f t="shared" si="9"/>
        <v>0.27549815566810704</v>
      </c>
      <c r="R37" s="80">
        <v>148860079827.62</v>
      </c>
      <c r="S37" s="56">
        <f t="shared" si="10"/>
        <v>0.26670569372285496</v>
      </c>
      <c r="T37" s="57">
        <f t="shared" si="16"/>
        <v>-7.2070424526482074E-2</v>
      </c>
      <c r="U37" s="161">
        <f t="shared" si="17"/>
        <v>1.4772535680798301E-3</v>
      </c>
      <c r="V37" s="59">
        <f t="shared" si="18"/>
        <v>4.5820790299847935E-3</v>
      </c>
      <c r="W37" s="60">
        <f t="shared" si="19"/>
        <v>100.02292330363807</v>
      </c>
      <c r="X37" s="60">
        <f t="shared" si="20"/>
        <v>0.45831293938737727</v>
      </c>
      <c r="Y37" s="72">
        <v>100</v>
      </c>
      <c r="Z37" s="72">
        <v>100</v>
      </c>
      <c r="AA37" s="61">
        <v>23255</v>
      </c>
      <c r="AB37" s="51">
        <v>1603761555</v>
      </c>
      <c r="AC37" s="51">
        <v>95194119</v>
      </c>
      <c r="AD37" s="51">
        <v>210696033.88</v>
      </c>
      <c r="AE37" s="51">
        <v>1488259640</v>
      </c>
      <c r="AF37" s="20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</row>
    <row r="38" spans="1:241" ht="16.5" customHeight="1" x14ac:dyDescent="0.25">
      <c r="A38" s="62">
        <v>33</v>
      </c>
      <c r="B38" s="48" t="s">
        <v>78</v>
      </c>
      <c r="C38" s="48" t="s">
        <v>77</v>
      </c>
      <c r="D38" s="51"/>
      <c r="E38" s="51"/>
      <c r="F38" s="51">
        <v>249027715.06999999</v>
      </c>
      <c r="G38" s="51"/>
      <c r="H38" s="51"/>
      <c r="I38" s="51">
        <v>15153911.779999999</v>
      </c>
      <c r="J38" s="51">
        <v>621282477.30999994</v>
      </c>
      <c r="K38" s="51">
        <v>4018193.76</v>
      </c>
      <c r="L38" s="51">
        <v>1394817.88</v>
      </c>
      <c r="M38" s="53">
        <v>2623375.88</v>
      </c>
      <c r="N38" s="72">
        <v>631105183.36000001</v>
      </c>
      <c r="O38" s="72">
        <v>4990483.5199999996</v>
      </c>
      <c r="P38" s="80">
        <v>602006715.23000002</v>
      </c>
      <c r="Q38" s="56">
        <f t="shared" si="9"/>
        <v>1.0338482596003462E-3</v>
      </c>
      <c r="R38" s="80">
        <v>626114699.84000003</v>
      </c>
      <c r="S38" s="56">
        <f t="shared" si="10"/>
        <v>1.1217806383301476E-3</v>
      </c>
      <c r="T38" s="57">
        <f t="shared" si="16"/>
        <v>4.0046039354875676E-2</v>
      </c>
      <c r="U38" s="161">
        <f t="shared" si="17"/>
        <v>2.2277353979333779E-3</v>
      </c>
      <c r="V38" s="59">
        <f t="shared" si="18"/>
        <v>4.1899285876379972E-3</v>
      </c>
      <c r="W38" s="60">
        <f t="shared" si="19"/>
        <v>9.9803895741888109</v>
      </c>
      <c r="X38" s="60">
        <f t="shared" si="20"/>
        <v>4.1817119592657916E-2</v>
      </c>
      <c r="Y38" s="72">
        <v>10</v>
      </c>
      <c r="Z38" s="72">
        <v>10</v>
      </c>
      <c r="AA38" s="61">
        <v>279</v>
      </c>
      <c r="AB38" s="51">
        <v>60947129</v>
      </c>
      <c r="AC38" s="51">
        <v>2502034</v>
      </c>
      <c r="AD38" s="51">
        <v>714668</v>
      </c>
      <c r="AE38" s="51">
        <v>62734495</v>
      </c>
      <c r="AF38" s="5"/>
    </row>
    <row r="39" spans="1:241" ht="16.5" customHeight="1" x14ac:dyDescent="0.25">
      <c r="A39" s="62">
        <v>34</v>
      </c>
      <c r="B39" s="48" t="s">
        <v>63</v>
      </c>
      <c r="C39" s="48" t="s">
        <v>62</v>
      </c>
      <c r="D39" s="51"/>
      <c r="E39" s="51"/>
      <c r="F39" s="49">
        <v>1384514732.74</v>
      </c>
      <c r="G39" s="49"/>
      <c r="H39" s="49"/>
      <c r="I39" s="49"/>
      <c r="J39" s="49">
        <v>1384514732.74</v>
      </c>
      <c r="K39" s="51">
        <v>14323284.210000001</v>
      </c>
      <c r="L39" s="51">
        <v>3709882.3</v>
      </c>
      <c r="M39" s="53">
        <v>10613401.91</v>
      </c>
      <c r="N39" s="72">
        <v>2286128587.6199999</v>
      </c>
      <c r="O39" s="72">
        <v>25249214.489999998</v>
      </c>
      <c r="P39" s="80">
        <v>2413428448.5900002</v>
      </c>
      <c r="Q39" s="56">
        <f t="shared" si="9"/>
        <v>4.1446693834494208E-3</v>
      </c>
      <c r="R39" s="80">
        <v>2286003397.3200002</v>
      </c>
      <c r="S39" s="56">
        <f t="shared" si="10"/>
        <v>4.095726151974761E-3</v>
      </c>
      <c r="T39" s="57">
        <f t="shared" si="16"/>
        <v>-5.2798354699285018E-2</v>
      </c>
      <c r="U39" s="161">
        <f t="shared" si="17"/>
        <v>1.6228682356068615E-3</v>
      </c>
      <c r="V39" s="59">
        <f t="shared" si="18"/>
        <v>4.6427760879282328E-3</v>
      </c>
      <c r="W39" s="60">
        <f t="shared" si="19"/>
        <v>99.99999988276484</v>
      </c>
      <c r="X39" s="60">
        <f t="shared" si="20"/>
        <v>0.46427760824852665</v>
      </c>
      <c r="Y39" s="72">
        <v>100</v>
      </c>
      <c r="Z39" s="72">
        <v>100</v>
      </c>
      <c r="AA39" s="61">
        <v>539</v>
      </c>
      <c r="AB39" s="51">
        <v>24134284</v>
      </c>
      <c r="AC39" s="51">
        <v>1238216</v>
      </c>
      <c r="AD39" s="51">
        <v>2512466</v>
      </c>
      <c r="AE39" s="51">
        <v>22860034</v>
      </c>
      <c r="AF39" s="5"/>
    </row>
    <row r="40" spans="1:241" ht="16.5" customHeight="1" x14ac:dyDescent="0.25">
      <c r="A40" s="62">
        <v>35</v>
      </c>
      <c r="B40" s="48" t="s">
        <v>76</v>
      </c>
      <c r="C40" s="48" t="s">
        <v>25</v>
      </c>
      <c r="D40" s="51"/>
      <c r="E40" s="51"/>
      <c r="F40" s="51">
        <v>3997075056.4899998</v>
      </c>
      <c r="G40" s="51"/>
      <c r="H40" s="51"/>
      <c r="I40" s="51">
        <v>-18802099</v>
      </c>
      <c r="J40" s="51">
        <v>4153456089.3699999</v>
      </c>
      <c r="K40" s="99">
        <v>25597279.870000001</v>
      </c>
      <c r="L40" s="51">
        <v>4694123.42</v>
      </c>
      <c r="M40" s="53">
        <v>20903156.449999999</v>
      </c>
      <c r="N40" s="72">
        <v>4153456089.3699999</v>
      </c>
      <c r="O40" s="72">
        <v>22129721.460000001</v>
      </c>
      <c r="P40" s="80">
        <v>4254001324.79</v>
      </c>
      <c r="Q40" s="56">
        <f t="shared" si="9"/>
        <v>7.3055528363856065E-3</v>
      </c>
      <c r="R40" s="80">
        <v>4131326367.9099998</v>
      </c>
      <c r="S40" s="56">
        <f t="shared" si="10"/>
        <v>7.4019056433726202E-3</v>
      </c>
      <c r="T40" s="57">
        <f t="shared" si="16"/>
        <v>-2.8837545528046116E-2</v>
      </c>
      <c r="U40" s="161">
        <f t="shared" si="17"/>
        <v>1.1362267228417285E-3</v>
      </c>
      <c r="V40" s="59">
        <f t="shared" si="18"/>
        <v>5.0596720250341088E-3</v>
      </c>
      <c r="W40" s="60">
        <f t="shared" si="19"/>
        <v>0.98846941384447473</v>
      </c>
      <c r="X40" s="60">
        <f t="shared" si="20"/>
        <v>5.0013310408307523E-3</v>
      </c>
      <c r="Y40" s="72">
        <v>0.99</v>
      </c>
      <c r="Z40" s="72">
        <v>0.99</v>
      </c>
      <c r="AA40" s="65">
        <v>833</v>
      </c>
      <c r="AB40" s="99">
        <v>4302977156</v>
      </c>
      <c r="AC40" s="99">
        <v>61401249</v>
      </c>
      <c r="AD40" s="99">
        <v>184859737</v>
      </c>
      <c r="AE40" s="51">
        <v>4179518668</v>
      </c>
      <c r="AF40" s="5"/>
    </row>
    <row r="41" spans="1:241" ht="16.5" customHeight="1" x14ac:dyDescent="0.25">
      <c r="A41" s="62">
        <v>36</v>
      </c>
      <c r="B41" s="48" t="s">
        <v>61</v>
      </c>
      <c r="C41" s="48" t="s">
        <v>39</v>
      </c>
      <c r="D41" s="51"/>
      <c r="E41" s="51"/>
      <c r="F41" s="96">
        <v>1948869801.77</v>
      </c>
      <c r="G41" s="51"/>
      <c r="H41" s="51"/>
      <c r="I41" s="51"/>
      <c r="J41" s="96">
        <v>1948869801.77</v>
      </c>
      <c r="K41" s="51">
        <v>14731064.18</v>
      </c>
      <c r="L41" s="51">
        <v>3183565.5</v>
      </c>
      <c r="M41" s="53">
        <v>11547498.68</v>
      </c>
      <c r="N41" s="72">
        <v>2016242125</v>
      </c>
      <c r="O41" s="72">
        <v>5810589.8600000003</v>
      </c>
      <c r="P41" s="80">
        <v>2023583817.1099999</v>
      </c>
      <c r="Q41" s="56">
        <f t="shared" si="9"/>
        <v>3.4751748685648938E-3</v>
      </c>
      <c r="R41" s="80">
        <v>2010431535.1400001</v>
      </c>
      <c r="S41" s="56">
        <f t="shared" si="10"/>
        <v>3.6019968408100424E-3</v>
      </c>
      <c r="T41" s="57">
        <f t="shared" si="16"/>
        <v>-6.4994994814612343E-3</v>
      </c>
      <c r="U41" s="161">
        <f t="shared" si="17"/>
        <v>1.5835234596926011E-3</v>
      </c>
      <c r="V41" s="59">
        <f t="shared" si="18"/>
        <v>5.7437910608559312E-3</v>
      </c>
      <c r="W41" s="60">
        <f t="shared" si="19"/>
        <v>10.078454300047742</v>
      </c>
      <c r="X41" s="60">
        <f t="shared" si="20"/>
        <v>5.7888535715859238E-2</v>
      </c>
      <c r="Y41" s="72">
        <v>10</v>
      </c>
      <c r="Z41" s="72">
        <v>10</v>
      </c>
      <c r="AA41" s="61">
        <v>1423</v>
      </c>
      <c r="AB41" s="51">
        <v>202356865.61000001</v>
      </c>
      <c r="AC41" s="51">
        <v>11659775.73</v>
      </c>
      <c r="AD41" s="51">
        <v>14538479.779999999</v>
      </c>
      <c r="AE41" s="51">
        <v>199478161.56</v>
      </c>
      <c r="AF41" s="5"/>
    </row>
    <row r="42" spans="1:241" ht="16.5" customHeight="1" x14ac:dyDescent="0.25">
      <c r="A42" s="62">
        <v>37</v>
      </c>
      <c r="B42" s="48" t="s">
        <v>168</v>
      </c>
      <c r="C42" s="48" t="s">
        <v>151</v>
      </c>
      <c r="D42" s="51"/>
      <c r="E42" s="51"/>
      <c r="F42" s="51">
        <v>1056456323.28</v>
      </c>
      <c r="G42" s="51"/>
      <c r="H42" s="51"/>
      <c r="I42" s="51"/>
      <c r="J42" s="51">
        <v>1056456323.28</v>
      </c>
      <c r="K42" s="51">
        <v>11242876.869999999</v>
      </c>
      <c r="L42" s="51">
        <v>1982953.55</v>
      </c>
      <c r="M42" s="53">
        <v>9259923.3200000003</v>
      </c>
      <c r="N42" s="72">
        <v>1470109788.71</v>
      </c>
      <c r="O42" s="72">
        <v>13194784.130000001</v>
      </c>
      <c r="P42" s="80">
        <v>1364749804.5599999</v>
      </c>
      <c r="Q42" s="56">
        <f t="shared" si="9"/>
        <v>2.343735002516059E-3</v>
      </c>
      <c r="R42" s="80">
        <v>1456915004.5799999</v>
      </c>
      <c r="S42" s="56">
        <f t="shared" si="10"/>
        <v>2.6102869717771651E-3</v>
      </c>
      <c r="T42" s="57">
        <f t="shared" si="16"/>
        <v>6.7532671345363823E-2</v>
      </c>
      <c r="U42" s="161">
        <f t="shared" si="17"/>
        <v>1.3610633041504345E-3</v>
      </c>
      <c r="V42" s="59">
        <f t="shared" si="18"/>
        <v>6.3558431966794487E-3</v>
      </c>
      <c r="W42" s="60">
        <f t="shared" si="19"/>
        <v>99.862912135388285</v>
      </c>
      <c r="X42" s="60">
        <f t="shared" si="20"/>
        <v>0.63471301069630515</v>
      </c>
      <c r="Y42" s="72">
        <v>100</v>
      </c>
      <c r="Z42" s="72">
        <v>100</v>
      </c>
      <c r="AA42" s="61">
        <v>723</v>
      </c>
      <c r="AB42" s="51">
        <v>13667498.130000001</v>
      </c>
      <c r="AC42" s="51">
        <v>3246407</v>
      </c>
      <c r="AD42" s="51">
        <v>2324755</v>
      </c>
      <c r="AE42" s="51">
        <v>14589150</v>
      </c>
      <c r="AF42" s="5"/>
    </row>
    <row r="43" spans="1:241" ht="16.5" customHeight="1" x14ac:dyDescent="0.25">
      <c r="A43" s="62">
        <v>38</v>
      </c>
      <c r="B43" s="48" t="s">
        <v>89</v>
      </c>
      <c r="C43" s="63" t="s">
        <v>88</v>
      </c>
      <c r="D43" s="51"/>
      <c r="E43" s="51"/>
      <c r="F43" s="51">
        <v>64395508.159999996</v>
      </c>
      <c r="G43" s="51"/>
      <c r="H43" s="51"/>
      <c r="I43" s="51">
        <v>7211412.6299999999</v>
      </c>
      <c r="J43" s="51">
        <f>64395508.16+7211412.63</f>
        <v>71606920.789999992</v>
      </c>
      <c r="K43" s="51">
        <v>676168.88</v>
      </c>
      <c r="L43" s="51">
        <v>58274.49</v>
      </c>
      <c r="M43" s="53">
        <v>617894.39</v>
      </c>
      <c r="N43" s="72">
        <v>156863300.71000001</v>
      </c>
      <c r="O43" s="72">
        <v>5420464.1200000001</v>
      </c>
      <c r="P43" s="80">
        <v>148235714.41999999</v>
      </c>
      <c r="Q43" s="56">
        <f t="shared" si="9"/>
        <v>2.5457064096897936E-4</v>
      </c>
      <c r="R43" s="80">
        <v>151442836.59</v>
      </c>
      <c r="S43" s="56">
        <f t="shared" si="10"/>
        <v>2.7133309910128568E-4</v>
      </c>
      <c r="T43" s="57">
        <f t="shared" si="16"/>
        <v>2.1635286628114439E-2</v>
      </c>
      <c r="U43" s="161">
        <f t="shared" si="17"/>
        <v>3.8479528852042083E-4</v>
      </c>
      <c r="V43" s="59">
        <f t="shared" si="18"/>
        <v>4.0800502943088724E-3</v>
      </c>
      <c r="W43" s="60">
        <f t="shared" si="19"/>
        <v>1.0159464690363107</v>
      </c>
      <c r="X43" s="60">
        <f t="shared" si="20"/>
        <v>4.1451126899936597E-3</v>
      </c>
      <c r="Y43" s="72">
        <v>1</v>
      </c>
      <c r="Z43" s="72">
        <v>1</v>
      </c>
      <c r="AA43" s="61">
        <v>45</v>
      </c>
      <c r="AB43" s="51">
        <v>138429285</v>
      </c>
      <c r="AC43" s="51">
        <v>2325060</v>
      </c>
      <c r="AD43" s="51">
        <v>490138</v>
      </c>
      <c r="AE43" s="51">
        <v>149065764</v>
      </c>
      <c r="AF43" s="5"/>
    </row>
    <row r="44" spans="1:241" ht="16.5" customHeight="1" x14ac:dyDescent="0.25">
      <c r="A44" s="62">
        <v>39</v>
      </c>
      <c r="B44" s="63" t="s">
        <v>66</v>
      </c>
      <c r="C44" s="63" t="s">
        <v>46</v>
      </c>
      <c r="D44" s="51"/>
      <c r="E44" s="51"/>
      <c r="F44" s="51">
        <v>692303257.75999999</v>
      </c>
      <c r="G44" s="51"/>
      <c r="H44" s="51"/>
      <c r="I44" s="51"/>
      <c r="J44" s="51">
        <v>692303257.75999999</v>
      </c>
      <c r="K44" s="51">
        <v>5480723.3499999996</v>
      </c>
      <c r="L44" s="51">
        <v>2803040.98</v>
      </c>
      <c r="M44" s="53">
        <v>2677682.37</v>
      </c>
      <c r="N44" s="72">
        <v>710953017.19000006</v>
      </c>
      <c r="O44" s="72">
        <v>4791044.66</v>
      </c>
      <c r="P44" s="80">
        <v>751150236.35000002</v>
      </c>
      <c r="Q44" s="56">
        <f t="shared" si="9"/>
        <v>1.2899779103828456E-3</v>
      </c>
      <c r="R44" s="80">
        <v>706161972.52999997</v>
      </c>
      <c r="S44" s="56">
        <f t="shared" si="10"/>
        <v>1.2651976203587156E-3</v>
      </c>
      <c r="T44" s="57">
        <f t="shared" si="16"/>
        <v>-5.989249772270281E-2</v>
      </c>
      <c r="U44" s="161">
        <f t="shared" si="17"/>
        <v>3.9694023312490364E-3</v>
      </c>
      <c r="V44" s="59">
        <f t="shared" si="18"/>
        <v>3.7918812880939207E-3</v>
      </c>
      <c r="W44" s="60">
        <f t="shared" si="19"/>
        <v>10.09191515220598</v>
      </c>
      <c r="X44" s="60">
        <f t="shared" si="20"/>
        <v>3.826734422668137E-2</v>
      </c>
      <c r="Y44" s="72">
        <v>10</v>
      </c>
      <c r="Z44" s="72">
        <v>10</v>
      </c>
      <c r="AA44" s="61">
        <v>521</v>
      </c>
      <c r="AB44" s="51">
        <v>75128599</v>
      </c>
      <c r="AC44" s="51">
        <v>2017551</v>
      </c>
      <c r="AD44" s="51">
        <v>7173111</v>
      </c>
      <c r="AE44" s="51">
        <v>69973039</v>
      </c>
      <c r="AF44" s="5"/>
    </row>
    <row r="45" spans="1:241" ht="16.5" customHeight="1" x14ac:dyDescent="0.25">
      <c r="A45" s="62">
        <v>40</v>
      </c>
      <c r="B45" s="48" t="s">
        <v>54</v>
      </c>
      <c r="C45" s="48" t="s">
        <v>23</v>
      </c>
      <c r="D45" s="51"/>
      <c r="E45" s="51"/>
      <c r="F45" s="51">
        <v>203161747340.23999</v>
      </c>
      <c r="G45" s="51">
        <v>9838164422.8199997</v>
      </c>
      <c r="H45" s="51"/>
      <c r="I45" s="51"/>
      <c r="J45" s="51">
        <v>212999911763.06</v>
      </c>
      <c r="K45" s="51">
        <v>1457756684.0999999</v>
      </c>
      <c r="L45" s="51">
        <v>362616282.95999998</v>
      </c>
      <c r="M45" s="53">
        <v>1095140401.1400001</v>
      </c>
      <c r="N45" s="72">
        <v>214996674103.5</v>
      </c>
      <c r="O45" s="72">
        <v>550505283.29999995</v>
      </c>
      <c r="P45" s="80">
        <v>218220183674.32999</v>
      </c>
      <c r="Q45" s="56">
        <f t="shared" si="9"/>
        <v>0.37475754238917369</v>
      </c>
      <c r="R45" s="80">
        <v>214446168820.20001</v>
      </c>
      <c r="S45" s="56">
        <f t="shared" si="10"/>
        <v>0.38421324432736159</v>
      </c>
      <c r="T45" s="57">
        <f t="shared" si="16"/>
        <v>-1.7294526979971216E-2</v>
      </c>
      <c r="U45" s="161">
        <f t="shared" si="17"/>
        <v>1.6909431628225149E-3</v>
      </c>
      <c r="V45" s="59">
        <f t="shared" si="18"/>
        <v>5.1068312722257507E-3</v>
      </c>
      <c r="W45" s="60">
        <f t="shared" si="19"/>
        <v>1</v>
      </c>
      <c r="X45" s="60">
        <f t="shared" si="20"/>
        <v>5.1068312722257507E-3</v>
      </c>
      <c r="Y45" s="72">
        <v>100</v>
      </c>
      <c r="Z45" s="72">
        <v>100</v>
      </c>
      <c r="AA45" s="61">
        <v>114300</v>
      </c>
      <c r="AB45" s="51">
        <v>2182201836.7399998</v>
      </c>
      <c r="AC45" s="51">
        <v>102915078.13</v>
      </c>
      <c r="AD45" s="51">
        <v>140655226.66999999</v>
      </c>
      <c r="AE45" s="51">
        <v>214446168820.20001</v>
      </c>
      <c r="AF45" s="5"/>
    </row>
    <row r="46" spans="1:241" ht="16.5" customHeight="1" x14ac:dyDescent="0.25">
      <c r="A46" s="62">
        <v>41</v>
      </c>
      <c r="B46" s="48" t="s">
        <v>85</v>
      </c>
      <c r="C46" s="48" t="s">
        <v>84</v>
      </c>
      <c r="D46" s="51"/>
      <c r="E46" s="51"/>
      <c r="F46" s="51">
        <v>159868426.38999999</v>
      </c>
      <c r="G46" s="51"/>
      <c r="H46" s="51"/>
      <c r="I46" s="51"/>
      <c r="J46" s="51">
        <v>159868426.38999999</v>
      </c>
      <c r="K46" s="51">
        <v>1293459.05</v>
      </c>
      <c r="L46" s="51">
        <v>191111.55</v>
      </c>
      <c r="M46" s="53">
        <v>1102347.5</v>
      </c>
      <c r="N46" s="72">
        <v>162120138.56999999</v>
      </c>
      <c r="O46" s="72">
        <v>3478471.81</v>
      </c>
      <c r="P46" s="80">
        <v>138260737.22999999</v>
      </c>
      <c r="Q46" s="56">
        <f t="shared" si="9"/>
        <v>2.3744024599739726E-4</v>
      </c>
      <c r="R46" s="80">
        <v>158641666.75999999</v>
      </c>
      <c r="S46" s="56">
        <f t="shared" si="10"/>
        <v>2.8423090888820901E-4</v>
      </c>
      <c r="T46" s="57">
        <f t="shared" si="16"/>
        <v>0.14740937983063004</v>
      </c>
      <c r="U46" s="164">
        <f t="shared" si="17"/>
        <v>1.2046743702530676E-3</v>
      </c>
      <c r="V46" s="59">
        <f t="shared" si="18"/>
        <v>6.9486631256067124E-3</v>
      </c>
      <c r="W46" s="60">
        <f t="shared" si="19"/>
        <v>1</v>
      </c>
      <c r="X46" s="60">
        <f t="shared" si="20"/>
        <v>6.9486631256067124E-3</v>
      </c>
      <c r="Y46" s="72">
        <v>1</v>
      </c>
      <c r="Z46" s="72">
        <v>1</v>
      </c>
      <c r="AA46" s="61">
        <v>38</v>
      </c>
      <c r="AB46" s="51">
        <v>139217123.52000001</v>
      </c>
      <c r="AC46" s="51">
        <v>20647925</v>
      </c>
      <c r="AD46" s="51">
        <v>1223381.76</v>
      </c>
      <c r="AE46" s="51">
        <v>158641666.75999999</v>
      </c>
      <c r="AF46" s="5"/>
    </row>
    <row r="47" spans="1:241" ht="16.5" customHeight="1" x14ac:dyDescent="0.25">
      <c r="A47" s="62">
        <v>42</v>
      </c>
      <c r="B47" s="48" t="s">
        <v>57</v>
      </c>
      <c r="C47" s="48" t="s">
        <v>33</v>
      </c>
      <c r="D47" s="51"/>
      <c r="E47" s="51"/>
      <c r="F47" s="51">
        <v>9116087333</v>
      </c>
      <c r="G47" s="51"/>
      <c r="H47" s="51"/>
      <c r="I47" s="51"/>
      <c r="J47" s="51">
        <v>9116087333</v>
      </c>
      <c r="K47" s="51">
        <v>153666143</v>
      </c>
      <c r="L47" s="51">
        <v>25282879</v>
      </c>
      <c r="M47" s="53">
        <v>128383264</v>
      </c>
      <c r="N47" s="70">
        <v>21088945032.560001</v>
      </c>
      <c r="O47" s="72">
        <v>248184674.34</v>
      </c>
      <c r="P47" s="80">
        <v>19638971501</v>
      </c>
      <c r="Q47" s="56">
        <f t="shared" si="9"/>
        <v>3.3726727614479354E-2</v>
      </c>
      <c r="R47" s="80">
        <v>20840760358</v>
      </c>
      <c r="S47" s="56">
        <f t="shared" si="10"/>
        <v>3.7339422734615851E-2</v>
      </c>
      <c r="T47" s="57">
        <f t="shared" si="16"/>
        <v>6.1194083251192959E-2</v>
      </c>
      <c r="U47" s="161">
        <f t="shared" si="17"/>
        <v>1.2131457089709701E-3</v>
      </c>
      <c r="V47" s="59">
        <f t="shared" si="18"/>
        <v>6.1602005778411241E-3</v>
      </c>
      <c r="W47" s="60">
        <f t="shared" si="19"/>
        <v>1.0199256985044816</v>
      </c>
      <c r="X47" s="60">
        <f t="shared" si="20"/>
        <v>6.2829468772823208E-3</v>
      </c>
      <c r="Y47" s="72">
        <v>1</v>
      </c>
      <c r="Z47" s="72">
        <v>1</v>
      </c>
      <c r="AA47" s="61">
        <v>3856</v>
      </c>
      <c r="AB47" s="51">
        <v>19293768923</v>
      </c>
      <c r="AC47" s="51">
        <v>3059269002</v>
      </c>
      <c r="AD47" s="51">
        <v>1919431449</v>
      </c>
      <c r="AE47" s="51">
        <v>20433606476</v>
      </c>
      <c r="AF47" s="5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</row>
    <row r="48" spans="1:241" ht="16.5" customHeight="1" x14ac:dyDescent="0.25">
      <c r="A48" s="62">
        <v>43</v>
      </c>
      <c r="B48" s="100" t="s">
        <v>87</v>
      </c>
      <c r="C48" s="48" t="s">
        <v>86</v>
      </c>
      <c r="D48" s="51"/>
      <c r="E48" s="51"/>
      <c r="F48" s="51">
        <v>818519334.04999995</v>
      </c>
      <c r="G48" s="51"/>
      <c r="H48" s="51"/>
      <c r="I48" s="51">
        <v>206348832.55000001</v>
      </c>
      <c r="J48" s="51">
        <v>1024868166.59</v>
      </c>
      <c r="K48" s="51">
        <v>8247554.9199999999</v>
      </c>
      <c r="L48" s="51">
        <v>1747623.19</v>
      </c>
      <c r="M48" s="53">
        <v>6201960.04</v>
      </c>
      <c r="N48" s="72">
        <v>1616615122.26</v>
      </c>
      <c r="O48" s="72">
        <v>11835765.939999999</v>
      </c>
      <c r="P48" s="80">
        <v>1381890982.23</v>
      </c>
      <c r="Q48" s="56">
        <f t="shared" si="9"/>
        <v>2.3731721769749176E-3</v>
      </c>
      <c r="R48" s="80">
        <v>1604779356.3199999</v>
      </c>
      <c r="S48" s="56">
        <f t="shared" si="10"/>
        <v>2.8752086657152856E-3</v>
      </c>
      <c r="T48" s="57">
        <f t="shared" si="16"/>
        <v>0.16129229943328677</v>
      </c>
      <c r="U48" s="161">
        <f t="shared" si="17"/>
        <v>1.0890115099732854E-3</v>
      </c>
      <c r="V48" s="59">
        <f t="shared" si="18"/>
        <v>3.8646808457344726E-3</v>
      </c>
      <c r="W48" s="60">
        <f t="shared" si="19"/>
        <v>1.0038796778654053</v>
      </c>
      <c r="X48" s="60">
        <f t="shared" si="20"/>
        <v>3.8796745624685241E-3</v>
      </c>
      <c r="Y48" s="72">
        <v>1</v>
      </c>
      <c r="Z48" s="72">
        <v>1.01</v>
      </c>
      <c r="AA48" s="61">
        <v>46</v>
      </c>
      <c r="AB48" s="51">
        <v>1368029937</v>
      </c>
      <c r="AC48" s="51">
        <v>272219476</v>
      </c>
      <c r="AD48" s="51">
        <v>41672022</v>
      </c>
      <c r="AE48" s="51">
        <v>1598577391</v>
      </c>
      <c r="AF48" s="5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</row>
    <row r="49" spans="1:241" ht="16.5" customHeight="1" x14ac:dyDescent="0.25">
      <c r="A49" s="62">
        <v>44</v>
      </c>
      <c r="B49" s="48" t="s">
        <v>80</v>
      </c>
      <c r="C49" s="48" t="s">
        <v>79</v>
      </c>
      <c r="D49" s="51"/>
      <c r="E49" s="51"/>
      <c r="F49" s="51">
        <v>487203415.49000001</v>
      </c>
      <c r="G49" s="51"/>
      <c r="H49" s="51"/>
      <c r="I49" s="51">
        <v>12014445.82</v>
      </c>
      <c r="J49" s="51">
        <v>499217861.31</v>
      </c>
      <c r="K49" s="51">
        <v>4378857.7699999996</v>
      </c>
      <c r="L49" s="51">
        <v>1190130.31</v>
      </c>
      <c r="M49" s="53">
        <v>3188727.46</v>
      </c>
      <c r="N49" s="72">
        <v>604146154.75</v>
      </c>
      <c r="O49" s="72">
        <v>2508986.7799999998</v>
      </c>
      <c r="P49" s="80">
        <v>606015689.38</v>
      </c>
      <c r="Q49" s="56">
        <f t="shared" si="9"/>
        <v>1.040733018263174E-3</v>
      </c>
      <c r="R49" s="80">
        <v>601537167.97000003</v>
      </c>
      <c r="S49" s="56">
        <f t="shared" si="10"/>
        <v>1.0777462155690247E-3</v>
      </c>
      <c r="T49" s="57">
        <f t="shared" si="16"/>
        <v>-7.3901080260509984E-3</v>
      </c>
      <c r="U49" s="161">
        <f t="shared" si="17"/>
        <v>1.9784817520359017E-3</v>
      </c>
      <c r="V49" s="59">
        <f t="shared" si="18"/>
        <v>5.3009649773778046E-3</v>
      </c>
      <c r="W49" s="60">
        <f t="shared" si="19"/>
        <v>1.0053732985971702</v>
      </c>
      <c r="X49" s="60">
        <f t="shared" si="20"/>
        <v>5.3294486450543967E-3</v>
      </c>
      <c r="Y49" s="72">
        <v>1</v>
      </c>
      <c r="Z49" s="72">
        <v>1</v>
      </c>
      <c r="AA49" s="61">
        <v>146</v>
      </c>
      <c r="AB49" s="51">
        <v>599627373.63</v>
      </c>
      <c r="AC49" s="51">
        <v>4627174.0599999996</v>
      </c>
      <c r="AD49" s="51">
        <v>5932343.5899999999</v>
      </c>
      <c r="AE49" s="51">
        <v>598322204.11000001</v>
      </c>
      <c r="AF49" s="5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</row>
    <row r="50" spans="1:241" ht="16.5" customHeight="1" x14ac:dyDescent="0.25">
      <c r="A50" s="62">
        <v>45</v>
      </c>
      <c r="B50" s="48" t="s">
        <v>74</v>
      </c>
      <c r="C50" s="48" t="s">
        <v>73</v>
      </c>
      <c r="D50" s="51"/>
      <c r="E50" s="51"/>
      <c r="F50" s="51">
        <v>15552687889</v>
      </c>
      <c r="G50" s="51"/>
      <c r="H50" s="51"/>
      <c r="I50" s="51"/>
      <c r="J50" s="51">
        <v>15552687889</v>
      </c>
      <c r="K50" s="70">
        <v>95267021.230000004</v>
      </c>
      <c r="L50" s="70">
        <v>18837089.780000001</v>
      </c>
      <c r="M50" s="53">
        <v>76429931.450000003</v>
      </c>
      <c r="N50" s="70">
        <v>15642638871.940001</v>
      </c>
      <c r="O50" s="70">
        <v>18837089.780000001</v>
      </c>
      <c r="P50" s="80">
        <v>15987050114.73</v>
      </c>
      <c r="Q50" s="56">
        <f t="shared" si="9"/>
        <v>2.7455148786741424E-2</v>
      </c>
      <c r="R50" s="80">
        <v>15623801782.16</v>
      </c>
      <c r="S50" s="56">
        <f t="shared" si="10"/>
        <v>2.7992440268235091E-2</v>
      </c>
      <c r="T50" s="57">
        <f t="shared" si="16"/>
        <v>-2.2721410764535811E-2</v>
      </c>
      <c r="U50" s="161">
        <f t="shared" si="17"/>
        <v>1.205666203568269E-3</v>
      </c>
      <c r="V50" s="59">
        <f t="shared" si="18"/>
        <v>4.8918907520493085E-3</v>
      </c>
      <c r="W50" s="60">
        <f t="shared" si="19"/>
        <v>1.0068565586732368</v>
      </c>
      <c r="X50" s="60">
        <f t="shared" si="20"/>
        <v>4.925432288013799E-3</v>
      </c>
      <c r="Y50" s="72">
        <v>1</v>
      </c>
      <c r="Z50" s="72">
        <v>1</v>
      </c>
      <c r="AA50" s="61">
        <v>2559</v>
      </c>
      <c r="AB50" s="98">
        <v>15753626110.9</v>
      </c>
      <c r="AC50" s="98">
        <v>1027486810.4400001</v>
      </c>
      <c r="AD50" s="98">
        <v>1263707142.3599999</v>
      </c>
      <c r="AE50" s="51">
        <v>15517405778.98</v>
      </c>
      <c r="AF50" s="5"/>
    </row>
    <row r="51" spans="1:241" ht="16.5" customHeight="1" x14ac:dyDescent="0.25">
      <c r="A51" s="104" t="s">
        <v>90</v>
      </c>
      <c r="C51" s="160" t="s">
        <v>52</v>
      </c>
      <c r="D51" s="87"/>
      <c r="E51" s="87"/>
      <c r="F51" s="87">
        <f>SUM(F22:F50)</f>
        <v>482544623038.25995</v>
      </c>
      <c r="G51" s="87"/>
      <c r="H51" s="87"/>
      <c r="I51" s="87">
        <f t="shared" ref="I51:O51" si="21">SUM(I22:I50)</f>
        <v>221926503.78</v>
      </c>
      <c r="J51" s="87">
        <f t="shared" si="21"/>
        <v>494694177540.85999</v>
      </c>
      <c r="K51" s="87">
        <f t="shared" si="21"/>
        <v>3794251576.7799997</v>
      </c>
      <c r="L51" s="87">
        <f t="shared" si="21"/>
        <v>890477211.94999993</v>
      </c>
      <c r="M51" s="53">
        <f t="shared" si="21"/>
        <v>2873982780.1599998</v>
      </c>
      <c r="N51" s="87">
        <f t="shared" si="21"/>
        <v>562083641747.19006</v>
      </c>
      <c r="O51" s="87">
        <f t="shared" si="21"/>
        <v>3965051590.8100004</v>
      </c>
      <c r="P51" s="105">
        <f>SUM(P22:P50)</f>
        <v>582296976021.13989</v>
      </c>
      <c r="Q51" s="89">
        <f>(P51/$P$150)</f>
        <v>0.41982350634972387</v>
      </c>
      <c r="R51" s="105">
        <f>SUM(R22:R50)</f>
        <v>558143614220.3501</v>
      </c>
      <c r="S51" s="89">
        <f>(R51/$R$150)</f>
        <v>0.41050323345267359</v>
      </c>
      <c r="T51" s="90">
        <f t="shared" ref="T51" si="22">((R51-P51)/P51)</f>
        <v>-4.1479456008565847E-2</v>
      </c>
      <c r="U51" s="91"/>
      <c r="V51" s="92"/>
      <c r="W51" s="93"/>
      <c r="X51" s="93"/>
      <c r="Y51" s="87"/>
      <c r="Z51" s="87"/>
      <c r="AA51" s="94">
        <f>SUM(AA22:AA50)</f>
        <v>218177</v>
      </c>
      <c r="AB51" s="94"/>
      <c r="AC51" s="94"/>
      <c r="AD51" s="94"/>
      <c r="AE51" s="87"/>
      <c r="AF51" s="5"/>
    </row>
    <row r="52" spans="1:241" ht="16.5" customHeight="1" x14ac:dyDescent="0.25">
      <c r="A52" s="176" t="s">
        <v>182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8"/>
      <c r="AF52" s="5"/>
    </row>
    <row r="53" spans="1:241" ht="16.5" customHeight="1" x14ac:dyDescent="0.25">
      <c r="A53" s="62">
        <v>67</v>
      </c>
      <c r="B53" s="48" t="s">
        <v>117</v>
      </c>
      <c r="C53" s="48" t="s">
        <v>50</v>
      </c>
      <c r="D53" s="72"/>
      <c r="E53" s="72"/>
      <c r="F53" s="72">
        <v>77424494.409999996</v>
      </c>
      <c r="G53" s="72">
        <v>359559296.19</v>
      </c>
      <c r="H53" s="72"/>
      <c r="I53" s="72"/>
      <c r="J53" s="72">
        <v>436983790.60000002</v>
      </c>
      <c r="K53" s="72">
        <v>4018157.37</v>
      </c>
      <c r="L53" s="72">
        <v>659446.66</v>
      </c>
      <c r="M53" s="53">
        <v>3358710.71</v>
      </c>
      <c r="N53" s="72">
        <v>438287758.57999998</v>
      </c>
      <c r="O53" s="72">
        <v>659446.66</v>
      </c>
      <c r="P53" s="80">
        <v>451768461.92000002</v>
      </c>
      <c r="Q53" s="56">
        <f t="shared" ref="Q53:Q81" si="23">(P53/$P$82)</f>
        <v>1.1092756153974765E-3</v>
      </c>
      <c r="R53" s="80">
        <v>437628311.92000002</v>
      </c>
      <c r="S53" s="56">
        <f t="shared" ref="S53:S81" si="24">(R53/$R$82)</f>
        <v>1.0889717039255585E-3</v>
      </c>
      <c r="T53" s="57">
        <f t="shared" ref="T53:T81" si="25">((R53-P53)/P53)</f>
        <v>-3.1299550968885391E-2</v>
      </c>
      <c r="U53" s="161">
        <f t="shared" ref="U53:U68" si="26">(L53/R53)</f>
        <v>1.5068647115329895E-3</v>
      </c>
      <c r="V53" s="59">
        <f t="shared" ref="V53:V81" si="27">M53/R53</f>
        <v>7.6748021517720815E-3</v>
      </c>
      <c r="W53" s="60">
        <f>R53/AE53</f>
        <v>1.190518734177147</v>
      </c>
      <c r="X53" s="60">
        <f>M53/AE53</f>
        <v>9.136995742787743E-3</v>
      </c>
      <c r="Y53" s="106">
        <v>1.2</v>
      </c>
      <c r="Z53" s="106">
        <v>1.2</v>
      </c>
      <c r="AA53" s="61">
        <v>325</v>
      </c>
      <c r="AB53" s="51">
        <v>374751456.23000002</v>
      </c>
      <c r="AC53" s="51">
        <v>2958427.6</v>
      </c>
      <c r="AD53" s="61">
        <v>10115238.439999999</v>
      </c>
      <c r="AE53" s="51">
        <v>367594645.38999999</v>
      </c>
      <c r="AF53" s="5"/>
    </row>
    <row r="54" spans="1:241" ht="16.5" customHeight="1" x14ac:dyDescent="0.25">
      <c r="A54" s="62">
        <v>68</v>
      </c>
      <c r="B54" s="48" t="s">
        <v>119</v>
      </c>
      <c r="C54" s="63" t="s">
        <v>35</v>
      </c>
      <c r="D54" s="72"/>
      <c r="E54" s="72"/>
      <c r="F54" s="72">
        <v>58360026.259999998</v>
      </c>
      <c r="G54" s="72">
        <v>928310067.12</v>
      </c>
      <c r="H54" s="72"/>
      <c r="I54" s="72"/>
      <c r="J54" s="72">
        <v>986670093.38</v>
      </c>
      <c r="K54" s="72">
        <v>9182873.8599999994</v>
      </c>
      <c r="L54" s="72">
        <v>3396971.99</v>
      </c>
      <c r="M54" s="53">
        <v>5785901.8700000001</v>
      </c>
      <c r="N54" s="72">
        <v>1229664232</v>
      </c>
      <c r="O54" s="72">
        <v>41994552</v>
      </c>
      <c r="P54" s="80">
        <v>1242566823</v>
      </c>
      <c r="Q54" s="56">
        <f t="shared" si="23"/>
        <v>3.051007747193944E-3</v>
      </c>
      <c r="R54" s="80">
        <v>1187669680</v>
      </c>
      <c r="S54" s="56">
        <f t="shared" si="24"/>
        <v>2.9553359321202914E-3</v>
      </c>
      <c r="T54" s="57">
        <f t="shared" si="25"/>
        <v>-4.4180435195797917E-2</v>
      </c>
      <c r="U54" s="161">
        <f t="shared" si="26"/>
        <v>2.860199302216758E-3</v>
      </c>
      <c r="V54" s="59">
        <f t="shared" si="27"/>
        <v>4.8716423155637009E-3</v>
      </c>
      <c r="W54" s="60">
        <f>R54/AE54</f>
        <v>1.0532398284225415</v>
      </c>
      <c r="X54" s="60">
        <f>M54/AE54</f>
        <v>5.1310077165803054E-3</v>
      </c>
      <c r="Y54" s="106">
        <v>1.0479000000000001</v>
      </c>
      <c r="Z54" s="106">
        <v>1.0531999999999999</v>
      </c>
      <c r="AA54" s="61">
        <v>246</v>
      </c>
      <c r="AB54" s="51">
        <v>1185618242</v>
      </c>
      <c r="AC54" s="51">
        <v>861273</v>
      </c>
      <c r="AD54" s="61">
        <v>58844908</v>
      </c>
      <c r="AE54" s="51">
        <v>1127634607</v>
      </c>
      <c r="AF54" s="5"/>
    </row>
    <row r="55" spans="1:241" ht="16.5" customHeight="1" x14ac:dyDescent="0.25">
      <c r="A55" s="62">
        <v>74</v>
      </c>
      <c r="B55" s="48" t="s">
        <v>206</v>
      </c>
      <c r="C55" s="48" t="s">
        <v>205</v>
      </c>
      <c r="D55" s="72"/>
      <c r="E55" s="72"/>
      <c r="F55" s="72">
        <v>112069972.73999999</v>
      </c>
      <c r="G55" s="72">
        <v>679708128.46000004</v>
      </c>
      <c r="H55" s="72"/>
      <c r="I55" s="111"/>
      <c r="J55" s="72">
        <v>791778101.20000005</v>
      </c>
      <c r="K55" s="72">
        <v>5964549</v>
      </c>
      <c r="L55" s="72">
        <v>1684962.87</v>
      </c>
      <c r="M55" s="112">
        <v>4279586.13</v>
      </c>
      <c r="N55" s="72">
        <v>931904805</v>
      </c>
      <c r="O55" s="72">
        <v>2084130</v>
      </c>
      <c r="P55" s="80">
        <v>922251089</v>
      </c>
      <c r="Q55" s="56">
        <f t="shared" si="23"/>
        <v>2.2645021300371961E-3</v>
      </c>
      <c r="R55" s="80">
        <v>929820675</v>
      </c>
      <c r="S55" s="56">
        <f t="shared" si="24"/>
        <v>2.3137177765250715E-3</v>
      </c>
      <c r="T55" s="57">
        <f t="shared" si="25"/>
        <v>8.2077279065159228E-3</v>
      </c>
      <c r="U55" s="161">
        <f t="shared" si="26"/>
        <v>1.8121374532782896E-3</v>
      </c>
      <c r="V55" s="59">
        <f t="shared" si="27"/>
        <v>4.6025929999889493E-3</v>
      </c>
      <c r="W55" s="60">
        <f>R55/AE55</f>
        <v>1.0089255372380541</v>
      </c>
      <c r="X55" s="60">
        <f>M55/AE55</f>
        <v>4.643673615201958E-3</v>
      </c>
      <c r="Y55" s="106">
        <v>1.0088999999999999</v>
      </c>
      <c r="Z55" s="106">
        <v>1.0088999999999999</v>
      </c>
      <c r="AA55" s="113">
        <v>31</v>
      </c>
      <c r="AB55" s="51">
        <v>918328041</v>
      </c>
      <c r="AC55" s="51">
        <v>3266904</v>
      </c>
      <c r="AD55" s="61"/>
      <c r="AE55" s="51">
        <v>921594945</v>
      </c>
      <c r="AF55" s="5"/>
    </row>
    <row r="56" spans="1:241" ht="16.5" customHeight="1" x14ac:dyDescent="0.25">
      <c r="A56" s="62">
        <v>70</v>
      </c>
      <c r="B56" s="48" t="s">
        <v>150</v>
      </c>
      <c r="C56" s="63" t="s">
        <v>120</v>
      </c>
      <c r="D56" s="72"/>
      <c r="E56" s="72"/>
      <c r="F56" s="72"/>
      <c r="G56" s="72">
        <v>258464598.19999999</v>
      </c>
      <c r="H56" s="72"/>
      <c r="I56" s="72"/>
      <c r="J56" s="72">
        <v>258464598.19999999</v>
      </c>
      <c r="K56" s="72">
        <v>2762724.34</v>
      </c>
      <c r="L56" s="72">
        <v>419267.75</v>
      </c>
      <c r="M56" s="53">
        <v>2343456.59</v>
      </c>
      <c r="N56" s="72">
        <v>264760194.34</v>
      </c>
      <c r="O56" s="51">
        <v>9694391.7799999993</v>
      </c>
      <c r="P56" s="80">
        <v>264674294.19999999</v>
      </c>
      <c r="Q56" s="56">
        <f t="shared" si="23"/>
        <v>6.4988321524442404E-4</v>
      </c>
      <c r="R56" s="80">
        <v>255065802.56</v>
      </c>
      <c r="S56" s="56">
        <f t="shared" si="24"/>
        <v>6.346925782938803E-4</v>
      </c>
      <c r="T56" s="57">
        <f t="shared" si="25"/>
        <v>-3.6303078351611173E-2</v>
      </c>
      <c r="U56" s="161">
        <f t="shared" si="26"/>
        <v>1.6437630830631409E-3</v>
      </c>
      <c r="V56" s="59">
        <f t="shared" si="27"/>
        <v>9.1876549756165007E-3</v>
      </c>
      <c r="W56" s="60">
        <f>R56/AE56</f>
        <v>1091.4707628054259</v>
      </c>
      <c r="X56" s="60">
        <f>M56/AE56</f>
        <v>10.028056784629209</v>
      </c>
      <c r="Y56" s="50">
        <v>1091.47</v>
      </c>
      <c r="Z56" s="50">
        <v>1091.47</v>
      </c>
      <c r="AA56" s="61">
        <v>113</v>
      </c>
      <c r="AB56" s="51">
        <v>236440</v>
      </c>
      <c r="AC56" s="51">
        <v>210</v>
      </c>
      <c r="AD56" s="61">
        <v>2960</v>
      </c>
      <c r="AE56" s="51">
        <v>233690</v>
      </c>
      <c r="AF56" s="5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</row>
    <row r="57" spans="1:241" ht="16.5" customHeight="1" x14ac:dyDescent="0.25">
      <c r="A57" s="62">
        <v>71</v>
      </c>
      <c r="B57" s="48" t="s">
        <v>147</v>
      </c>
      <c r="C57" s="63" t="s">
        <v>146</v>
      </c>
      <c r="D57" s="72"/>
      <c r="E57" s="72"/>
      <c r="F57" s="72">
        <v>92767515.340000004</v>
      </c>
      <c r="G57" s="72">
        <v>1016253880.4299999</v>
      </c>
      <c r="H57" s="72"/>
      <c r="I57" s="72"/>
      <c r="J57" s="72">
        <v>1109021395.77</v>
      </c>
      <c r="K57" s="72">
        <v>11341909.710000001</v>
      </c>
      <c r="L57" s="72">
        <v>2002974.83</v>
      </c>
      <c r="M57" s="53">
        <v>9338934.8800000008</v>
      </c>
      <c r="N57" s="72">
        <v>1407796226.9100001</v>
      </c>
      <c r="O57" s="72">
        <v>8564482.8800000008</v>
      </c>
      <c r="P57" s="80">
        <v>1398452001.98</v>
      </c>
      <c r="Q57" s="56">
        <f t="shared" si="23"/>
        <v>3.4337693660760659E-3</v>
      </c>
      <c r="R57" s="80">
        <v>1399231744.04</v>
      </c>
      <c r="S57" s="56">
        <f t="shared" si="24"/>
        <v>3.481776052853984E-3</v>
      </c>
      <c r="T57" s="57">
        <f t="shared" si="25"/>
        <v>5.5757513228623073E-4</v>
      </c>
      <c r="U57" s="161">
        <f t="shared" si="26"/>
        <v>1.431481838895974E-3</v>
      </c>
      <c r="V57" s="59">
        <f t="shared" si="27"/>
        <v>6.6743303386154655E-3</v>
      </c>
      <c r="W57" s="60">
        <f>R57/AE61</f>
        <v>368.28216639333021</v>
      </c>
      <c r="X57" s="60">
        <f>M57/AE61</f>
        <v>2.4580368363300327</v>
      </c>
      <c r="Y57" s="106">
        <v>1.0529999999999999</v>
      </c>
      <c r="Z57" s="106">
        <v>1.0529999999999999</v>
      </c>
      <c r="AA57" s="61">
        <v>641</v>
      </c>
      <c r="AB57" s="51">
        <v>1330898505.55</v>
      </c>
      <c r="AC57" s="51">
        <v>60082902.329999998</v>
      </c>
      <c r="AD57" s="61">
        <v>61506257.299999997</v>
      </c>
      <c r="AE57" s="51">
        <v>1329475150.5799999</v>
      </c>
      <c r="AF57" s="5"/>
    </row>
    <row r="58" spans="1:241" ht="16.5" customHeight="1" x14ac:dyDescent="0.25">
      <c r="A58" s="62">
        <v>54</v>
      </c>
      <c r="B58" s="48" t="s">
        <v>101</v>
      </c>
      <c r="C58" s="48" t="s">
        <v>100</v>
      </c>
      <c r="D58" s="72"/>
      <c r="E58" s="72"/>
      <c r="F58" s="72">
        <v>71405689.480000004</v>
      </c>
      <c r="G58" s="72">
        <v>389439332.12</v>
      </c>
      <c r="H58" s="72"/>
      <c r="I58" s="72"/>
      <c r="J58" s="72">
        <v>460845021.60000002</v>
      </c>
      <c r="K58" s="72">
        <v>3043741.27</v>
      </c>
      <c r="L58" s="72">
        <v>880946.49</v>
      </c>
      <c r="M58" s="53">
        <v>2162794.7799999998</v>
      </c>
      <c r="N58" s="72">
        <v>464440284.5</v>
      </c>
      <c r="O58" s="72">
        <v>4554673.9800000004</v>
      </c>
      <c r="P58" s="80">
        <v>457722815.74000001</v>
      </c>
      <c r="Q58" s="56">
        <f t="shared" si="23"/>
        <v>1.1238959797095485E-3</v>
      </c>
      <c r="R58" s="80">
        <v>459885610.51999998</v>
      </c>
      <c r="S58" s="56">
        <f t="shared" si="24"/>
        <v>1.1443556169884149E-3</v>
      </c>
      <c r="T58" s="57">
        <f t="shared" si="25"/>
        <v>4.7251190144484787E-3</v>
      </c>
      <c r="U58" s="161">
        <f t="shared" si="26"/>
        <v>1.9155774171840249E-3</v>
      </c>
      <c r="V58" s="59">
        <f t="shared" si="27"/>
        <v>4.7028972651579452E-3</v>
      </c>
      <c r="W58" s="60">
        <f>R58/AE63</f>
        <v>1264.2625331126737</v>
      </c>
      <c r="X58" s="60">
        <f>M58/AE63</f>
        <v>5.9456968094172495</v>
      </c>
      <c r="Y58" s="106">
        <v>2.0823999999999998</v>
      </c>
      <c r="Z58" s="106">
        <v>2.0823999999999998</v>
      </c>
      <c r="AA58" s="61">
        <v>1411</v>
      </c>
      <c r="AB58" s="51">
        <v>216296402.78999999</v>
      </c>
      <c r="AC58" s="61">
        <v>0</v>
      </c>
      <c r="AD58" s="61">
        <v>0</v>
      </c>
      <c r="AE58" s="51">
        <v>216296402.78999999</v>
      </c>
      <c r="AF58" s="5"/>
    </row>
    <row r="59" spans="1:241" ht="16.5" customHeight="1" x14ac:dyDescent="0.25">
      <c r="A59" s="62">
        <v>72</v>
      </c>
      <c r="B59" s="48" t="s">
        <v>189</v>
      </c>
      <c r="C59" s="48" t="s">
        <v>29</v>
      </c>
      <c r="D59" s="72"/>
      <c r="E59" s="72"/>
      <c r="F59" s="72">
        <v>648977862.57000005</v>
      </c>
      <c r="G59" s="72">
        <v>2214819208.6700001</v>
      </c>
      <c r="H59" s="72"/>
      <c r="I59" s="111"/>
      <c r="J59" s="72">
        <v>2878960433.0900002</v>
      </c>
      <c r="K59" s="72">
        <v>23170163.149999999</v>
      </c>
      <c r="L59" s="72">
        <v>4576383.74</v>
      </c>
      <c r="M59" s="53">
        <v>18593779.41</v>
      </c>
      <c r="N59" s="72">
        <v>2878960433.0900002</v>
      </c>
      <c r="O59" s="72">
        <v>5779140.4100000001</v>
      </c>
      <c r="P59" s="80">
        <v>2329717994.6900001</v>
      </c>
      <c r="Q59" s="56">
        <f t="shared" si="23"/>
        <v>5.7204067572117446E-3</v>
      </c>
      <c r="R59" s="80">
        <v>2873181292.6700001</v>
      </c>
      <c r="S59" s="56">
        <f t="shared" si="24"/>
        <v>7.1494760342147301E-3</v>
      </c>
      <c r="T59" s="57">
        <f t="shared" si="25"/>
        <v>0.23327428436346651</v>
      </c>
      <c r="U59" s="161">
        <f t="shared" si="26"/>
        <v>1.5927932399097734E-3</v>
      </c>
      <c r="V59" s="59">
        <f t="shared" si="27"/>
        <v>6.4714953621047375E-3</v>
      </c>
      <c r="W59" s="60">
        <f>R59/AE59</f>
        <v>105.59561513925797</v>
      </c>
      <c r="X59" s="60">
        <f>M59/AE59</f>
        <v>0.68336153363230479</v>
      </c>
      <c r="Y59" s="106">
        <v>105.6</v>
      </c>
      <c r="Z59" s="106">
        <v>105.6</v>
      </c>
      <c r="AA59" s="61">
        <v>84</v>
      </c>
      <c r="AB59" s="51">
        <v>22219628</v>
      </c>
      <c r="AC59" s="51">
        <v>5139767</v>
      </c>
      <c r="AD59" s="61">
        <v>150109</v>
      </c>
      <c r="AE59" s="51">
        <v>27209286</v>
      </c>
      <c r="AF59" s="5"/>
    </row>
    <row r="60" spans="1:241" ht="16.5" customHeight="1" x14ac:dyDescent="0.25">
      <c r="A60" s="62">
        <v>50</v>
      </c>
      <c r="B60" s="63" t="s">
        <v>97</v>
      </c>
      <c r="C60" s="48" t="s">
        <v>81</v>
      </c>
      <c r="D60" s="72"/>
      <c r="E60" s="72"/>
      <c r="F60" s="72">
        <v>791181293.33000004</v>
      </c>
      <c r="G60" s="72">
        <v>2033334805.4400001</v>
      </c>
      <c r="H60" s="72"/>
      <c r="I60" s="72"/>
      <c r="J60" s="72">
        <v>2824516098.77</v>
      </c>
      <c r="K60" s="72">
        <v>17195472.489999998</v>
      </c>
      <c r="L60" s="72">
        <v>5055697.75</v>
      </c>
      <c r="M60" s="53">
        <v>12139774.74</v>
      </c>
      <c r="N60" s="72">
        <v>2840432468.6799998</v>
      </c>
      <c r="O60" s="72">
        <v>39750438.710000001</v>
      </c>
      <c r="P60" s="80">
        <v>2821688357.3600001</v>
      </c>
      <c r="Q60" s="56">
        <f t="shared" si="23"/>
        <v>6.9283944163961598E-3</v>
      </c>
      <c r="R60" s="80">
        <v>2800682029.9699998</v>
      </c>
      <c r="S60" s="56">
        <f t="shared" si="24"/>
        <v>6.9690726108406998E-3</v>
      </c>
      <c r="T60" s="57">
        <f t="shared" si="25"/>
        <v>-7.444595125187416E-3</v>
      </c>
      <c r="U60" s="161">
        <f t="shared" si="26"/>
        <v>1.8051666329483877E-3</v>
      </c>
      <c r="V60" s="59">
        <f t="shared" si="27"/>
        <v>4.3345780099606802E-3</v>
      </c>
      <c r="W60" s="60">
        <f>R60/AE60</f>
        <v>3592.6630875737351</v>
      </c>
      <c r="X60" s="60">
        <f>M60/AE60</f>
        <v>15.572678416594554</v>
      </c>
      <c r="Y60" s="50">
        <v>3592.66</v>
      </c>
      <c r="Z60" s="50">
        <v>3592.66</v>
      </c>
      <c r="AA60" s="61">
        <v>1065</v>
      </c>
      <c r="AB60" s="51">
        <v>789019.07</v>
      </c>
      <c r="AC60" s="61">
        <v>844.93</v>
      </c>
      <c r="AD60" s="61">
        <v>10308.02</v>
      </c>
      <c r="AE60" s="70">
        <v>779555.99</v>
      </c>
      <c r="AF60" s="5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</row>
    <row r="61" spans="1:241" ht="16.5" customHeight="1" x14ac:dyDescent="0.25">
      <c r="A61" s="62">
        <v>73</v>
      </c>
      <c r="B61" s="48" t="s">
        <v>202</v>
      </c>
      <c r="C61" s="48" t="s">
        <v>64</v>
      </c>
      <c r="D61" s="72"/>
      <c r="E61" s="72"/>
      <c r="F61" s="72">
        <v>31230312.370000001</v>
      </c>
      <c r="G61" s="72">
        <v>280339358.83999997</v>
      </c>
      <c r="H61" s="72"/>
      <c r="I61" s="111"/>
      <c r="J61" s="72">
        <v>311569671.20999998</v>
      </c>
      <c r="K61" s="72">
        <v>3606099</v>
      </c>
      <c r="L61" s="72">
        <v>719614.59</v>
      </c>
      <c r="M61" s="112">
        <v>2886484.41</v>
      </c>
      <c r="N61" s="72">
        <v>395735930.79000002</v>
      </c>
      <c r="O61" s="72">
        <v>4017907.63</v>
      </c>
      <c r="P61" s="80">
        <v>378571154.99000001</v>
      </c>
      <c r="Q61" s="56">
        <f t="shared" si="23"/>
        <v>9.2954640777387744E-4</v>
      </c>
      <c r="R61" s="80">
        <v>391718023.16000003</v>
      </c>
      <c r="S61" s="56">
        <f t="shared" si="24"/>
        <v>9.7473091095823586E-4</v>
      </c>
      <c r="T61" s="57">
        <f t="shared" si="25"/>
        <v>3.4727601394636876E-2</v>
      </c>
      <c r="U61" s="161">
        <f t="shared" si="26"/>
        <v>1.8370729643605605E-3</v>
      </c>
      <c r="V61" s="59">
        <f t="shared" si="27"/>
        <v>7.3687812133704017E-3</v>
      </c>
      <c r="W61" s="60">
        <f>R61/AE61</f>
        <v>103.1014074681781</v>
      </c>
      <c r="X61" s="60">
        <f>M61/AE61</f>
        <v>0.75973171442355758</v>
      </c>
      <c r="Y61" s="106">
        <v>102.97</v>
      </c>
      <c r="Z61" s="106">
        <v>102.97</v>
      </c>
      <c r="AA61" s="113">
        <v>107</v>
      </c>
      <c r="AB61" s="51">
        <v>3831557</v>
      </c>
      <c r="AC61" s="51">
        <v>137190</v>
      </c>
      <c r="AD61" s="61">
        <v>169400</v>
      </c>
      <c r="AE61" s="51">
        <v>3799347</v>
      </c>
      <c r="AF61" s="5"/>
    </row>
    <row r="62" spans="1:241" ht="18" customHeight="1" x14ac:dyDescent="0.25">
      <c r="A62" s="62">
        <v>66</v>
      </c>
      <c r="B62" s="63" t="s">
        <v>115</v>
      </c>
      <c r="C62" s="63" t="s">
        <v>71</v>
      </c>
      <c r="D62" s="72"/>
      <c r="E62" s="72"/>
      <c r="F62" s="72">
        <v>45668055.759999998</v>
      </c>
      <c r="G62" s="72">
        <v>373192113.50999999</v>
      </c>
      <c r="H62" s="72"/>
      <c r="I62" s="72"/>
      <c r="J62" s="72">
        <v>418860169.26999998</v>
      </c>
      <c r="K62" s="72">
        <v>3232259.32</v>
      </c>
      <c r="L62" s="72">
        <v>825679.1</v>
      </c>
      <c r="M62" s="53">
        <v>-9416168.1300000008</v>
      </c>
      <c r="N62" s="72">
        <v>428204289.06</v>
      </c>
      <c r="O62" s="72">
        <v>4639145.49</v>
      </c>
      <c r="P62" s="80">
        <v>431906522.25999999</v>
      </c>
      <c r="Q62" s="56">
        <f t="shared" si="23"/>
        <v>1.0605064621774902E-3</v>
      </c>
      <c r="R62" s="80">
        <v>423565143.56999999</v>
      </c>
      <c r="S62" s="56">
        <f t="shared" si="24"/>
        <v>1.0539776416504216E-3</v>
      </c>
      <c r="T62" s="57">
        <f t="shared" si="25"/>
        <v>-1.931292596914903E-2</v>
      </c>
      <c r="U62" s="161">
        <f t="shared" si="26"/>
        <v>1.9493556363982182E-3</v>
      </c>
      <c r="V62" s="59">
        <f t="shared" si="27"/>
        <v>-2.2230743659962776E-2</v>
      </c>
      <c r="W62" s="60">
        <f>R62/AE62</f>
        <v>1.4751639646480836</v>
      </c>
      <c r="X62" s="60">
        <f>M62/AE62</f>
        <v>-3.2793991954505941E-2</v>
      </c>
      <c r="Y62" s="106">
        <v>1.4024000000000001</v>
      </c>
      <c r="Z62" s="106">
        <v>1.4024000000000001</v>
      </c>
      <c r="AA62" s="61">
        <v>201</v>
      </c>
      <c r="AB62" s="51">
        <v>287130891.01999998</v>
      </c>
      <c r="AC62" s="51">
        <v>15505872.33</v>
      </c>
      <c r="AD62" s="61">
        <v>600799.59</v>
      </c>
      <c r="AE62" s="51">
        <v>287130891.01999998</v>
      </c>
      <c r="AF62" s="5"/>
    </row>
    <row r="63" spans="1:241" ht="16.5" customHeight="1" x14ac:dyDescent="0.25">
      <c r="A63" s="62">
        <v>63</v>
      </c>
      <c r="B63" s="48" t="s">
        <v>191</v>
      </c>
      <c r="C63" s="48" t="s">
        <v>69</v>
      </c>
      <c r="D63" s="72"/>
      <c r="E63" s="72"/>
      <c r="F63" s="72">
        <v>119189911.25</v>
      </c>
      <c r="G63" s="72">
        <v>260471454.63</v>
      </c>
      <c r="H63" s="72"/>
      <c r="I63" s="72"/>
      <c r="J63" s="72">
        <v>412012869.97000003</v>
      </c>
      <c r="K63" s="72">
        <v>3650169.21</v>
      </c>
      <c r="L63" s="72">
        <v>817203.6</v>
      </c>
      <c r="M63" s="53">
        <v>2832965.61</v>
      </c>
      <c r="N63" s="72">
        <v>412012869.97000003</v>
      </c>
      <c r="O63" s="72">
        <v>5949524.0899999999</v>
      </c>
      <c r="P63" s="80">
        <v>417849171.62</v>
      </c>
      <c r="Q63" s="56">
        <f t="shared" si="23"/>
        <v>1.025989939674409E-3</v>
      </c>
      <c r="R63" s="80">
        <v>406063345.88</v>
      </c>
      <c r="S63" s="56">
        <f t="shared" si="24"/>
        <v>1.0104270716047529E-3</v>
      </c>
      <c r="T63" s="57">
        <f t="shared" si="25"/>
        <v>-2.820593300282587E-2</v>
      </c>
      <c r="U63" s="161">
        <f t="shared" si="26"/>
        <v>2.0125027493653668E-3</v>
      </c>
      <c r="V63" s="59">
        <f t="shared" si="27"/>
        <v>6.9766592792573773E-3</v>
      </c>
      <c r="W63" s="60" t="e">
        <f>R63/#REF!</f>
        <v>#REF!</v>
      </c>
      <c r="X63" s="60" t="e">
        <f>M63/#REF!</f>
        <v>#REF!</v>
      </c>
      <c r="Y63" s="50">
        <v>1116.3</v>
      </c>
      <c r="Z63" s="50">
        <v>1132.6500000000001</v>
      </c>
      <c r="AA63" s="61">
        <v>103</v>
      </c>
      <c r="AB63" s="51">
        <v>359097</v>
      </c>
      <c r="AC63" s="51">
        <v>5581</v>
      </c>
      <c r="AD63" s="61">
        <v>920</v>
      </c>
      <c r="AE63" s="61">
        <v>363758</v>
      </c>
      <c r="AF63" s="5"/>
      <c r="AG63" s="43"/>
    </row>
    <row r="64" spans="1:241" ht="15.75" customHeight="1" x14ac:dyDescent="0.25">
      <c r="A64" s="62">
        <v>49</v>
      </c>
      <c r="B64" s="48" t="s">
        <v>159</v>
      </c>
      <c r="C64" s="63" t="s">
        <v>157</v>
      </c>
      <c r="D64" s="72"/>
      <c r="E64" s="72"/>
      <c r="F64" s="72">
        <v>17460987.850000001</v>
      </c>
      <c r="G64" s="72">
        <v>480339042.13999999</v>
      </c>
      <c r="H64" s="107"/>
      <c r="I64" s="108">
        <v>0</v>
      </c>
      <c r="J64" s="108">
        <v>498747302.69</v>
      </c>
      <c r="K64" s="108">
        <v>6594028</v>
      </c>
      <c r="L64" s="72">
        <v>1215964.95</v>
      </c>
      <c r="M64" s="53">
        <v>5378063.0499999998</v>
      </c>
      <c r="N64" s="72">
        <v>671568526.13999999</v>
      </c>
      <c r="O64" s="72">
        <f>N64-R64</f>
        <v>17379481.449999928</v>
      </c>
      <c r="P64" s="80">
        <v>643140848.38</v>
      </c>
      <c r="Q64" s="56">
        <f t="shared" si="23"/>
        <v>1.5791727854174856E-3</v>
      </c>
      <c r="R64" s="80">
        <v>654189044.69000006</v>
      </c>
      <c r="S64" s="56">
        <f t="shared" si="24"/>
        <v>1.6278502539290253E-3</v>
      </c>
      <c r="T64" s="57">
        <f t="shared" si="25"/>
        <v>1.7178501937529293E-2</v>
      </c>
      <c r="U64" s="161">
        <f t="shared" si="26"/>
        <v>1.8587363390901908E-3</v>
      </c>
      <c r="V64" s="59">
        <f t="shared" si="27"/>
        <v>8.2209616526802247E-3</v>
      </c>
      <c r="W64" s="60">
        <f t="shared" ref="W64:W75" si="28">R64/AE64</f>
        <v>1.0270866049649743</v>
      </c>
      <c r="X64" s="60">
        <f t="shared" ref="X64:X75" si="29">M64/AE64</f>
        <v>8.4436395933985761E-3</v>
      </c>
      <c r="Y64" s="106">
        <v>1.03</v>
      </c>
      <c r="Z64" s="106">
        <v>1.03</v>
      </c>
      <c r="AA64" s="61">
        <v>41</v>
      </c>
      <c r="AB64" s="51">
        <v>612433141.36000001</v>
      </c>
      <c r="AC64" s="61">
        <v>30072147.620000001</v>
      </c>
      <c r="AD64" s="61">
        <v>5568694.2199999997</v>
      </c>
      <c r="AE64" s="51">
        <v>636936594.75999999</v>
      </c>
      <c r="AF64" s="5"/>
    </row>
    <row r="65" spans="1:241" ht="16.5" customHeight="1" x14ac:dyDescent="0.25">
      <c r="A65" s="62">
        <v>48</v>
      </c>
      <c r="B65" s="48" t="s">
        <v>210</v>
      </c>
      <c r="C65" s="48" t="s">
        <v>37</v>
      </c>
      <c r="D65" s="72"/>
      <c r="E65" s="72"/>
      <c r="F65" s="72">
        <v>21803762273.889999</v>
      </c>
      <c r="G65" s="72">
        <v>43126860973.839996</v>
      </c>
      <c r="H65" s="72"/>
      <c r="I65" s="72"/>
      <c r="J65" s="72">
        <v>66520264667.800003</v>
      </c>
      <c r="K65" s="72">
        <v>432690758.02999997</v>
      </c>
      <c r="L65" s="72">
        <v>72838784.760000005</v>
      </c>
      <c r="M65" s="53">
        <v>359851973.27999997</v>
      </c>
      <c r="N65" s="72">
        <v>66832698487.360001</v>
      </c>
      <c r="O65" s="72">
        <v>312433819.52999997</v>
      </c>
      <c r="P65" s="80">
        <v>64176574021.139999</v>
      </c>
      <c r="Q65" s="56">
        <f t="shared" si="23"/>
        <v>0.15757963346721657</v>
      </c>
      <c r="R65" s="80">
        <v>66520264667.830002</v>
      </c>
      <c r="S65" s="56">
        <f t="shared" si="24"/>
        <v>0.16552559326679944</v>
      </c>
      <c r="T65" s="57">
        <f t="shared" si="25"/>
        <v>3.6519410430322786E-2</v>
      </c>
      <c r="U65" s="161">
        <f t="shared" si="26"/>
        <v>1.0949863943524824E-3</v>
      </c>
      <c r="V65" s="59">
        <f t="shared" si="27"/>
        <v>5.4096593733793229E-3</v>
      </c>
      <c r="W65" s="60">
        <f t="shared" si="28"/>
        <v>1481.5616833643112</v>
      </c>
      <c r="X65" s="60">
        <f t="shared" si="29"/>
        <v>8.0147440476513943</v>
      </c>
      <c r="Y65" s="106">
        <v>1469.85</v>
      </c>
      <c r="Z65" s="106">
        <v>1469.85</v>
      </c>
      <c r="AA65" s="61">
        <v>2447</v>
      </c>
      <c r="AB65" s="51">
        <v>43661911</v>
      </c>
      <c r="AC65" s="61">
        <v>4778921</v>
      </c>
      <c r="AD65" s="61">
        <v>3542084</v>
      </c>
      <c r="AE65" s="51">
        <v>44898748</v>
      </c>
      <c r="AF65" s="5"/>
    </row>
    <row r="66" spans="1:241" ht="16.5" customHeight="1" x14ac:dyDescent="0.25">
      <c r="A66" s="62">
        <v>62</v>
      </c>
      <c r="B66" s="48" t="s">
        <v>148</v>
      </c>
      <c r="C66" s="48" t="s">
        <v>77</v>
      </c>
      <c r="D66" s="72"/>
      <c r="E66" s="72"/>
      <c r="F66" s="72"/>
      <c r="G66" s="72">
        <v>15526437.92</v>
      </c>
      <c r="H66" s="72"/>
      <c r="I66" s="72"/>
      <c r="J66" s="72">
        <v>25361140.359999999</v>
      </c>
      <c r="K66" s="72">
        <v>199736.77</v>
      </c>
      <c r="L66" s="72">
        <v>166412.42000000001</v>
      </c>
      <c r="M66" s="53">
        <v>33324.35</v>
      </c>
      <c r="N66" s="72">
        <v>25271397.309999999</v>
      </c>
      <c r="O66" s="72">
        <v>4745156.8600000003</v>
      </c>
      <c r="P66" s="80">
        <v>21833493.100000001</v>
      </c>
      <c r="Q66" s="56">
        <f t="shared" si="23"/>
        <v>5.3610120086399188E-5</v>
      </c>
      <c r="R66" s="80">
        <v>20526240.449999999</v>
      </c>
      <c r="S66" s="56">
        <f t="shared" si="24"/>
        <v>5.107643730807877E-5</v>
      </c>
      <c r="T66" s="57">
        <f t="shared" si="25"/>
        <v>-5.9873729046132439E-2</v>
      </c>
      <c r="U66" s="161">
        <f t="shared" si="26"/>
        <v>8.1073015005044442E-3</v>
      </c>
      <c r="V66" s="59">
        <f t="shared" si="27"/>
        <v>1.6234999332281523E-3</v>
      </c>
      <c r="W66" s="60">
        <f t="shared" si="28"/>
        <v>0.66624069232351024</v>
      </c>
      <c r="X66" s="60">
        <f t="shared" si="29"/>
        <v>1.0816417195010969E-3</v>
      </c>
      <c r="Y66" s="50">
        <v>0.66620000000000001</v>
      </c>
      <c r="Z66" s="50">
        <v>0.66620000000000001</v>
      </c>
      <c r="AA66" s="61">
        <v>751</v>
      </c>
      <c r="AB66" s="51">
        <v>30809046.469999999</v>
      </c>
      <c r="AC66" s="51"/>
      <c r="AD66" s="61"/>
      <c r="AE66" s="61">
        <v>30809046.469999999</v>
      </c>
      <c r="AF66" s="5"/>
    </row>
    <row r="67" spans="1:241" ht="16.5" customHeight="1" x14ac:dyDescent="0.25">
      <c r="A67" s="62">
        <v>64</v>
      </c>
      <c r="B67" s="97" t="s">
        <v>110</v>
      </c>
      <c r="C67" s="48" t="s">
        <v>44</v>
      </c>
      <c r="D67" s="72"/>
      <c r="E67" s="72"/>
      <c r="F67" s="72">
        <v>11125808.039999999</v>
      </c>
      <c r="G67" s="72">
        <v>152765152.66</v>
      </c>
      <c r="H67" s="72"/>
      <c r="I67" s="72"/>
      <c r="J67" s="72">
        <v>163890960.69999999</v>
      </c>
      <c r="K67" s="72">
        <v>1325571.78</v>
      </c>
      <c r="L67" s="72">
        <v>562204.69999999995</v>
      </c>
      <c r="M67" s="53">
        <v>763367.08</v>
      </c>
      <c r="N67" s="72">
        <v>170062093.93000001</v>
      </c>
      <c r="O67" s="72">
        <v>6557399.6500000004</v>
      </c>
      <c r="P67" s="80">
        <v>162794811.75999999</v>
      </c>
      <c r="Q67" s="56">
        <f t="shared" si="23"/>
        <v>3.9972758220242598E-4</v>
      </c>
      <c r="R67" s="80">
        <v>163504694.27000001</v>
      </c>
      <c r="S67" s="56">
        <f t="shared" si="24"/>
        <v>4.0685664219909505E-4</v>
      </c>
      <c r="T67" s="57">
        <f t="shared" si="25"/>
        <v>4.360596645098024E-3</v>
      </c>
      <c r="U67" s="161">
        <f t="shared" si="26"/>
        <v>3.4384621341306269E-3</v>
      </c>
      <c r="V67" s="59">
        <f t="shared" si="27"/>
        <v>4.6687777583891863E-3</v>
      </c>
      <c r="W67" s="60">
        <f t="shared" si="28"/>
        <v>141.74999999783265</v>
      </c>
      <c r="X67" s="60">
        <f t="shared" si="29"/>
        <v>0.66179924724154826</v>
      </c>
      <c r="Y67" s="106">
        <v>141.75</v>
      </c>
      <c r="Z67" s="106">
        <v>141.75</v>
      </c>
      <c r="AA67" s="61">
        <v>15</v>
      </c>
      <c r="AB67" s="165">
        <v>1153472.27</v>
      </c>
      <c r="AC67" s="51"/>
      <c r="AD67" s="61"/>
      <c r="AE67" s="51">
        <v>1153472.27</v>
      </c>
      <c r="AF67" s="5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</row>
    <row r="68" spans="1:241" ht="16.5" customHeight="1" x14ac:dyDescent="0.25">
      <c r="A68" s="62">
        <v>65</v>
      </c>
      <c r="B68" s="63" t="s">
        <v>114</v>
      </c>
      <c r="C68" s="63" t="s">
        <v>113</v>
      </c>
      <c r="D68" s="72"/>
      <c r="E68" s="72"/>
      <c r="F68" s="72">
        <v>365695152.20999998</v>
      </c>
      <c r="G68" s="72">
        <v>397967996.83999997</v>
      </c>
      <c r="H68" s="72"/>
      <c r="I68" s="72"/>
      <c r="J68" s="72">
        <v>771758268.48000002</v>
      </c>
      <c r="K68" s="72">
        <v>17087094.16</v>
      </c>
      <c r="L68" s="72">
        <v>9934135.1799999997</v>
      </c>
      <c r="M68" s="53">
        <v>7152958.9800000004</v>
      </c>
      <c r="N68" s="72">
        <v>771758268.48000002</v>
      </c>
      <c r="O68" s="72">
        <v>5585312.1500000004</v>
      </c>
      <c r="P68" s="80">
        <v>767334416.33000004</v>
      </c>
      <c r="Q68" s="56">
        <f t="shared" si="23"/>
        <v>1.8841185886961135E-3</v>
      </c>
      <c r="R68" s="80">
        <v>766172956.34000003</v>
      </c>
      <c r="S68" s="110">
        <f t="shared" si="24"/>
        <v>1.9065052398158663E-3</v>
      </c>
      <c r="T68" s="57">
        <f t="shared" si="25"/>
        <v>-1.5136294753401386E-3</v>
      </c>
      <c r="U68" s="161">
        <f t="shared" si="26"/>
        <v>1.2965917287729988E-2</v>
      </c>
      <c r="V68" s="59">
        <f t="shared" si="27"/>
        <v>9.3359585728131269E-3</v>
      </c>
      <c r="W68" s="60">
        <f t="shared" si="28"/>
        <v>189.83289171429493</v>
      </c>
      <c r="X68" s="60">
        <f t="shared" si="29"/>
        <v>1.7722720128019775</v>
      </c>
      <c r="Y68" s="106">
        <v>189.8329</v>
      </c>
      <c r="Z68" s="106">
        <v>191.21680000000001</v>
      </c>
      <c r="AA68" s="61">
        <v>452</v>
      </c>
      <c r="AB68" s="51">
        <v>4012989.66</v>
      </c>
      <c r="AC68" s="51">
        <v>125484.1</v>
      </c>
      <c r="AD68" s="61">
        <v>90295.46</v>
      </c>
      <c r="AE68" s="51">
        <v>4036039.01</v>
      </c>
      <c r="AF68" s="5"/>
    </row>
    <row r="69" spans="1:241" ht="18.75" customHeight="1" x14ac:dyDescent="0.25">
      <c r="A69" s="62">
        <v>57</v>
      </c>
      <c r="B69" s="48" t="s">
        <v>183</v>
      </c>
      <c r="C69" s="63" t="s">
        <v>25</v>
      </c>
      <c r="D69" s="72"/>
      <c r="E69" s="72"/>
      <c r="F69" s="72">
        <v>227588612.22999999</v>
      </c>
      <c r="G69" s="72">
        <v>2980057769.0100002</v>
      </c>
      <c r="H69" s="72"/>
      <c r="I69" s="72"/>
      <c r="J69" s="72">
        <v>3243726809.5599999</v>
      </c>
      <c r="K69" s="99">
        <v>27519374.440000001</v>
      </c>
      <c r="L69" s="99">
        <v>4293969.91</v>
      </c>
      <c r="M69" s="53">
        <v>23225404.530000001</v>
      </c>
      <c r="N69" s="72">
        <v>3243726809.5599999</v>
      </c>
      <c r="O69" s="72">
        <v>9632895.4499999993</v>
      </c>
      <c r="P69" s="80">
        <v>3812630033.1300001</v>
      </c>
      <c r="Q69" s="56">
        <f t="shared" si="23"/>
        <v>9.3615599201170158E-3</v>
      </c>
      <c r="R69" s="80">
        <v>3234093914.1100001</v>
      </c>
      <c r="S69" s="56">
        <f t="shared" si="24"/>
        <v>8.0475523735024021E-3</v>
      </c>
      <c r="T69" s="57">
        <f t="shared" si="25"/>
        <v>-0.15174200328717641</v>
      </c>
      <c r="U69" s="161">
        <f>(L70/R69)</f>
        <v>9.446205636365116E-3</v>
      </c>
      <c r="V69" s="59">
        <f t="shared" si="27"/>
        <v>7.1814255079823402E-3</v>
      </c>
      <c r="W69" s="60">
        <f t="shared" si="28"/>
        <v>3.7945176379709906</v>
      </c>
      <c r="X69" s="60">
        <f t="shared" si="29"/>
        <v>2.725004575581377E-2</v>
      </c>
      <c r="Y69" s="109">
        <v>3.81</v>
      </c>
      <c r="Z69" s="109">
        <v>3.81</v>
      </c>
      <c r="AA69" s="99">
        <v>863</v>
      </c>
      <c r="AB69" s="99">
        <v>983899533</v>
      </c>
      <c r="AC69" s="99">
        <v>2578715</v>
      </c>
      <c r="AD69" s="99">
        <v>134171256</v>
      </c>
      <c r="AE69" s="51">
        <v>852306992</v>
      </c>
      <c r="AF69" s="5"/>
    </row>
    <row r="70" spans="1:241" ht="16.5" customHeight="1" x14ac:dyDescent="0.25">
      <c r="A70" s="62">
        <v>61</v>
      </c>
      <c r="B70" s="75" t="s">
        <v>207</v>
      </c>
      <c r="C70" s="48" t="s">
        <v>107</v>
      </c>
      <c r="D70" s="72"/>
      <c r="E70" s="72"/>
      <c r="F70" s="72"/>
      <c r="G70" s="72">
        <v>4773039983.9099998</v>
      </c>
      <c r="H70" s="72"/>
      <c r="I70" s="72">
        <f>5554911402.02+15997138.58</f>
        <v>5570908540.6000004</v>
      </c>
      <c r="J70" s="72">
        <v>10343948524.51</v>
      </c>
      <c r="K70" s="72">
        <v>132483674.8</v>
      </c>
      <c r="L70" s="72">
        <v>30549916.16</v>
      </c>
      <c r="M70" s="53">
        <v>101933758.64</v>
      </c>
      <c r="N70" s="72">
        <v>15636213169.639999</v>
      </c>
      <c r="O70" s="72">
        <v>351753519.13</v>
      </c>
      <c r="P70" s="80">
        <v>15345720022.5</v>
      </c>
      <c r="Q70" s="56">
        <f t="shared" si="23"/>
        <v>3.7679994192889157E-2</v>
      </c>
      <c r="R70" s="80">
        <v>15284459650.51</v>
      </c>
      <c r="S70" s="56">
        <f t="shared" si="24"/>
        <v>3.8033060512410281E-2</v>
      </c>
      <c r="T70" s="57">
        <f t="shared" si="25"/>
        <v>-3.9920167903610511E-3</v>
      </c>
      <c r="U70" s="161">
        <f>(L70/R70)</f>
        <v>1.9987567018099088E-3</v>
      </c>
      <c r="V70" s="59">
        <f t="shared" si="27"/>
        <v>6.6691110429015887E-3</v>
      </c>
      <c r="W70" s="60">
        <f t="shared" si="28"/>
        <v>1158.902051494138</v>
      </c>
      <c r="X70" s="60">
        <f t="shared" si="29"/>
        <v>7.7288464692608621</v>
      </c>
      <c r="Y70" s="50">
        <v>1158.9000000000001</v>
      </c>
      <c r="Z70" s="50">
        <v>1158.9000000000001</v>
      </c>
      <c r="AA70" s="61">
        <v>6613</v>
      </c>
      <c r="AB70" s="51">
        <v>13047244.199999999</v>
      </c>
      <c r="AC70" s="51">
        <v>617414</v>
      </c>
      <c r="AD70" s="61">
        <v>475917</v>
      </c>
      <c r="AE70" s="51">
        <v>13188741.560000001</v>
      </c>
      <c r="AF70" s="5"/>
    </row>
    <row r="71" spans="1:241" ht="16.5" customHeight="1" x14ac:dyDescent="0.25">
      <c r="A71" s="62">
        <v>47</v>
      </c>
      <c r="B71" s="48" t="s">
        <v>92</v>
      </c>
      <c r="C71" s="48" t="s">
        <v>31</v>
      </c>
      <c r="D71" s="72"/>
      <c r="E71" s="72"/>
      <c r="F71" s="72">
        <v>224996207.16</v>
      </c>
      <c r="G71" s="72">
        <v>1173167267.1800001</v>
      </c>
      <c r="H71" s="72"/>
      <c r="I71" s="72"/>
      <c r="J71" s="72">
        <v>1398163474.3399999</v>
      </c>
      <c r="K71" s="72">
        <v>13863505.6</v>
      </c>
      <c r="L71" s="72">
        <v>1897119.68</v>
      </c>
      <c r="M71" s="53">
        <v>11966385.92</v>
      </c>
      <c r="N71" s="72">
        <v>1411536881.7</v>
      </c>
      <c r="O71" s="72">
        <v>35842040.729999997</v>
      </c>
      <c r="P71" s="80">
        <v>1392882440.0699999</v>
      </c>
      <c r="Q71" s="56">
        <f t="shared" si="23"/>
        <v>3.4200938226595277E-3</v>
      </c>
      <c r="R71" s="80">
        <v>1375694840.97</v>
      </c>
      <c r="S71" s="56">
        <f t="shared" si="24"/>
        <v>3.4232080380726324E-3</v>
      </c>
      <c r="T71" s="57">
        <f t="shared" si="25"/>
        <v>-1.2339590625563586E-2</v>
      </c>
      <c r="U71" s="161">
        <f>(L71/R71)</f>
        <v>1.3790265279052323E-3</v>
      </c>
      <c r="V71" s="59">
        <f t="shared" si="27"/>
        <v>8.6984304684624113E-3</v>
      </c>
      <c r="W71" s="60">
        <f t="shared" si="28"/>
        <v>308.97492905310196</v>
      </c>
      <c r="X71" s="60">
        <f t="shared" si="29"/>
        <v>2.6875969368665142</v>
      </c>
      <c r="Y71" s="106">
        <v>308.97489999999999</v>
      </c>
      <c r="Z71" s="106">
        <v>308.97489999999999</v>
      </c>
      <c r="AA71" s="61">
        <v>97</v>
      </c>
      <c r="AB71" s="166">
        <v>4299408.5294000003</v>
      </c>
      <c r="AC71" s="51">
        <v>176582.46729999999</v>
      </c>
      <c r="AD71" s="61">
        <v>23542.880000000001</v>
      </c>
      <c r="AE71" s="51">
        <v>4452448.1167000001</v>
      </c>
      <c r="AF71" s="5"/>
    </row>
    <row r="72" spans="1:241" ht="16.5" customHeight="1" x14ac:dyDescent="0.25">
      <c r="A72" s="62">
        <v>60</v>
      </c>
      <c r="B72" s="63" t="s">
        <v>108</v>
      </c>
      <c r="C72" s="63" t="s">
        <v>46</v>
      </c>
      <c r="D72" s="72"/>
      <c r="E72" s="72"/>
      <c r="F72" s="72">
        <v>9510400</v>
      </c>
      <c r="G72" s="72">
        <v>44131509.740000002</v>
      </c>
      <c r="H72" s="72"/>
      <c r="I72" s="72"/>
      <c r="J72" s="72">
        <v>53641909.740000002</v>
      </c>
      <c r="K72" s="72">
        <v>441081.13</v>
      </c>
      <c r="L72" s="72">
        <v>57147.82</v>
      </c>
      <c r="M72" s="53">
        <v>383933.31</v>
      </c>
      <c r="N72" s="72">
        <v>56051507.890000001</v>
      </c>
      <c r="O72" s="72">
        <v>115525.53</v>
      </c>
      <c r="P72" s="80">
        <v>54893524.420000002</v>
      </c>
      <c r="Q72" s="56">
        <f t="shared" si="23"/>
        <v>1.3478596496874275E-4</v>
      </c>
      <c r="R72" s="80">
        <v>55935982.359999999</v>
      </c>
      <c r="S72" s="56">
        <f t="shared" si="24"/>
        <v>1.3918821146209168E-4</v>
      </c>
      <c r="T72" s="57">
        <f t="shared" si="25"/>
        <v>1.8990544896042176E-2</v>
      </c>
      <c r="U72" s="161">
        <f>(L72/R72)</f>
        <v>1.0216647243665214E-3</v>
      </c>
      <c r="V72" s="59">
        <f t="shared" si="27"/>
        <v>6.863798467487932E-3</v>
      </c>
      <c r="W72" s="60">
        <f t="shared" si="28"/>
        <v>11.733609548160654</v>
      </c>
      <c r="X72" s="60">
        <f t="shared" si="29"/>
        <v>8.0537131234766871E-2</v>
      </c>
      <c r="Y72" s="50">
        <v>11.733599999999999</v>
      </c>
      <c r="Z72" s="50">
        <v>11.7578</v>
      </c>
      <c r="AA72" s="61">
        <v>47</v>
      </c>
      <c r="AB72" s="51">
        <v>4727698</v>
      </c>
      <c r="AC72" s="51">
        <v>39461</v>
      </c>
      <c r="AD72" s="61"/>
      <c r="AE72" s="51">
        <v>4767159</v>
      </c>
      <c r="AF72" s="5"/>
    </row>
    <row r="73" spans="1:241" ht="16.5" customHeight="1" x14ac:dyDescent="0.25">
      <c r="A73" s="62">
        <v>56</v>
      </c>
      <c r="B73" s="48" t="s">
        <v>104</v>
      </c>
      <c r="C73" s="48" t="s">
        <v>103</v>
      </c>
      <c r="D73" s="72"/>
      <c r="E73" s="72"/>
      <c r="F73" s="72">
        <v>1121196703.6600001</v>
      </c>
      <c r="G73" s="72">
        <v>5244555847.8199997</v>
      </c>
      <c r="H73" s="72"/>
      <c r="I73" s="72">
        <v>6972930.7300000004</v>
      </c>
      <c r="J73" s="72">
        <v>6372725482.21</v>
      </c>
      <c r="K73" s="72">
        <v>63879793.340000004</v>
      </c>
      <c r="L73" s="72">
        <v>9446373.7599999998</v>
      </c>
      <c r="M73" s="53">
        <v>54433419.579999998</v>
      </c>
      <c r="N73" s="72">
        <v>7065224004</v>
      </c>
      <c r="O73" s="72">
        <v>78869566</v>
      </c>
      <c r="P73" s="80">
        <v>7154123802</v>
      </c>
      <c r="Q73" s="56">
        <f t="shared" si="23"/>
        <v>1.7566288380038774E-2</v>
      </c>
      <c r="R73" s="80">
        <v>6986354437</v>
      </c>
      <c r="S73" s="56">
        <f t="shared" si="24"/>
        <v>1.7384483791986781E-2</v>
      </c>
      <c r="T73" s="57">
        <f t="shared" si="25"/>
        <v>-2.3450721519957279E-2</v>
      </c>
      <c r="U73" s="161">
        <f>(L73/R73)</f>
        <v>1.3521177382543955E-3</v>
      </c>
      <c r="V73" s="59">
        <f t="shared" si="27"/>
        <v>7.7913910711026237E-3</v>
      </c>
      <c r="W73" s="60">
        <f t="shared" si="28"/>
        <v>1.0500000000601173</v>
      </c>
      <c r="X73" s="60">
        <f t="shared" si="29"/>
        <v>8.1809606251261515E-3</v>
      </c>
      <c r="Y73" s="51">
        <v>1.05</v>
      </c>
      <c r="Z73" s="51">
        <v>1.05</v>
      </c>
      <c r="AA73" s="61">
        <v>2281</v>
      </c>
      <c r="AB73" s="51">
        <v>6813451240</v>
      </c>
      <c r="AC73" s="65">
        <v>0</v>
      </c>
      <c r="AD73" s="65">
        <f>AB73-AE73</f>
        <v>159780348</v>
      </c>
      <c r="AE73" s="61">
        <v>6653670892</v>
      </c>
      <c r="AF73" s="5"/>
    </row>
    <row r="74" spans="1:241" ht="16.5" customHeight="1" x14ac:dyDescent="0.25">
      <c r="A74" s="62">
        <v>58</v>
      </c>
      <c r="B74" s="63" t="s">
        <v>105</v>
      </c>
      <c r="C74" s="48" t="s">
        <v>23</v>
      </c>
      <c r="D74" s="72"/>
      <c r="E74" s="72"/>
      <c r="F74" s="72">
        <v>14242367899.540001</v>
      </c>
      <c r="G74" s="72">
        <v>46869860329.75</v>
      </c>
      <c r="H74" s="72"/>
      <c r="I74" s="72">
        <v>273972.59999999998</v>
      </c>
      <c r="J74" s="72">
        <v>61112502201.889999</v>
      </c>
      <c r="K74" s="72">
        <v>538963577.83000004</v>
      </c>
      <c r="L74" s="72">
        <v>71044971.790000007</v>
      </c>
      <c r="M74" s="53">
        <v>467918606.04000002</v>
      </c>
      <c r="N74" s="72">
        <v>64042203605.559998</v>
      </c>
      <c r="O74" s="72">
        <v>91404625.569999993</v>
      </c>
      <c r="P74" s="80">
        <v>65025296723.510002</v>
      </c>
      <c r="Q74" s="56">
        <f t="shared" si="23"/>
        <v>0.15966359345409145</v>
      </c>
      <c r="R74" s="80">
        <v>63950798979.989998</v>
      </c>
      <c r="S74" s="56">
        <f t="shared" si="24"/>
        <v>0.15913186746786878</v>
      </c>
      <c r="T74" s="57">
        <f t="shared" si="25"/>
        <v>-1.6524303581247908E-2</v>
      </c>
      <c r="U74" s="161">
        <f>(L75/R74)</f>
        <v>1.6458952114567695E-3</v>
      </c>
      <c r="V74" s="59">
        <f t="shared" si="27"/>
        <v>7.3168531668605149E-3</v>
      </c>
      <c r="W74" s="60">
        <f t="shared" si="28"/>
        <v>4446.5481304143468</v>
      </c>
      <c r="X74" s="60">
        <f t="shared" si="29"/>
        <v>32.534739769619918</v>
      </c>
      <c r="Y74" s="50">
        <v>4446.55</v>
      </c>
      <c r="Z74" s="50">
        <v>4446.55</v>
      </c>
      <c r="AA74" s="61">
        <v>450</v>
      </c>
      <c r="AB74" s="51">
        <v>14726623.41</v>
      </c>
      <c r="AC74" s="51">
        <v>1156141.53</v>
      </c>
      <c r="AD74" s="51">
        <v>1500642.65</v>
      </c>
      <c r="AE74" s="51">
        <v>14382122.289999999</v>
      </c>
      <c r="AF74" s="5"/>
    </row>
    <row r="75" spans="1:241" ht="16.5" customHeight="1" x14ac:dyDescent="0.25">
      <c r="A75" s="62">
        <v>46</v>
      </c>
      <c r="B75" s="48" t="s">
        <v>91</v>
      </c>
      <c r="C75" s="48" t="s">
        <v>23</v>
      </c>
      <c r="D75" s="72"/>
      <c r="E75" s="72"/>
      <c r="F75" s="72">
        <v>10771141268.01</v>
      </c>
      <c r="G75" s="72">
        <v>46232702962.18</v>
      </c>
      <c r="H75" s="72"/>
      <c r="I75" s="72"/>
      <c r="J75" s="72">
        <v>57003844230.190002</v>
      </c>
      <c r="K75" s="72">
        <v>377909740.75</v>
      </c>
      <c r="L75" s="72">
        <v>105256313.81</v>
      </c>
      <c r="M75" s="53">
        <v>272653426.94</v>
      </c>
      <c r="N75" s="72">
        <v>57454059660.269997</v>
      </c>
      <c r="O75" s="72">
        <v>121152784.78</v>
      </c>
      <c r="P75" s="80">
        <v>57282785550.300003</v>
      </c>
      <c r="Q75" s="56">
        <f t="shared" si="23"/>
        <v>0.14065257438055276</v>
      </c>
      <c r="R75" s="80">
        <v>57332906875.489998</v>
      </c>
      <c r="S75" s="56">
        <f t="shared" si="24"/>
        <v>0.14266424632650559</v>
      </c>
      <c r="T75" s="57">
        <f t="shared" si="25"/>
        <v>8.7498058462927373E-4</v>
      </c>
      <c r="U75" s="161">
        <f t="shared" ref="U75:U81" si="30">(L75/R75)</f>
        <v>1.8358795942195181E-3</v>
      </c>
      <c r="V75" s="59">
        <f t="shared" si="27"/>
        <v>4.7556184013505904E-3</v>
      </c>
      <c r="W75" s="60">
        <f t="shared" si="28"/>
        <v>240.25208671351083</v>
      </c>
      <c r="X75" s="60">
        <f t="shared" si="29"/>
        <v>1.1425472445376497</v>
      </c>
      <c r="Y75" s="106">
        <v>240.25</v>
      </c>
      <c r="Z75" s="106">
        <v>240.25</v>
      </c>
      <c r="AA75" s="61">
        <v>6798</v>
      </c>
      <c r="AB75" s="51">
        <v>239098767.56999999</v>
      </c>
      <c r="AC75" s="51">
        <v>8946092.8300000001</v>
      </c>
      <c r="AD75" s="51">
        <v>9408402.9199999999</v>
      </c>
      <c r="AE75" s="51">
        <v>238636457.47999999</v>
      </c>
      <c r="AF75" s="5"/>
    </row>
    <row r="76" spans="1:241" ht="16.5" customHeight="1" x14ac:dyDescent="0.25">
      <c r="A76" s="62">
        <v>59</v>
      </c>
      <c r="B76" s="63" t="s">
        <v>106</v>
      </c>
      <c r="C76" s="48" t="s">
        <v>23</v>
      </c>
      <c r="D76" s="51">
        <v>67227475.900000006</v>
      </c>
      <c r="E76" s="72"/>
      <c r="F76" s="72">
        <v>129144778.08</v>
      </c>
      <c r="G76" s="72">
        <v>30960998.219999999</v>
      </c>
      <c r="H76" s="72"/>
      <c r="I76" s="72"/>
      <c r="J76" s="72">
        <v>227333252.19999999</v>
      </c>
      <c r="K76" s="72">
        <v>4398003.76</v>
      </c>
      <c r="L76" s="72">
        <v>510440.63</v>
      </c>
      <c r="M76" s="53">
        <v>-3330609.31</v>
      </c>
      <c r="N76" s="72">
        <v>254620633.94999999</v>
      </c>
      <c r="O76" s="72">
        <v>1199520.18</v>
      </c>
      <c r="P76" s="80">
        <v>256896121.05000001</v>
      </c>
      <c r="Q76" s="56">
        <f t="shared" si="23"/>
        <v>6.3078463148989402E-4</v>
      </c>
      <c r="R76" s="80">
        <v>253421113.77000001</v>
      </c>
      <c r="S76" s="56">
        <f t="shared" si="24"/>
        <v>6.30600019596716E-4</v>
      </c>
      <c r="T76" s="57">
        <f t="shared" si="25"/>
        <v>-1.3526896653000284E-2</v>
      </c>
      <c r="U76" s="161">
        <f t="shared" si="30"/>
        <v>2.0141993001548631E-3</v>
      </c>
      <c r="V76" s="59">
        <f t="shared" si="27"/>
        <v>-1.314258808373321E-2</v>
      </c>
      <c r="W76" s="60" t="e">
        <f>R76/#REF!</f>
        <v>#REF!</v>
      </c>
      <c r="X76" s="60" t="e">
        <f>M76/#REF!</f>
        <v>#REF!</v>
      </c>
      <c r="Y76" s="50">
        <v>4069.1</v>
      </c>
      <c r="Z76" s="50">
        <v>4090.37</v>
      </c>
      <c r="AA76" s="61">
        <v>15</v>
      </c>
      <c r="AB76" s="51">
        <v>62070.49</v>
      </c>
      <c r="AC76" s="51">
        <v>0</v>
      </c>
      <c r="AD76" s="61">
        <v>0</v>
      </c>
      <c r="AE76" s="51">
        <v>62070.49</v>
      </c>
      <c r="AF76" s="5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</row>
    <row r="77" spans="1:241" ht="16.5" customHeight="1" x14ac:dyDescent="0.25">
      <c r="A77" s="62">
        <v>69</v>
      </c>
      <c r="B77" s="48" t="s">
        <v>161</v>
      </c>
      <c r="C77" s="48" t="s">
        <v>23</v>
      </c>
      <c r="D77" s="72"/>
      <c r="E77" s="72"/>
      <c r="F77" s="72">
        <v>9741367148.2299995</v>
      </c>
      <c r="G77" s="72">
        <v>22301454941.720001</v>
      </c>
      <c r="H77" s="72"/>
      <c r="I77" s="72"/>
      <c r="J77" s="72">
        <v>32042822089.950001</v>
      </c>
      <c r="K77" s="72">
        <v>264910926.69</v>
      </c>
      <c r="L77" s="72">
        <v>44289185.600000001</v>
      </c>
      <c r="M77" s="53">
        <v>220621741.09</v>
      </c>
      <c r="N77" s="72">
        <v>32291398447.549999</v>
      </c>
      <c r="O77" s="72">
        <v>55128784.950000003</v>
      </c>
      <c r="P77" s="80">
        <v>31176564297.880001</v>
      </c>
      <c r="Q77" s="56">
        <f t="shared" si="23"/>
        <v>7.6551166056460868E-2</v>
      </c>
      <c r="R77" s="80">
        <v>32236269662.599998</v>
      </c>
      <c r="S77" s="56">
        <f t="shared" si="24"/>
        <v>8.0215069607065356E-2</v>
      </c>
      <c r="T77" s="57">
        <f t="shared" si="25"/>
        <v>3.3990447266572514E-2</v>
      </c>
      <c r="U77" s="161">
        <f t="shared" si="30"/>
        <v>1.3738930113053249E-3</v>
      </c>
      <c r="V77" s="59">
        <f t="shared" si="27"/>
        <v>6.843897988170815E-3</v>
      </c>
      <c r="W77" s="60">
        <f>R77/AE77</f>
        <v>111.00390566881195</v>
      </c>
      <c r="X77" s="60">
        <f>M77/AE77</f>
        <v>0.75969940668588498</v>
      </c>
      <c r="Y77" s="106">
        <v>111</v>
      </c>
      <c r="Z77" s="106">
        <v>111</v>
      </c>
      <c r="AA77" s="69">
        <v>3475</v>
      </c>
      <c r="AB77" s="51">
        <v>282797302.11000001</v>
      </c>
      <c r="AC77" s="51">
        <v>32892306.030000001</v>
      </c>
      <c r="AD77" s="61">
        <v>25282982.640000001</v>
      </c>
      <c r="AE77" s="51">
        <v>290406625.5</v>
      </c>
      <c r="AF77" s="5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</row>
    <row r="78" spans="1:241" ht="16.5" customHeight="1" x14ac:dyDescent="0.25">
      <c r="A78" s="62">
        <v>55</v>
      </c>
      <c r="B78" s="48" t="s">
        <v>102</v>
      </c>
      <c r="C78" s="48" t="s">
        <v>23</v>
      </c>
      <c r="D78" s="72">
        <v>26795819.649999999</v>
      </c>
      <c r="E78" s="72"/>
      <c r="F78" s="72">
        <v>3978969375.25</v>
      </c>
      <c r="G78" s="72">
        <v>15926439110.85</v>
      </c>
      <c r="H78" s="72"/>
      <c r="I78" s="72"/>
      <c r="J78" s="72">
        <v>19956861840</v>
      </c>
      <c r="K78" s="72">
        <v>158715068.91999999</v>
      </c>
      <c r="L78" s="72">
        <v>46702938.100000001</v>
      </c>
      <c r="M78" s="53">
        <v>111038035.97</v>
      </c>
      <c r="N78" s="72">
        <v>20543002698.220001</v>
      </c>
      <c r="O78" s="72">
        <v>136084384.5</v>
      </c>
      <c r="P78" s="80">
        <v>21689843656.200001</v>
      </c>
      <c r="Q78" s="56">
        <f t="shared" si="23"/>
        <v>5.3257402181976353E-2</v>
      </c>
      <c r="R78" s="80">
        <v>20406918313.720001</v>
      </c>
      <c r="S78" s="56">
        <f t="shared" si="24"/>
        <v>5.077952226277288E-2</v>
      </c>
      <c r="T78" s="57">
        <f t="shared" si="25"/>
        <v>-5.9148667128049018E-2</v>
      </c>
      <c r="U78" s="161">
        <f t="shared" si="30"/>
        <v>2.288583576511924E-3</v>
      </c>
      <c r="V78" s="59">
        <f t="shared" si="27"/>
        <v>5.4411956897650144E-3</v>
      </c>
      <c r="W78" s="60">
        <f>R78/AE78</f>
        <v>323.47786983632903</v>
      </c>
      <c r="X78" s="60">
        <f>M78/AE78</f>
        <v>1.7601063910878016</v>
      </c>
      <c r="Y78" s="106">
        <v>323.47000000000003</v>
      </c>
      <c r="Z78" s="106">
        <v>323.48</v>
      </c>
      <c r="AA78" s="61">
        <v>9938</v>
      </c>
      <c r="AB78" s="51">
        <v>67420372.799999997</v>
      </c>
      <c r="AC78" s="61">
        <v>1894148.96</v>
      </c>
      <c r="AD78" s="61">
        <v>6228542.1200000001</v>
      </c>
      <c r="AE78" s="51">
        <v>63085979.649999999</v>
      </c>
      <c r="AF78" s="5"/>
    </row>
    <row r="79" spans="1:241" ht="16.5" customHeight="1" x14ac:dyDescent="0.25">
      <c r="A79" s="62">
        <v>51</v>
      </c>
      <c r="B79" s="48" t="s">
        <v>98</v>
      </c>
      <c r="C79" s="48" t="s">
        <v>33</v>
      </c>
      <c r="D79" s="72"/>
      <c r="E79" s="72"/>
      <c r="F79" s="72">
        <v>3156603372</v>
      </c>
      <c r="G79" s="72">
        <v>92436542656</v>
      </c>
      <c r="H79" s="72"/>
      <c r="I79" s="72"/>
      <c r="J79" s="72">
        <v>95593146028</v>
      </c>
      <c r="K79" s="72">
        <v>785353418</v>
      </c>
      <c r="L79" s="72">
        <v>180393390</v>
      </c>
      <c r="M79" s="53">
        <v>604960028</v>
      </c>
      <c r="N79" s="72">
        <v>108612352127.42</v>
      </c>
      <c r="O79" s="72">
        <v>1101456998.22</v>
      </c>
      <c r="P79" s="80">
        <v>113211027280</v>
      </c>
      <c r="Q79" s="56">
        <f t="shared" si="23"/>
        <v>0.27797919186762721</v>
      </c>
      <c r="R79" s="80">
        <v>107510895129</v>
      </c>
      <c r="S79" s="56">
        <f t="shared" si="24"/>
        <v>0.26752456244327977</v>
      </c>
      <c r="T79" s="57">
        <f t="shared" si="25"/>
        <v>-5.0349619537521789E-2</v>
      </c>
      <c r="U79" s="161">
        <f t="shared" si="30"/>
        <v>1.6779079904743596E-3</v>
      </c>
      <c r="V79" s="59">
        <f t="shared" si="27"/>
        <v>5.6269648510890134E-3</v>
      </c>
      <c r="W79" s="60">
        <f>R79/AE79</f>
        <v>1.9049161093095519</v>
      </c>
      <c r="X79" s="60">
        <f>M79/AE79</f>
        <v>1.0718895991358085E-2</v>
      </c>
      <c r="Y79" s="106">
        <v>1.9</v>
      </c>
      <c r="Z79" s="106">
        <v>1.9</v>
      </c>
      <c r="AA79" s="61">
        <v>2439</v>
      </c>
      <c r="AB79" s="51">
        <v>59454074615</v>
      </c>
      <c r="AC79" s="61">
        <v>62685545</v>
      </c>
      <c r="AD79" s="61">
        <v>3078109342</v>
      </c>
      <c r="AE79" s="51">
        <v>56438650817</v>
      </c>
      <c r="AF79" s="5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</row>
    <row r="80" spans="1:241" ht="16.5" customHeight="1" x14ac:dyDescent="0.25">
      <c r="A80" s="62">
        <v>52</v>
      </c>
      <c r="B80" s="97" t="s">
        <v>99</v>
      </c>
      <c r="C80" s="48" t="s">
        <v>44</v>
      </c>
      <c r="D80" s="72">
        <v>35324098.75</v>
      </c>
      <c r="E80" s="72"/>
      <c r="F80" s="72">
        <v>484324415.98000002</v>
      </c>
      <c r="G80" s="72">
        <v>9207054844.0900002</v>
      </c>
      <c r="H80" s="72"/>
      <c r="I80" s="72"/>
      <c r="J80" s="72">
        <v>9726703358.8299999</v>
      </c>
      <c r="K80" s="72">
        <v>57697737.399999999</v>
      </c>
      <c r="L80" s="72">
        <v>5049824.1900000004</v>
      </c>
      <c r="M80" s="53">
        <v>51470924.460000001</v>
      </c>
      <c r="N80" s="72">
        <v>9749344537.0699997</v>
      </c>
      <c r="O80" s="72">
        <v>54467984.57</v>
      </c>
      <c r="P80" s="80">
        <v>9934606713.1399994</v>
      </c>
      <c r="Q80" s="56">
        <f t="shared" si="23"/>
        <v>2.4393506639694904E-2</v>
      </c>
      <c r="R80" s="80">
        <v>9694876552.5</v>
      </c>
      <c r="S80" s="56">
        <f t="shared" si="24"/>
        <v>2.4124230428340769E-2</v>
      </c>
      <c r="T80" s="57">
        <f t="shared" si="25"/>
        <v>-2.4130815397344366E-2</v>
      </c>
      <c r="U80" s="161">
        <f t="shared" si="30"/>
        <v>5.2087555345898769E-4</v>
      </c>
      <c r="V80" s="59">
        <f t="shared" si="27"/>
        <v>5.3090850802764772E-3</v>
      </c>
      <c r="W80" s="60">
        <f>R80/AE80</f>
        <v>0.99999999994842637</v>
      </c>
      <c r="X80" s="60">
        <f>M80/AE80</f>
        <v>5.3090850800026684E-3</v>
      </c>
      <c r="Y80" s="106">
        <v>1</v>
      </c>
      <c r="Z80" s="106">
        <v>1</v>
      </c>
      <c r="AA80" s="61">
        <v>4448</v>
      </c>
      <c r="AB80" s="51">
        <v>9646537756.8799992</v>
      </c>
      <c r="AC80" s="61">
        <v>316903464.68000001</v>
      </c>
      <c r="AD80" s="61">
        <v>268564669.06</v>
      </c>
      <c r="AE80" s="61">
        <v>9694876553</v>
      </c>
      <c r="AF80" s="5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</row>
    <row r="81" spans="1:241" ht="16.5" customHeight="1" x14ac:dyDescent="0.25">
      <c r="A81" s="62">
        <v>53</v>
      </c>
      <c r="B81" s="63" t="s">
        <v>111</v>
      </c>
      <c r="C81" s="63" t="s">
        <v>73</v>
      </c>
      <c r="D81" s="72"/>
      <c r="E81" s="72"/>
      <c r="F81" s="72">
        <v>897173895.42999995</v>
      </c>
      <c r="G81" s="72">
        <v>2938679097.3600001</v>
      </c>
      <c r="H81" s="72"/>
      <c r="I81" s="72"/>
      <c r="J81" s="72">
        <v>3835852992.79</v>
      </c>
      <c r="K81" s="72">
        <v>29460291.5</v>
      </c>
      <c r="L81" s="72">
        <v>6942731.8200000003</v>
      </c>
      <c r="M81" s="53">
        <v>22517559.68</v>
      </c>
      <c r="N81" s="72">
        <v>3866430316.3099999</v>
      </c>
      <c r="O81" s="72">
        <v>5237567.5</v>
      </c>
      <c r="P81" s="80">
        <v>4038278131.8299999</v>
      </c>
      <c r="Q81" s="56">
        <f t="shared" si="23"/>
        <v>9.915617926921921E-3</v>
      </c>
      <c r="R81" s="80">
        <v>3861192748.8099999</v>
      </c>
      <c r="S81" s="56">
        <f t="shared" si="24"/>
        <v>9.607992747108364E-3</v>
      </c>
      <c r="T81" s="57">
        <f t="shared" si="25"/>
        <v>-4.3851705414790575E-2</v>
      </c>
      <c r="U81" s="161">
        <f t="shared" si="30"/>
        <v>1.7980795758356573E-3</v>
      </c>
      <c r="V81" s="59">
        <f t="shared" si="27"/>
        <v>5.831762655966812E-3</v>
      </c>
      <c r="W81" s="60">
        <f>R81/AE81</f>
        <v>22.897212989444764</v>
      </c>
      <c r="X81" s="60">
        <f>M81/AE81</f>
        <v>0.13353111163756218</v>
      </c>
      <c r="Y81" s="106">
        <v>22.897400000000001</v>
      </c>
      <c r="Z81" s="106">
        <v>22.897400000000001</v>
      </c>
      <c r="AA81" s="61">
        <v>1376</v>
      </c>
      <c r="AB81" s="51">
        <v>177198639.81999999</v>
      </c>
      <c r="AC81" s="61">
        <v>2188508.85</v>
      </c>
      <c r="AD81" s="61">
        <v>10755588.550000001</v>
      </c>
      <c r="AE81" s="51">
        <v>168631560.12</v>
      </c>
      <c r="AF81" s="5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</row>
    <row r="82" spans="1:241" ht="16.5" customHeight="1" x14ac:dyDescent="0.25">
      <c r="A82" s="104" t="s">
        <v>90</v>
      </c>
      <c r="C82" s="160" t="s">
        <v>52</v>
      </c>
      <c r="D82" s="87">
        <f>SUM(D53:D81)</f>
        <v>129347394.30000001</v>
      </c>
      <c r="E82" s="87"/>
      <c r="F82" s="87">
        <f>SUM(F53:F81)</f>
        <v>69230703431.070007</v>
      </c>
      <c r="G82" s="87">
        <f>SUM(G53:G81)</f>
        <v>303125999164.84003</v>
      </c>
      <c r="H82" s="87"/>
      <c r="I82" s="87">
        <f>SUM(I53:I79)</f>
        <v>5578155443.9300003</v>
      </c>
      <c r="J82" s="87">
        <f t="shared" ref="J82:O82" si="31">SUM(J53:J81)</f>
        <v>379780976777.30005</v>
      </c>
      <c r="K82" s="87">
        <f t="shared" si="31"/>
        <v>3000661501.6200004</v>
      </c>
      <c r="L82" s="87">
        <f t="shared" si="31"/>
        <v>612190974.65000021</v>
      </c>
      <c r="M82" s="156">
        <f t="shared" si="31"/>
        <v>2367278522.5899997</v>
      </c>
      <c r="N82" s="87">
        <f t="shared" si="31"/>
        <v>404389722665.27997</v>
      </c>
      <c r="O82" s="87">
        <f t="shared" si="31"/>
        <v>2516735200.3800001</v>
      </c>
      <c r="P82" s="114">
        <f>SUM(P53:P81)</f>
        <v>407264394573.50006</v>
      </c>
      <c r="Q82" s="89">
        <f>(P82/$P$150)</f>
        <v>0.29362880657487217</v>
      </c>
      <c r="R82" s="114">
        <f>SUM(R53:R81)</f>
        <v>401872987463.70001</v>
      </c>
      <c r="S82" s="89">
        <f>(R82/$R$150)</f>
        <v>0.29556937782326015</v>
      </c>
      <c r="T82" s="90">
        <f t="shared" ref="T82" si="32">((R82-P82)/P82)</f>
        <v>-1.3238100805365267E-2</v>
      </c>
      <c r="U82" s="91"/>
      <c r="V82" s="92"/>
      <c r="W82" s="93"/>
      <c r="X82" s="93"/>
      <c r="Y82" s="87"/>
      <c r="Z82" s="87"/>
      <c r="AA82" s="94">
        <f>SUM(AA53:AA81)</f>
        <v>46873</v>
      </c>
      <c r="AB82" s="94"/>
      <c r="AC82" s="94"/>
      <c r="AD82" s="94"/>
      <c r="AE82" s="72">
        <v>0</v>
      </c>
      <c r="AF82" s="5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</row>
    <row r="83" spans="1:241" ht="16.5" customHeight="1" x14ac:dyDescent="0.25">
      <c r="A83" s="176" t="s">
        <v>211</v>
      </c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8"/>
      <c r="AF83" s="5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</row>
    <row r="84" spans="1:241" ht="16.5" customHeight="1" x14ac:dyDescent="0.25">
      <c r="A84" s="182" t="s">
        <v>212</v>
      </c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4"/>
      <c r="AF84" s="5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</row>
    <row r="85" spans="1:241" ht="16.5" customHeight="1" x14ac:dyDescent="0.25">
      <c r="A85" s="115">
        <v>75</v>
      </c>
      <c r="B85" s="48" t="s">
        <v>95</v>
      </c>
      <c r="C85" s="48" t="s">
        <v>31</v>
      </c>
      <c r="D85" s="107"/>
      <c r="E85" s="107"/>
      <c r="F85" s="107"/>
      <c r="G85" s="54">
        <v>720017913.04999995</v>
      </c>
      <c r="H85" s="107"/>
      <c r="I85" s="107"/>
      <c r="J85" s="54">
        <v>720017913.04999995</v>
      </c>
      <c r="K85" s="54">
        <v>4928243.88</v>
      </c>
      <c r="L85" s="54">
        <v>1477023.27</v>
      </c>
      <c r="M85" s="117">
        <v>3451220.61</v>
      </c>
      <c r="N85" s="72">
        <v>732701702.38</v>
      </c>
      <c r="O85" s="108">
        <v>19045218.870000001</v>
      </c>
      <c r="P85" s="55">
        <v>732226193.74000001</v>
      </c>
      <c r="Q85" s="56">
        <f t="shared" ref="Q85:Q91" si="33">(P85/$P$102)</f>
        <v>2.59148123499968E-3</v>
      </c>
      <c r="R85" s="55">
        <v>713656483.50999999</v>
      </c>
      <c r="S85" s="56">
        <f>(R85/$R$102)</f>
        <v>2.4856643196790786E-3</v>
      </c>
      <c r="T85" s="57">
        <f t="shared" ref="T85:T91" si="34">((R85-P85)/P85)</f>
        <v>-2.536061996792453E-2</v>
      </c>
      <c r="U85" s="161">
        <f>(L85/R85)</f>
        <v>2.0696557855615747E-3</v>
      </c>
      <c r="V85" s="59">
        <f>M85/R85</f>
        <v>4.8359689707094776E-3</v>
      </c>
      <c r="W85" s="60">
        <f t="shared" ref="W85:W91" si="35">R85/AE85</f>
        <v>43568.674003833738</v>
      </c>
      <c r="X85" s="60">
        <f>M85/AE85</f>
        <v>210.69675557749662</v>
      </c>
      <c r="Y85" s="118">
        <f>104.813*416.68</f>
        <v>43673.480840000004</v>
      </c>
      <c r="Z85" s="118">
        <f>104.813*416.68</f>
        <v>43673.480840000004</v>
      </c>
      <c r="AA85" s="71">
        <v>195</v>
      </c>
      <c r="AB85" s="72">
        <v>16606.4755</v>
      </c>
      <c r="AC85" s="72">
        <v>309.44459999999998</v>
      </c>
      <c r="AD85" s="72">
        <v>535.88329999999996</v>
      </c>
      <c r="AE85" s="51">
        <v>16380.0368</v>
      </c>
      <c r="AF85" s="5"/>
    </row>
    <row r="86" spans="1:241" ht="16.5" customHeight="1" x14ac:dyDescent="0.25">
      <c r="A86" s="62">
        <v>76</v>
      </c>
      <c r="B86" s="48" t="s">
        <v>96</v>
      </c>
      <c r="C86" s="63" t="s">
        <v>35</v>
      </c>
      <c r="D86" s="54"/>
      <c r="E86" s="107"/>
      <c r="F86" s="54"/>
      <c r="G86" s="54">
        <f>10383894.33*416.68</f>
        <v>4326761089.4244003</v>
      </c>
      <c r="H86" s="54"/>
      <c r="I86" s="107"/>
      <c r="J86" s="54">
        <f>10383894.33*416.68</f>
        <v>4326761089.4244003</v>
      </c>
      <c r="K86" s="119">
        <f>93119.5*416.68</f>
        <v>38801033.259999998</v>
      </c>
      <c r="L86" s="119">
        <f>28814.97*416.68</f>
        <v>12006621.6996</v>
      </c>
      <c r="M86" s="120">
        <f>79862.53*416.68</f>
        <v>33277119.000399999</v>
      </c>
      <c r="N86" s="119">
        <f>11696826*416.68</f>
        <v>4873833457.6800003</v>
      </c>
      <c r="O86" s="119">
        <f>241393*416.68</f>
        <v>100583635.23999999</v>
      </c>
      <c r="P86" s="55">
        <f>12624937*415.72</f>
        <v>5248438809.6400003</v>
      </c>
      <c r="Q86" s="116">
        <f t="shared" si="33"/>
        <v>1.8575176365591292E-2</v>
      </c>
      <c r="R86" s="55">
        <f>11455433*416.68</f>
        <v>4773249822.4400005</v>
      </c>
      <c r="S86" s="56">
        <f>(R86/$R$102)</f>
        <v>1.6625221022583694E-2</v>
      </c>
      <c r="T86" s="57">
        <f t="shared" si="34"/>
        <v>-9.0539111616811219E-2</v>
      </c>
      <c r="U86" s="161">
        <f>(L86/R86)</f>
        <v>2.5153977156516035E-3</v>
      </c>
      <c r="V86" s="59">
        <f>M86/R86</f>
        <v>6.9715854477085228E-3</v>
      </c>
      <c r="W86" s="60">
        <f t="shared" si="35"/>
        <v>449.19584435505755</v>
      </c>
      <c r="X86" s="60">
        <f>M86/AE86</f>
        <v>3.1316072116768621</v>
      </c>
      <c r="Y86" s="118">
        <f>1.0726*416.68</f>
        <v>446.93096800000001</v>
      </c>
      <c r="Z86" s="118">
        <f>1.078*416.68</f>
        <v>449.18104000000005</v>
      </c>
      <c r="AA86" s="71">
        <v>310</v>
      </c>
      <c r="AB86" s="72">
        <v>11820117</v>
      </c>
      <c r="AC86" s="72">
        <v>81769</v>
      </c>
      <c r="AD86" s="72">
        <v>1275675</v>
      </c>
      <c r="AE86" s="51">
        <v>10626211</v>
      </c>
      <c r="AF86" s="5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</row>
    <row r="87" spans="1:241" ht="16.5" customHeight="1" x14ac:dyDescent="0.25">
      <c r="A87" s="62">
        <v>77</v>
      </c>
      <c r="B87" s="48" t="s">
        <v>160</v>
      </c>
      <c r="C87" s="63" t="s">
        <v>157</v>
      </c>
      <c r="D87" s="107"/>
      <c r="E87" s="72"/>
      <c r="F87" s="108"/>
      <c r="G87" s="72">
        <v>767799577.13</v>
      </c>
      <c r="H87" s="72"/>
      <c r="I87" s="108">
        <v>10449842.720000001</v>
      </c>
      <c r="J87" s="108">
        <v>778249419.85000002</v>
      </c>
      <c r="K87" s="108">
        <v>3484578.17</v>
      </c>
      <c r="L87" s="108">
        <v>2175986.2999999998</v>
      </c>
      <c r="M87" s="117">
        <v>1308591.8700000001</v>
      </c>
      <c r="N87" s="72">
        <v>794242977.46000004</v>
      </c>
      <c r="O87" s="108">
        <v>761244288.20000005</v>
      </c>
      <c r="P87" s="55">
        <v>771821312.11000001</v>
      </c>
      <c r="Q87" s="56">
        <f t="shared" si="33"/>
        <v>2.731615536573001E-3</v>
      </c>
      <c r="R87" s="55">
        <v>777369587.52999997</v>
      </c>
      <c r="S87" s="56">
        <f>(R87/$R$102)</f>
        <v>2.7075769527425408E-3</v>
      </c>
      <c r="T87" s="57">
        <f t="shared" si="34"/>
        <v>7.1885491278183529E-3</v>
      </c>
      <c r="U87" s="161">
        <f>(L87/R87)</f>
        <v>2.7991657184762517E-3</v>
      </c>
      <c r="V87" s="59">
        <f>M87/R87</f>
        <v>1.6833587150712908E-3</v>
      </c>
      <c r="W87" s="60">
        <f t="shared" si="35"/>
        <v>42837.006776821698</v>
      </c>
      <c r="X87" s="60">
        <f>M87/AE87</f>
        <v>72.110048685330753</v>
      </c>
      <c r="Y87" s="108">
        <v>102.81</v>
      </c>
      <c r="Z87" s="108">
        <v>102.81</v>
      </c>
      <c r="AA87" s="71">
        <v>38</v>
      </c>
      <c r="AB87" s="72">
        <v>18100.259999999998</v>
      </c>
      <c r="AC87" s="72">
        <v>97.36</v>
      </c>
      <c r="AD87" s="72">
        <v>50.46</v>
      </c>
      <c r="AE87" s="51">
        <v>18147.150000000001</v>
      </c>
      <c r="AF87" s="5"/>
    </row>
    <row r="88" spans="1:241" ht="16.5" customHeight="1" x14ac:dyDescent="0.25">
      <c r="A88" s="62">
        <v>78</v>
      </c>
      <c r="B88" s="48" t="s">
        <v>190</v>
      </c>
      <c r="C88" s="48" t="s">
        <v>175</v>
      </c>
      <c r="D88" s="72"/>
      <c r="E88" s="72"/>
      <c r="F88" s="98">
        <v>2032282946.5</v>
      </c>
      <c r="G88" s="98">
        <v>8410629830.3400002</v>
      </c>
      <c r="H88" s="98"/>
      <c r="I88" s="98"/>
      <c r="J88" s="98">
        <v>11314997886.120001</v>
      </c>
      <c r="K88" s="98">
        <v>59530515.57</v>
      </c>
      <c r="L88" s="98">
        <v>14493973.699999999</v>
      </c>
      <c r="M88" s="117">
        <v>45036541.869999997</v>
      </c>
      <c r="N88" s="98">
        <v>11354239332.700001</v>
      </c>
      <c r="O88" s="98">
        <v>39241446.579999998</v>
      </c>
      <c r="P88" s="55">
        <v>10834417136.799999</v>
      </c>
      <c r="Q88" s="116">
        <f t="shared" si="33"/>
        <v>3.8344966271646179E-2</v>
      </c>
      <c r="R88" s="55">
        <v>11314997886.120001</v>
      </c>
      <c r="S88" s="56">
        <v>0</v>
      </c>
      <c r="T88" s="57">
        <f t="shared" si="34"/>
        <v>4.4356862326046971E-2</v>
      </c>
      <c r="U88" s="161" t="e">
        <f>(#REF!/R88)</f>
        <v>#REF!</v>
      </c>
      <c r="V88" s="59" t="e">
        <f>#REF!/R88</f>
        <v>#REF!</v>
      </c>
      <c r="W88" s="60">
        <f t="shared" si="35"/>
        <v>53251.344066622602</v>
      </c>
      <c r="X88" s="60" t="e">
        <f>#REF!/AE88</f>
        <v>#REF!</v>
      </c>
      <c r="Y88" s="72">
        <v>124.97</v>
      </c>
      <c r="Z88" s="72">
        <v>124.97</v>
      </c>
      <c r="AA88" s="71">
        <v>1805</v>
      </c>
      <c r="AB88" s="72">
        <v>206643.08</v>
      </c>
      <c r="AC88" s="71">
        <v>10662.1</v>
      </c>
      <c r="AD88" s="71">
        <v>4822.32</v>
      </c>
      <c r="AE88" s="72">
        <v>212482.86</v>
      </c>
      <c r="AF88" s="5"/>
    </row>
    <row r="89" spans="1:241" ht="16.5" customHeight="1" x14ac:dyDescent="0.25">
      <c r="A89" s="62">
        <v>79</v>
      </c>
      <c r="B89" s="48" t="s">
        <v>93</v>
      </c>
      <c r="C89" s="48" t="s">
        <v>176</v>
      </c>
      <c r="D89" s="107"/>
      <c r="E89" s="72"/>
      <c r="F89" s="72">
        <f>1896872.64*416.68</f>
        <v>790388891.63520002</v>
      </c>
      <c r="G89" s="72">
        <f>12066045.27*416.68</f>
        <v>5027679743.1035995</v>
      </c>
      <c r="H89" s="72"/>
      <c r="I89" s="72"/>
      <c r="J89" s="108">
        <f>14119426.72*416.68</f>
        <v>5883282725.6896</v>
      </c>
      <c r="K89" s="108">
        <f>75857.54*416.68</f>
        <v>31608319.767199997</v>
      </c>
      <c r="L89" s="108">
        <f>19274.03*416.68</f>
        <v>8031102.8203999996</v>
      </c>
      <c r="M89" s="117">
        <f>56583.51*416.68</f>
        <v>23577216.946800001</v>
      </c>
      <c r="N89" s="72">
        <f>14119426.72*416.68</f>
        <v>5883282725.6896</v>
      </c>
      <c r="O89" s="72">
        <f>34.303*416.68</f>
        <v>14293.374039999999</v>
      </c>
      <c r="P89" s="55">
        <f>13796222.87*415.72</f>
        <v>5735365771.5164003</v>
      </c>
      <c r="Q89" s="56">
        <f t="shared" si="33"/>
        <v>2.0298499152055498E-2</v>
      </c>
      <c r="R89" s="55">
        <f>14085123.37*416.68</f>
        <v>5868989205.8115997</v>
      </c>
      <c r="S89" s="56">
        <f>(R89/$R$102)</f>
        <v>2.0441679433384041E-2</v>
      </c>
      <c r="T89" s="57">
        <f t="shared" si="34"/>
        <v>2.3298153878661878E-2</v>
      </c>
      <c r="U89" s="161">
        <f>(L89/R89)</f>
        <v>1.3683962499790301E-3</v>
      </c>
      <c r="V89" s="59">
        <f>M89/R89</f>
        <v>4.0172534179230271E-3</v>
      </c>
      <c r="W89" s="60">
        <f t="shared" si="35"/>
        <v>514.54183518723914</v>
      </c>
      <c r="X89" s="60">
        <f>M89/AE89</f>
        <v>2.0670449460703231</v>
      </c>
      <c r="Y89" s="72">
        <f>1.23*416.68</f>
        <v>512.51639999999998</v>
      </c>
      <c r="Z89" s="72">
        <f>1.23*416.68</f>
        <v>512.51639999999998</v>
      </c>
      <c r="AA89" s="65">
        <v>126</v>
      </c>
      <c r="AB89" s="99">
        <v>11209084</v>
      </c>
      <c r="AC89" s="99">
        <v>207726</v>
      </c>
      <c r="AD89" s="99">
        <v>10567</v>
      </c>
      <c r="AE89" s="51">
        <v>11406243</v>
      </c>
      <c r="AF89" s="5"/>
    </row>
    <row r="90" spans="1:241" ht="16.5" customHeight="1" x14ac:dyDescent="0.25">
      <c r="A90" s="62">
        <v>80</v>
      </c>
      <c r="B90" s="48" t="s">
        <v>188</v>
      </c>
      <c r="C90" s="48" t="s">
        <v>33</v>
      </c>
      <c r="D90" s="107"/>
      <c r="E90" s="72"/>
      <c r="F90" s="95"/>
      <c r="G90" s="72">
        <f>149395376*416.68</f>
        <v>62250065271.68</v>
      </c>
      <c r="H90" s="72"/>
      <c r="I90" s="108"/>
      <c r="J90" s="72">
        <f>149395376*416.68</f>
        <v>62250065271.68</v>
      </c>
      <c r="K90" s="108">
        <f>1116656*416.68</f>
        <v>465288222.07999998</v>
      </c>
      <c r="L90" s="108">
        <f>292010*416.68</f>
        <v>121674726.8</v>
      </c>
      <c r="M90" s="117">
        <f>824646*416.68</f>
        <v>343613495.28000003</v>
      </c>
      <c r="N90" s="72">
        <f>177467630*416.68</f>
        <v>73947212068.399994</v>
      </c>
      <c r="O90" s="72">
        <f>2073103*416.68</f>
        <v>863820558.03999996</v>
      </c>
      <c r="P90" s="55">
        <f>170949596*415.72</f>
        <v>71067166049.12001</v>
      </c>
      <c r="Q90" s="116">
        <f t="shared" si="33"/>
        <v>0.25151958345032377</v>
      </c>
      <c r="R90" s="55">
        <f>175394527*416.68</f>
        <v>73083391510.360001</v>
      </c>
      <c r="S90" s="56">
        <f>(R90/$R$102)</f>
        <v>0.25454932847379258</v>
      </c>
      <c r="T90" s="57">
        <f t="shared" si="34"/>
        <v>2.8370703002936981E-2</v>
      </c>
      <c r="U90" s="161">
        <f>(L90/R90)</f>
        <v>1.6648752101597788E-3</v>
      </c>
      <c r="V90" s="59">
        <f>M90/R90</f>
        <v>4.7016632394692682E-3</v>
      </c>
      <c r="W90" s="60">
        <f t="shared" si="35"/>
        <v>50948.364897145962</v>
      </c>
      <c r="X90" s="60">
        <f>M90/AE90</f>
        <v>239.54205434797765</v>
      </c>
      <c r="Y90" s="72">
        <f>122.27*416.68</f>
        <v>50947.463600000003</v>
      </c>
      <c r="Z90" s="72">
        <f>122.27*416.68</f>
        <v>50947.463600000003</v>
      </c>
      <c r="AA90" s="71">
        <v>1239</v>
      </c>
      <c r="AB90" s="72">
        <v>1392854</v>
      </c>
      <c r="AC90" s="71">
        <v>276974</v>
      </c>
      <c r="AD90" s="71">
        <v>235367</v>
      </c>
      <c r="AE90" s="51">
        <v>1434460</v>
      </c>
      <c r="AF90" s="5"/>
    </row>
    <row r="91" spans="1:241" ht="16.5" customHeight="1" x14ac:dyDescent="0.25">
      <c r="A91" s="62">
        <v>81</v>
      </c>
      <c r="B91" s="48" t="s">
        <v>94</v>
      </c>
      <c r="C91" s="48" t="s">
        <v>46</v>
      </c>
      <c r="D91" s="107"/>
      <c r="E91" s="72"/>
      <c r="F91" s="108"/>
      <c r="G91" s="72">
        <v>662641399.98000002</v>
      </c>
      <c r="H91" s="72"/>
      <c r="I91" s="108"/>
      <c r="J91" s="72">
        <v>662641399.98000002</v>
      </c>
      <c r="K91" s="108">
        <v>3606853.8</v>
      </c>
      <c r="L91" s="108">
        <v>873814.77</v>
      </c>
      <c r="M91" s="117">
        <v>2733039.03</v>
      </c>
      <c r="N91" s="72">
        <v>682077355.71000004</v>
      </c>
      <c r="O91" s="108">
        <v>16124487.630000001</v>
      </c>
      <c r="P91" s="55">
        <v>659268540.80999994</v>
      </c>
      <c r="Q91" s="56">
        <f t="shared" si="33"/>
        <v>2.3332708757772E-3</v>
      </c>
      <c r="R91" s="55">
        <v>665952868.08000004</v>
      </c>
      <c r="S91" s="56">
        <f>(R91/$R$102)</f>
        <v>2.3195127081770696E-3</v>
      </c>
      <c r="T91" s="57">
        <f t="shared" si="34"/>
        <v>1.0139005361589841E-2</v>
      </c>
      <c r="U91" s="161">
        <f>(L91/R91)</f>
        <v>1.3121270466471358E-3</v>
      </c>
      <c r="V91" s="59">
        <f>M91/R91</f>
        <v>4.1039526383895436E-3</v>
      </c>
      <c r="W91" s="60">
        <f t="shared" si="35"/>
        <v>48482.299656377407</v>
      </c>
      <c r="X91" s="60">
        <f>M91/AE91</f>
        <v>198.96906158998252</v>
      </c>
      <c r="Y91" s="108">
        <v>117.958</v>
      </c>
      <c r="Z91" s="108">
        <v>120.8141</v>
      </c>
      <c r="AA91" s="71">
        <v>38</v>
      </c>
      <c r="AB91" s="72">
        <v>13709</v>
      </c>
      <c r="AC91" s="72">
        <v>28</v>
      </c>
      <c r="AD91" s="72">
        <v>1</v>
      </c>
      <c r="AE91" s="51">
        <v>13736</v>
      </c>
      <c r="AF91" s="5"/>
    </row>
    <row r="92" spans="1:241" ht="6" customHeight="1" x14ac:dyDescent="0.25">
      <c r="A92" s="76"/>
      <c r="B92" s="122"/>
      <c r="C92" s="121"/>
      <c r="D92" s="50"/>
      <c r="E92" s="50"/>
      <c r="F92" s="50"/>
      <c r="G92" s="50"/>
      <c r="H92" s="50"/>
      <c r="I92" s="51"/>
      <c r="J92" s="123"/>
      <c r="K92" s="123"/>
      <c r="L92" s="123"/>
      <c r="M92" s="117"/>
      <c r="N92" s="72"/>
      <c r="O92" s="72"/>
      <c r="P92" s="103"/>
      <c r="Q92" s="56"/>
      <c r="R92" s="80"/>
      <c r="S92" s="56"/>
      <c r="T92" s="57"/>
      <c r="U92" s="58"/>
      <c r="V92" s="59"/>
      <c r="W92" s="60"/>
      <c r="X92" s="60"/>
      <c r="Y92" s="72"/>
      <c r="Z92" s="72"/>
      <c r="AA92" s="71"/>
      <c r="AB92" s="71"/>
      <c r="AC92" s="71"/>
      <c r="AD92" s="71"/>
      <c r="AE92" s="54"/>
      <c r="AF92" s="5"/>
    </row>
    <row r="93" spans="1:241" ht="16.5" customHeight="1" x14ac:dyDescent="0.25">
      <c r="A93" s="182" t="s">
        <v>213</v>
      </c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4"/>
      <c r="AF93" s="5"/>
    </row>
    <row r="94" spans="1:241" ht="16.5" customHeight="1" x14ac:dyDescent="0.25">
      <c r="A94" s="62">
        <v>82</v>
      </c>
      <c r="B94" s="48" t="s">
        <v>121</v>
      </c>
      <c r="C94" s="63" t="s">
        <v>120</v>
      </c>
      <c r="D94" s="51"/>
      <c r="E94" s="51"/>
      <c r="F94" s="51"/>
      <c r="G94" s="51">
        <f>595127.08*416.68</f>
        <v>247977551.69439998</v>
      </c>
      <c r="H94" s="51"/>
      <c r="I94" s="51"/>
      <c r="J94" s="51">
        <f>595127.08*416.68</f>
        <v>247977551.69439998</v>
      </c>
      <c r="K94" s="51">
        <f>6992.3*416.68</f>
        <v>2913551.5640000002</v>
      </c>
      <c r="L94" s="51">
        <f>1584.43*416.68</f>
        <v>660200.29240000003</v>
      </c>
      <c r="M94" s="120">
        <f>5407.87*416.68</f>
        <v>2253351.2716000001</v>
      </c>
      <c r="N94" s="51">
        <f>905732.54*416.68</f>
        <v>377400634.76719999</v>
      </c>
      <c r="O94" s="51">
        <f>95736.53*416.68</f>
        <v>39891497.3204</v>
      </c>
      <c r="P94" s="80">
        <f>1114056.63*415.72</f>
        <v>463135622.22359997</v>
      </c>
      <c r="Q94" s="56">
        <f t="shared" ref="Q94:Q101" si="36">(P94/$P$102)</f>
        <v>1.6391209226237153E-3</v>
      </c>
      <c r="R94" s="80">
        <f>809996.01*416.68</f>
        <v>337509137.44679999</v>
      </c>
      <c r="S94" s="56">
        <f t="shared" ref="S94:S101" si="37">(R94/$R$102)</f>
        <v>1.1755437523540936E-3</v>
      </c>
      <c r="T94" s="57">
        <f t="shared" ref="T94:T101" si="38">((R94-P94)/P94)</f>
        <v>-0.27125204529430047</v>
      </c>
      <c r="U94" s="161">
        <f>(L94/R94)</f>
        <v>1.9560960553373593E-3</v>
      </c>
      <c r="V94" s="59" t="e">
        <f>#REF!/R94</f>
        <v>#REF!</v>
      </c>
      <c r="W94" s="60">
        <f t="shared" ref="W94:W101" si="39">R94/AE94</f>
        <v>42395.319362743372</v>
      </c>
      <c r="X94" s="60" t="e">
        <f>#REF!/AE94</f>
        <v>#REF!</v>
      </c>
      <c r="Y94" s="72">
        <f>101.75*416.68</f>
        <v>42397.19</v>
      </c>
      <c r="Z94" s="72">
        <f>101.75*416.68</f>
        <v>42397.19</v>
      </c>
      <c r="AA94" s="124">
        <v>26</v>
      </c>
      <c r="AB94" s="54">
        <v>10511</v>
      </c>
      <c r="AC94" s="54">
        <v>45</v>
      </c>
      <c r="AD94" s="54">
        <v>2595</v>
      </c>
      <c r="AE94" s="51">
        <v>7961</v>
      </c>
      <c r="AF94" s="5"/>
    </row>
    <row r="95" spans="1:241" ht="16.5" customHeight="1" x14ac:dyDescent="0.25">
      <c r="A95" s="62">
        <v>83</v>
      </c>
      <c r="B95" s="48" t="s">
        <v>194</v>
      </c>
      <c r="C95" s="63" t="s">
        <v>42</v>
      </c>
      <c r="D95" s="107"/>
      <c r="E95" s="72"/>
      <c r="F95" s="72"/>
      <c r="G95" s="72">
        <f>6021056*416.68</f>
        <v>2508853614.0799999</v>
      </c>
      <c r="H95" s="72"/>
      <c r="I95" s="72"/>
      <c r="J95" s="72">
        <f>6021056*416.68</f>
        <v>2508853614.0799999</v>
      </c>
      <c r="K95" s="72">
        <f>115000.71*416.68</f>
        <v>47918495.842800006</v>
      </c>
      <c r="L95" s="72">
        <f>12921.46*416.68</f>
        <v>5384113.9528000001</v>
      </c>
      <c r="M95" s="117">
        <f>102079.25*416.68</f>
        <v>42534381.890000001</v>
      </c>
      <c r="N95" s="126">
        <f>6779581.29*416.68</f>
        <v>2824915931.9172001</v>
      </c>
      <c r="O95" s="126">
        <f>12921.46*416.68</f>
        <v>5384113.9528000001</v>
      </c>
      <c r="P95" s="55">
        <f>6522599.98*415.72</f>
        <v>2711575263.6856003</v>
      </c>
      <c r="Q95" s="56">
        <f t="shared" si="36"/>
        <v>9.5967564028796529E-3</v>
      </c>
      <c r="R95" s="55">
        <f>6766659.83*416.68</f>
        <v>2819531817.9644003</v>
      </c>
      <c r="S95" s="56">
        <f t="shared" si="37"/>
        <v>9.8204245320441929E-3</v>
      </c>
      <c r="T95" s="57">
        <f t="shared" si="38"/>
        <v>3.9813224336640536E-2</v>
      </c>
      <c r="U95" s="161">
        <f>(L95/R95)</f>
        <v>1.9095772987896746E-3</v>
      </c>
      <c r="V95" s="59">
        <f>M95/R95</f>
        <v>1.5085618689952675E-2</v>
      </c>
      <c r="W95" s="60">
        <f t="shared" si="39"/>
        <v>50951.631246350124</v>
      </c>
      <c r="X95" s="60">
        <f>M95/AE95</f>
        <v>768.63688061351615</v>
      </c>
      <c r="Y95" s="108">
        <f>121.82*416.68</f>
        <v>50759.957600000002</v>
      </c>
      <c r="Z95" s="108">
        <f>122.68*416.68</f>
        <v>51118.3024</v>
      </c>
      <c r="AA95" s="71">
        <v>296</v>
      </c>
      <c r="AB95" s="72">
        <v>55163.6</v>
      </c>
      <c r="AC95" s="72">
        <v>1610.84</v>
      </c>
      <c r="AD95" s="72">
        <v>1437.02</v>
      </c>
      <c r="AE95" s="51">
        <v>55337.42</v>
      </c>
      <c r="AF95" s="5"/>
    </row>
    <row r="96" spans="1:241" ht="16.5" customHeight="1" x14ac:dyDescent="0.25">
      <c r="A96" s="62">
        <v>84</v>
      </c>
      <c r="B96" s="48" t="s">
        <v>118</v>
      </c>
      <c r="C96" s="48" t="s">
        <v>64</v>
      </c>
      <c r="D96" s="51"/>
      <c r="E96" s="51"/>
      <c r="F96" s="51"/>
      <c r="G96" s="51">
        <f>12201060.1*416.68</f>
        <v>5083937722.4679995</v>
      </c>
      <c r="H96" s="51"/>
      <c r="I96" s="51"/>
      <c r="J96" s="51">
        <f>12201060.1*416.68</f>
        <v>5083937722.4679995</v>
      </c>
      <c r="K96" s="51">
        <f>91181.51*416.68</f>
        <v>37993511.586800002</v>
      </c>
      <c r="L96" s="51">
        <f>23546.2*416.68</f>
        <v>9811230.6160000004</v>
      </c>
      <c r="M96" s="120">
        <f>67635.31*416.68</f>
        <v>28182280.970800001</v>
      </c>
      <c r="N96" s="51">
        <f>14082009.89*416.68</f>
        <v>5867691880.9652004</v>
      </c>
      <c r="O96" s="51">
        <f>113432.61*416.68</f>
        <v>47265099.934799999</v>
      </c>
      <c r="P96" s="80">
        <f>14449217.57*415.72</f>
        <v>6006828728.2004004</v>
      </c>
      <c r="Q96" s="56">
        <f t="shared" si="36"/>
        <v>2.1259255765597122E-2</v>
      </c>
      <c r="R96" s="80">
        <f>13968577.28*416.68</f>
        <v>5820426781.0304003</v>
      </c>
      <c r="S96" s="56">
        <f t="shared" si="37"/>
        <v>2.0272536590370784E-2</v>
      </c>
      <c r="T96" s="57">
        <f t="shared" si="38"/>
        <v>-3.1031673384475648E-2</v>
      </c>
      <c r="U96" s="161">
        <f>(M96/R96)</f>
        <v>4.8419612566298516E-3</v>
      </c>
      <c r="V96" s="59" t="e">
        <f>#REF!/R96</f>
        <v>#REF!</v>
      </c>
      <c r="W96" s="60">
        <f t="shared" si="39"/>
        <v>46763.186581318594</v>
      </c>
      <c r="X96" s="60" t="e">
        <f>#REF!/AE96</f>
        <v>#REF!</v>
      </c>
      <c r="Y96" s="72">
        <f>110.44*416.68</f>
        <v>46018.139199999998</v>
      </c>
      <c r="Z96" s="72">
        <f>110.44*416.68</f>
        <v>46018.139199999998</v>
      </c>
      <c r="AA96" s="124">
        <v>485</v>
      </c>
      <c r="AB96" s="54">
        <v>130641</v>
      </c>
      <c r="AC96" s="54">
        <v>18732</v>
      </c>
      <c r="AD96" s="54">
        <v>12557</v>
      </c>
      <c r="AE96" s="51">
        <v>124466</v>
      </c>
      <c r="AF96" s="5"/>
    </row>
    <row r="97" spans="1:241" ht="16.5" customHeight="1" x14ac:dyDescent="0.25">
      <c r="A97" s="62">
        <v>85</v>
      </c>
      <c r="B97" s="48" t="s">
        <v>122</v>
      </c>
      <c r="C97" s="63" t="s">
        <v>81</v>
      </c>
      <c r="D97" s="51"/>
      <c r="E97" s="51"/>
      <c r="F97" s="51">
        <f>992858.36*416.68</f>
        <v>413704221.44480002</v>
      </c>
      <c r="G97" s="51">
        <f>3746595.28*416.68</f>
        <v>1561131321.2704</v>
      </c>
      <c r="H97" s="51"/>
      <c r="I97" s="51"/>
      <c r="J97" s="51">
        <f>4739453.64*416.68</f>
        <v>1974835542.7151999</v>
      </c>
      <c r="K97" s="51">
        <f>23884.79*416.68</f>
        <v>9952314.2971999999</v>
      </c>
      <c r="L97" s="51">
        <f>6273.89*416.68</f>
        <v>2614204.4852</v>
      </c>
      <c r="M97" s="120">
        <f>18441.22*416.68</f>
        <v>7684087.5496000005</v>
      </c>
      <c r="N97" s="51">
        <f>4761523.3*416.68</f>
        <v>1984031528.6440001</v>
      </c>
      <c r="O97" s="51">
        <f>11429.31*416.68</f>
        <v>4762364.8908000002</v>
      </c>
      <c r="P97" s="80">
        <f>4937816.57*415.72</f>
        <v>2052749104.4804003</v>
      </c>
      <c r="Q97" s="56">
        <f t="shared" si="36"/>
        <v>7.2650511957952002E-3</v>
      </c>
      <c r="R97" s="80">
        <f>4750093.99*416.68</f>
        <v>1979269163.7532001</v>
      </c>
      <c r="S97" s="56">
        <f t="shared" si="37"/>
        <v>6.8937911348961193E-3</v>
      </c>
      <c r="T97" s="57">
        <f t="shared" si="38"/>
        <v>-3.5795870312070988E-2</v>
      </c>
      <c r="U97" s="161">
        <f>(L97/R97)</f>
        <v>1.3207928123544351E-3</v>
      </c>
      <c r="V97" s="59">
        <f>M97/R97</f>
        <v>3.8822852850539072E-3</v>
      </c>
      <c r="W97" s="60">
        <f t="shared" si="39"/>
        <v>462.21149396428979</v>
      </c>
      <c r="X97" s="60">
        <f>M97/AE97</f>
        <v>1.7944368816003451</v>
      </c>
      <c r="Y97" s="72">
        <f>1.11*416.68</f>
        <v>462.51480000000004</v>
      </c>
      <c r="Z97" s="72">
        <f>1.11*416.68</f>
        <v>462.51480000000004</v>
      </c>
      <c r="AA97" s="124">
        <v>131</v>
      </c>
      <c r="AB97" s="54">
        <v>4367582.08</v>
      </c>
      <c r="AC97" s="54">
        <v>34501.9</v>
      </c>
      <c r="AD97" s="54">
        <v>119911.88</v>
      </c>
      <c r="AE97" s="51">
        <v>4282172.0999999996</v>
      </c>
      <c r="AF97" s="5"/>
    </row>
    <row r="98" spans="1:241" ht="15.75" customHeight="1" x14ac:dyDescent="0.25">
      <c r="A98" s="62">
        <v>86</v>
      </c>
      <c r="B98" s="63" t="s">
        <v>177</v>
      </c>
      <c r="C98" s="63" t="s">
        <v>29</v>
      </c>
      <c r="D98" s="51"/>
      <c r="E98" s="51"/>
      <c r="F98" s="125">
        <f>282183.8*416.68</f>
        <v>117580345.78399999</v>
      </c>
      <c r="G98" s="51">
        <f>7508304.1*416.68</f>
        <v>3128560152.388</v>
      </c>
      <c r="H98" s="51"/>
      <c r="I98" s="51"/>
      <c r="J98" s="51">
        <f>7790488*416.68</f>
        <v>3246140539.8400002</v>
      </c>
      <c r="K98" s="51">
        <f>56909.1*416*68</f>
        <v>1609844620.8</v>
      </c>
      <c r="L98" s="167">
        <f>13468.7*416.68</f>
        <v>5612137.9160000002</v>
      </c>
      <c r="M98" s="120">
        <f>43440.4*416.68</f>
        <v>18100745.872000001</v>
      </c>
      <c r="N98" s="51">
        <f>7826895.8*416.68</f>
        <v>3261310941.9439998</v>
      </c>
      <c r="O98" s="51">
        <f>22605.8*416.68</f>
        <v>9419384.743999999</v>
      </c>
      <c r="P98" s="80">
        <f>7204185.4*415.72</f>
        <v>2994923954.4880004</v>
      </c>
      <c r="Q98" s="116">
        <f t="shared" si="36"/>
        <v>1.0599578784069802E-2</v>
      </c>
      <c r="R98" s="80">
        <f>7804290*416.68</f>
        <v>3251891557.2000003</v>
      </c>
      <c r="S98" s="56">
        <f t="shared" si="37"/>
        <v>1.1326332769292938E-2</v>
      </c>
      <c r="T98" s="57">
        <f t="shared" si="38"/>
        <v>8.5801044239178351E-2</v>
      </c>
      <c r="U98" s="161">
        <f>(L98/R98)</f>
        <v>1.7258072162874521E-3</v>
      </c>
      <c r="V98" s="59">
        <f>M98/R98</f>
        <v>5.5662206299355865E-3</v>
      </c>
      <c r="W98" s="60">
        <f t="shared" si="39"/>
        <v>423.32678086152873</v>
      </c>
      <c r="X98" s="60">
        <f>M98/AE98</f>
        <v>2.3563302608356622</v>
      </c>
      <c r="Y98" s="72">
        <f>1.0159*416.68</f>
        <v>423.30521200000004</v>
      </c>
      <c r="Z98" s="72">
        <f>1.0159*416.68</f>
        <v>423.30521200000004</v>
      </c>
      <c r="AA98" s="124">
        <v>244</v>
      </c>
      <c r="AB98" s="54">
        <v>6918770</v>
      </c>
      <c r="AC98" s="54">
        <v>785623.1</v>
      </c>
      <c r="AD98" s="52">
        <v>22640.6</v>
      </c>
      <c r="AE98" s="51">
        <v>7681752.5</v>
      </c>
      <c r="AF98" s="5"/>
    </row>
    <row r="99" spans="1:241" ht="16.5" customHeight="1" x14ac:dyDescent="0.25">
      <c r="A99" s="62">
        <v>87</v>
      </c>
      <c r="B99" s="48" t="s">
        <v>123</v>
      </c>
      <c r="C99" s="63" t="s">
        <v>88</v>
      </c>
      <c r="D99" s="51"/>
      <c r="E99" s="51"/>
      <c r="F99" s="51">
        <f>33652*416.68</f>
        <v>14022115.359999999</v>
      </c>
      <c r="G99" s="51">
        <f>157155.57*416.68</f>
        <v>65483582.907600001</v>
      </c>
      <c r="H99" s="51"/>
      <c r="I99" s="51"/>
      <c r="J99" s="51">
        <f>157155.57*416.68</f>
        <v>65483582.907600001</v>
      </c>
      <c r="K99" s="51">
        <f>1246.88*416.68</f>
        <v>519549.95840000006</v>
      </c>
      <c r="L99" s="51">
        <f>86.29*416.68</f>
        <v>35955.317200000005</v>
      </c>
      <c r="M99" s="120">
        <f>1160.59*416.59</f>
        <v>483490.18809999991</v>
      </c>
      <c r="N99" s="51">
        <f>202963.57*416.68</f>
        <v>84570860.347599998</v>
      </c>
      <c r="O99" s="51">
        <f>2900.31*416.68</f>
        <v>1208501.1708</v>
      </c>
      <c r="P99" s="80">
        <v>81120260.695199996</v>
      </c>
      <c r="Q99" s="56">
        <f t="shared" si="36"/>
        <v>2.8709930779195628E-4</v>
      </c>
      <c r="R99" s="80">
        <f>200952.85*416.68</f>
        <v>83733033.538000003</v>
      </c>
      <c r="S99" s="56">
        <f t="shared" si="37"/>
        <v>2.9164201356405363E-4</v>
      </c>
      <c r="T99" s="57">
        <f t="shared" si="38"/>
        <v>3.2208634691365187E-2</v>
      </c>
      <c r="U99" s="161">
        <f>(L99/R99)</f>
        <v>4.2940421098780143E-4</v>
      </c>
      <c r="V99" s="59">
        <f>M99/R99</f>
        <v>5.7741869328140462E-3</v>
      </c>
      <c r="W99" s="60">
        <f t="shared" si="39"/>
        <v>320.22117344398339</v>
      </c>
      <c r="X99" s="60">
        <f>M99/AE99</f>
        <v>1.8490169153106293</v>
      </c>
      <c r="Y99" s="72">
        <f>0.7866*416.68</f>
        <v>327.76048800000001</v>
      </c>
      <c r="Z99" s="72">
        <f>0.7866*416.68</f>
        <v>327.76048800000001</v>
      </c>
      <c r="AA99" s="124">
        <v>5</v>
      </c>
      <c r="AB99" s="54">
        <v>261485</v>
      </c>
      <c r="AC99" s="54">
        <v>0</v>
      </c>
      <c r="AD99" s="54">
        <v>0</v>
      </c>
      <c r="AE99" s="124">
        <v>261485</v>
      </c>
      <c r="AF99" s="5"/>
    </row>
    <row r="100" spans="1:241" ht="16.5" customHeight="1" x14ac:dyDescent="0.25">
      <c r="A100" s="62">
        <v>88</v>
      </c>
      <c r="B100" s="48" t="s">
        <v>109</v>
      </c>
      <c r="C100" s="48" t="s">
        <v>23</v>
      </c>
      <c r="D100" s="51"/>
      <c r="E100" s="51"/>
      <c r="F100" s="51">
        <f>119075694.1*416.68</f>
        <v>49616460217.587997</v>
      </c>
      <c r="G100" s="51">
        <f>296093179.4*416.68</f>
        <v>123376105992.392</v>
      </c>
      <c r="H100" s="51"/>
      <c r="I100" s="51"/>
      <c r="J100" s="51">
        <f>415168873.5*416.68</f>
        <v>172992566209.98001</v>
      </c>
      <c r="K100" s="51">
        <f>2588420.53*416.68</f>
        <v>1078543066.4403999</v>
      </c>
      <c r="L100" s="166">
        <f>677551.59*416.68</f>
        <v>282322196.5212</v>
      </c>
      <c r="M100" s="120">
        <f>1910868.94*416.68</f>
        <v>796220869.91919994</v>
      </c>
      <c r="N100" s="51">
        <f>417508367.9*416.68</f>
        <v>173967386736.57199</v>
      </c>
      <c r="O100" s="51">
        <f>934601.11*416.68</f>
        <v>389429590.51480001</v>
      </c>
      <c r="P100" s="80">
        <v>173192186796.30682</v>
      </c>
      <c r="Q100" s="56">
        <f t="shared" si="36"/>
        <v>0.61295854473427602</v>
      </c>
      <c r="R100" s="80">
        <f>416573766.79*416.68</f>
        <v>173577957146.05722</v>
      </c>
      <c r="S100" s="56">
        <f t="shared" si="37"/>
        <v>0.60457172985900975</v>
      </c>
      <c r="T100" s="57">
        <f t="shared" si="38"/>
        <v>2.2274119686709962E-3</v>
      </c>
      <c r="U100" s="161">
        <f>(L100/R100)</f>
        <v>1.6264864569389989E-3</v>
      </c>
      <c r="V100" s="59">
        <f>M100/R100</f>
        <v>4.5871081962856591E-3</v>
      </c>
      <c r="W100" s="60">
        <f t="shared" si="39"/>
        <v>554.05396860821691</v>
      </c>
      <c r="X100" s="60">
        <f>M100/AE100</f>
        <v>2.5415055005873488</v>
      </c>
      <c r="Y100" s="72">
        <f>1.3297*416.68</f>
        <v>554.05939600000011</v>
      </c>
      <c r="Z100" s="72">
        <f>1.3297*416.68</f>
        <v>554.05939600000011</v>
      </c>
      <c r="AA100" s="124">
        <v>4245</v>
      </c>
      <c r="AB100" s="54">
        <v>314672676.51999998</v>
      </c>
      <c r="AC100" s="54">
        <v>7055939.3600000003</v>
      </c>
      <c r="AD100" s="54">
        <v>8441522.9499999993</v>
      </c>
      <c r="AE100" s="51">
        <v>313287092.92000002</v>
      </c>
      <c r="AF100" s="5"/>
    </row>
    <row r="101" spans="1:241" ht="16.5" customHeight="1" x14ac:dyDescent="0.25">
      <c r="A101" s="62">
        <v>89</v>
      </c>
      <c r="B101" s="63" t="s">
        <v>112</v>
      </c>
      <c r="C101" s="63" t="s">
        <v>44</v>
      </c>
      <c r="D101" s="51"/>
      <c r="E101" s="51"/>
      <c r="F101" s="51">
        <f>1224732.8*416.68</f>
        <v>510321663.10400003</v>
      </c>
      <c r="G101" s="51">
        <f>3708535.04*416.68</f>
        <v>1545272380.4672</v>
      </c>
      <c r="H101" s="51"/>
      <c r="I101" s="51"/>
      <c r="J101" s="51">
        <f>4933267.84*416.68</f>
        <v>2055594043.5711999</v>
      </c>
      <c r="K101" s="51">
        <f>30322.87*416.68</f>
        <v>12634933.4716</v>
      </c>
      <c r="L101" s="51">
        <f>11056.17*416.68</f>
        <v>4606884.9155999999</v>
      </c>
      <c r="M101" s="120">
        <f>19266.7*416.68</f>
        <v>8028048.5560000008</v>
      </c>
      <c r="N101" s="51">
        <f>5102022.86*416.68</f>
        <v>2125910885.3048003</v>
      </c>
      <c r="O101" s="51">
        <f>203711.74*416.68</f>
        <v>84882607.823200002</v>
      </c>
      <c r="P101" s="80">
        <f>415.65*4205732.08</f>
        <v>1748112539.052</v>
      </c>
      <c r="Q101" s="56">
        <f t="shared" si="36"/>
        <v>6.1868871673136216E-3</v>
      </c>
      <c r="R101" s="80">
        <f>4898311.12*416.68</f>
        <v>2041028277.4816</v>
      </c>
      <c r="S101" s="56">
        <f t="shared" si="37"/>
        <v>7.1088980230934505E-3</v>
      </c>
      <c r="T101" s="57">
        <f t="shared" si="38"/>
        <v>0.16756114488398324</v>
      </c>
      <c r="U101" s="161">
        <f>(L101/R101)</f>
        <v>2.2571391912729298E-3</v>
      </c>
      <c r="V101" s="59">
        <f>M101/R101</f>
        <v>3.9333352921037002E-3</v>
      </c>
      <c r="W101" s="60">
        <f t="shared" si="39"/>
        <v>439.07350180728093</v>
      </c>
      <c r="X101" s="60">
        <f>M101/AE101</f>
        <v>1.7270233004861357</v>
      </c>
      <c r="Y101" s="72">
        <f>1.05*416.68</f>
        <v>437.51400000000001</v>
      </c>
      <c r="Z101" s="72">
        <f>1.05*416.68</f>
        <v>437.51400000000001</v>
      </c>
      <c r="AA101" s="124">
        <f>271</f>
        <v>271</v>
      </c>
      <c r="AB101" s="54">
        <v>3950558.38</v>
      </c>
      <c r="AC101" s="54">
        <v>740367.15</v>
      </c>
      <c r="AD101" s="54">
        <v>42436.68</v>
      </c>
      <c r="AE101" s="51">
        <v>4648488.8499999996</v>
      </c>
      <c r="AF101" s="5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  <c r="HP101" s="17"/>
      <c r="HQ101" s="17"/>
      <c r="HR101" s="17"/>
      <c r="HS101" s="17"/>
      <c r="HT101" s="17"/>
      <c r="HU101" s="17"/>
      <c r="HV101" s="17"/>
      <c r="HW101" s="17"/>
      <c r="HX101" s="17"/>
      <c r="HY101" s="17"/>
      <c r="HZ101" s="17"/>
      <c r="IA101" s="17"/>
      <c r="IB101" s="17"/>
      <c r="IC101" s="17"/>
      <c r="ID101" s="17"/>
      <c r="IE101" s="17"/>
      <c r="IF101" s="17"/>
      <c r="IG101" s="17"/>
    </row>
    <row r="102" spans="1:241" ht="16.5" customHeight="1" x14ac:dyDescent="0.25">
      <c r="A102" s="127"/>
      <c r="C102" s="159" t="s">
        <v>52</v>
      </c>
      <c r="D102" s="128">
        <f>SUM(D84:D100)</f>
        <v>0</v>
      </c>
      <c r="E102" s="128"/>
      <c r="F102" s="128">
        <f>SUM(F84:F100)</f>
        <v>52984438738.311996</v>
      </c>
      <c r="G102" s="128">
        <f>SUM(G84:G100)</f>
        <v>218137644761.90839</v>
      </c>
      <c r="H102" s="128"/>
      <c r="I102" s="128"/>
      <c r="J102" s="128">
        <f t="shared" ref="J102:O102" si="40">SUM(J84:J100)</f>
        <v>272055810469.47919</v>
      </c>
      <c r="K102" s="128">
        <f t="shared" si="40"/>
        <v>3394932877.0167999</v>
      </c>
      <c r="L102" s="128">
        <f t="shared" si="40"/>
        <v>467173288.46080005</v>
      </c>
      <c r="M102" s="157">
        <f t="shared" si="40"/>
        <v>1348456432.2684999</v>
      </c>
      <c r="N102" s="128">
        <f t="shared" si="40"/>
        <v>286634898135.17676</v>
      </c>
      <c r="O102" s="128">
        <f t="shared" si="40"/>
        <v>2297434480.46244</v>
      </c>
      <c r="P102" s="105">
        <f>SUM(P85:P100)</f>
        <v>282551223543.81641</v>
      </c>
      <c r="Q102" s="89">
        <f>(P102/$P$150)</f>
        <v>0.20371331172302565</v>
      </c>
      <c r="R102" s="105">
        <f>SUM(R85:R101)</f>
        <v>287108954278.32324</v>
      </c>
      <c r="S102" s="89">
        <f>(R102/$R$150)</f>
        <v>0.21116277438576547</v>
      </c>
      <c r="T102" s="90">
        <f t="shared" ref="T102" si="41">((R102-P102)/P102)</f>
        <v>1.6130635278597722E-2</v>
      </c>
      <c r="U102" s="91"/>
      <c r="V102" s="92"/>
      <c r="W102" s="93"/>
      <c r="X102" s="93"/>
      <c r="Y102" s="87"/>
      <c r="Z102" s="87"/>
      <c r="AA102" s="129">
        <f>SUM(AA85:AA101)</f>
        <v>9454</v>
      </c>
      <c r="AB102" s="129"/>
      <c r="AC102" s="129"/>
      <c r="AD102" s="129"/>
      <c r="AE102" s="87"/>
      <c r="AF102" s="5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17"/>
      <c r="GG102" s="17"/>
      <c r="GH102" s="17"/>
      <c r="GI102" s="17"/>
      <c r="GJ102" s="17"/>
      <c r="GK102" s="17"/>
      <c r="GL102" s="17"/>
      <c r="GM102" s="17"/>
      <c r="GN102" s="17"/>
      <c r="GO102" s="17"/>
      <c r="GP102" s="17"/>
      <c r="GQ102" s="17"/>
      <c r="GR102" s="17"/>
      <c r="GS102" s="17"/>
      <c r="GT102" s="17"/>
      <c r="GU102" s="17"/>
      <c r="GV102" s="17"/>
      <c r="GW102" s="17"/>
      <c r="GX102" s="17"/>
      <c r="GY102" s="17"/>
      <c r="GZ102" s="17"/>
      <c r="HA102" s="17"/>
      <c r="HB102" s="17"/>
      <c r="HC102" s="17"/>
      <c r="HD102" s="17"/>
      <c r="HE102" s="17"/>
      <c r="HF102" s="17"/>
      <c r="HG102" s="17"/>
      <c r="HH102" s="17"/>
      <c r="HI102" s="17"/>
      <c r="HJ102" s="17"/>
      <c r="HK102" s="17"/>
      <c r="HL102" s="17"/>
      <c r="HM102" s="17"/>
      <c r="HN102" s="17"/>
      <c r="HO102" s="17"/>
      <c r="HP102" s="17"/>
      <c r="HQ102" s="17"/>
      <c r="HR102" s="17"/>
      <c r="HS102" s="17"/>
      <c r="HT102" s="17"/>
      <c r="HU102" s="17"/>
      <c r="HV102" s="17"/>
      <c r="HW102" s="17"/>
      <c r="HX102" s="17"/>
      <c r="HY102" s="17"/>
      <c r="HZ102" s="17"/>
      <c r="IA102" s="17"/>
      <c r="IB102" s="17"/>
      <c r="IC102" s="17"/>
      <c r="ID102" s="17"/>
      <c r="IE102" s="17"/>
      <c r="IF102" s="17"/>
      <c r="IG102" s="17"/>
    </row>
    <row r="103" spans="1:241" s="22" customFormat="1" ht="16.5" customHeight="1" x14ac:dyDescent="0.3">
      <c r="A103" s="176" t="s">
        <v>124</v>
      </c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8"/>
      <c r="AF103" s="20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</row>
    <row r="104" spans="1:241" ht="16.5" customHeight="1" x14ac:dyDescent="0.25">
      <c r="A104" s="62">
        <v>90</v>
      </c>
      <c r="B104" s="48" t="s">
        <v>128</v>
      </c>
      <c r="C104" s="48" t="s">
        <v>29</v>
      </c>
      <c r="D104" s="72"/>
      <c r="E104" s="130"/>
      <c r="F104" s="168">
        <v>6943786178</v>
      </c>
      <c r="G104" s="136"/>
      <c r="H104" s="72">
        <v>730060000</v>
      </c>
      <c r="I104" s="131">
        <v>68954347</v>
      </c>
      <c r="J104" s="72">
        <v>7815594970</v>
      </c>
      <c r="K104" s="72">
        <v>62936785</v>
      </c>
      <c r="L104" s="131">
        <v>14251249</v>
      </c>
      <c r="M104" s="132">
        <v>48685535</v>
      </c>
      <c r="N104" s="72">
        <v>7815594970</v>
      </c>
      <c r="O104" s="72">
        <v>260321857</v>
      </c>
      <c r="P104" s="80">
        <v>7506587577</v>
      </c>
      <c r="Q104" s="56">
        <f>(P104/$P$108)</f>
        <v>0.16514710378406261</v>
      </c>
      <c r="R104" s="80">
        <v>7555273113</v>
      </c>
      <c r="S104" s="56">
        <f>(R104/$R$108)</f>
        <v>0.16570496099163406</v>
      </c>
      <c r="T104" s="57">
        <f>((R104-P104)/P104)</f>
        <v>6.4857081197815221E-3</v>
      </c>
      <c r="U104" s="161">
        <f>(L104/R104)</f>
        <v>1.8862652331493553E-3</v>
      </c>
      <c r="V104" s="59">
        <f>M104/R104</f>
        <v>6.4439146370803072E-3</v>
      </c>
      <c r="W104" s="60">
        <f>R104/AE104</f>
        <v>101.89174798381659</v>
      </c>
      <c r="X104" s="60">
        <f>M104/AE104</f>
        <v>0.65658172623061362</v>
      </c>
      <c r="Y104" s="133">
        <v>101.89</v>
      </c>
      <c r="Z104" s="133">
        <v>101.89</v>
      </c>
      <c r="AA104" s="71">
        <v>56</v>
      </c>
      <c r="AB104" s="71">
        <v>74150000</v>
      </c>
      <c r="AC104" s="71"/>
      <c r="AD104" s="71"/>
      <c r="AE104" s="71">
        <v>74150000</v>
      </c>
      <c r="AF104" s="5"/>
    </row>
    <row r="105" spans="1:241" ht="16.5" customHeight="1" x14ac:dyDescent="0.25">
      <c r="A105" s="62">
        <v>91</v>
      </c>
      <c r="B105" s="48" t="s">
        <v>125</v>
      </c>
      <c r="C105" s="48" t="s">
        <v>103</v>
      </c>
      <c r="D105" s="72"/>
      <c r="E105" s="130"/>
      <c r="F105" s="130"/>
      <c r="G105" s="72">
        <v>327616092.43000001</v>
      </c>
      <c r="H105" s="72">
        <v>1820390000</v>
      </c>
      <c r="I105" s="131">
        <v>1460626.72</v>
      </c>
      <c r="J105" s="72">
        <v>2149466719.1500001</v>
      </c>
      <c r="K105" s="72">
        <v>19300792.829999998</v>
      </c>
      <c r="L105" s="54">
        <v>4368079.47</v>
      </c>
      <c r="M105" s="132">
        <v>14932713.359999999</v>
      </c>
      <c r="N105" s="72">
        <v>2467768025.3299999</v>
      </c>
      <c r="O105" s="72">
        <v>103134490.95</v>
      </c>
      <c r="P105" s="80">
        <v>2349700821.02</v>
      </c>
      <c r="Q105" s="56">
        <f>(P105/$P$108)</f>
        <v>5.169409953191665E-2</v>
      </c>
      <c r="R105" s="80">
        <v>2364633534.3800001</v>
      </c>
      <c r="S105" s="56">
        <f>(R105/$R$108)</f>
        <v>5.1861991183315637E-2</v>
      </c>
      <c r="T105" s="57">
        <f>((R105-P105)/P105)</f>
        <v>6.3551551867432532E-3</v>
      </c>
      <c r="U105" s="161">
        <f>(L105/R105)</f>
        <v>1.847254302407285E-3</v>
      </c>
      <c r="V105" s="59">
        <f>M105/R105</f>
        <v>6.3150222403977338E-3</v>
      </c>
      <c r="W105" s="60" t="e">
        <f>R105/AE105</f>
        <v>#DIV/0!</v>
      </c>
      <c r="X105" s="60" t="e">
        <f>M105/AE105</f>
        <v>#DIV/0!</v>
      </c>
      <c r="Y105" s="72"/>
      <c r="Z105" s="72"/>
      <c r="AA105" s="72">
        <v>2715</v>
      </c>
      <c r="AB105" s="72"/>
      <c r="AC105" s="72"/>
      <c r="AD105" s="72"/>
      <c r="AE105" s="72"/>
      <c r="AF105" s="5"/>
    </row>
    <row r="106" spans="1:241" ht="16.5" customHeight="1" x14ac:dyDescent="0.25">
      <c r="A106" s="62">
        <v>92</v>
      </c>
      <c r="B106" s="48" t="s">
        <v>126</v>
      </c>
      <c r="C106" s="48" t="s">
        <v>103</v>
      </c>
      <c r="D106" s="72"/>
      <c r="E106" s="130"/>
      <c r="F106" s="130"/>
      <c r="G106" s="72">
        <v>386326298.93000001</v>
      </c>
      <c r="H106" s="72">
        <v>9932058627.3999996</v>
      </c>
      <c r="I106" s="131">
        <f>33651178+131797599.2</f>
        <v>165448777.19999999</v>
      </c>
      <c r="J106" s="72">
        <v>10483833703.530001</v>
      </c>
      <c r="K106" s="72">
        <v>32011989.850000001</v>
      </c>
      <c r="L106" s="54">
        <v>14181426.24</v>
      </c>
      <c r="M106" s="132">
        <v>17830563.609999999</v>
      </c>
      <c r="N106" s="72">
        <v>10882106788.01</v>
      </c>
      <c r="O106" s="72">
        <v>1133223225.9200001</v>
      </c>
      <c r="P106" s="80">
        <v>9731052998</v>
      </c>
      <c r="Q106" s="56">
        <f>(P106/$P$108)</f>
        <v>0.21408598819427582</v>
      </c>
      <c r="R106" s="80">
        <v>9748883562.0900002</v>
      </c>
      <c r="S106" s="56">
        <f>(R106/$R$108)</f>
        <v>0.21381601249973317</v>
      </c>
      <c r="T106" s="57">
        <f>((R106-P106)/P106)</f>
        <v>1.8323365512103187E-3</v>
      </c>
      <c r="U106" s="161">
        <f>(L106/R106)</f>
        <v>1.4546718246945332E-3</v>
      </c>
      <c r="V106" s="59">
        <f>M106/R106</f>
        <v>1.8289851854767071E-3</v>
      </c>
      <c r="W106" s="60">
        <f>R106/AE106</f>
        <v>51.820738872789313</v>
      </c>
      <c r="X106" s="60">
        <f>M106/AE106</f>
        <v>9.477936369878856E-2</v>
      </c>
      <c r="Y106" s="133">
        <v>36.6</v>
      </c>
      <c r="Z106" s="133">
        <v>36.6</v>
      </c>
      <c r="AA106" s="71">
        <v>5251</v>
      </c>
      <c r="AB106" s="71">
        <v>188127066</v>
      </c>
      <c r="AC106" s="71"/>
      <c r="AD106" s="71"/>
      <c r="AE106" s="71">
        <v>188127066</v>
      </c>
      <c r="AF106" s="5"/>
    </row>
    <row r="107" spans="1:241" ht="16.5" customHeight="1" x14ac:dyDescent="0.25">
      <c r="A107" s="62">
        <v>93</v>
      </c>
      <c r="B107" s="48" t="s">
        <v>127</v>
      </c>
      <c r="C107" s="63" t="s">
        <v>187</v>
      </c>
      <c r="D107" s="72"/>
      <c r="E107" s="118">
        <v>917280477.55999994</v>
      </c>
      <c r="F107" s="169">
        <v>1882907089.03</v>
      </c>
      <c r="G107" s="72">
        <v>1590143335.3800001</v>
      </c>
      <c r="H107" s="72">
        <v>21480000000</v>
      </c>
      <c r="I107" s="131"/>
      <c r="J107" s="131">
        <v>25870330901.970001</v>
      </c>
      <c r="K107" s="72">
        <v>135904406.03</v>
      </c>
      <c r="L107" s="134">
        <v>27376869.84</v>
      </c>
      <c r="M107" s="132">
        <v>108527536.19</v>
      </c>
      <c r="N107" s="72">
        <v>26013136714.369999</v>
      </c>
      <c r="O107" s="72">
        <v>87195976.819999993</v>
      </c>
      <c r="P107" s="80">
        <v>25866604843.419998</v>
      </c>
      <c r="Q107" s="56">
        <f>(P107/$P$108)</f>
        <v>0.56907280848974484</v>
      </c>
      <c r="R107" s="80">
        <v>25925940737.549999</v>
      </c>
      <c r="S107" s="56">
        <f>(R107/$R$108)</f>
        <v>0.56861703532531704</v>
      </c>
      <c r="T107" s="57">
        <f>((R107-P107)/P107)</f>
        <v>2.2939189154967533E-3</v>
      </c>
      <c r="U107" s="161">
        <f>(L107/R107)</f>
        <v>1.0559643762646012E-3</v>
      </c>
      <c r="V107" s="59">
        <f>M107/R107</f>
        <v>4.1860597186667734E-3</v>
      </c>
      <c r="W107" s="60">
        <f>R107/AE107</f>
        <v>9.7163876203471951</v>
      </c>
      <c r="X107" s="60">
        <f>M107/AE107</f>
        <v>4.0673378828487899E-2</v>
      </c>
      <c r="Y107" s="133">
        <v>9.6999999999999993</v>
      </c>
      <c r="Z107" s="133">
        <v>9.6999999999999993</v>
      </c>
      <c r="AA107" s="71">
        <v>28836</v>
      </c>
      <c r="AB107" s="71">
        <v>2668269500</v>
      </c>
      <c r="AC107" s="71"/>
      <c r="AD107" s="71"/>
      <c r="AE107" s="71">
        <v>2668269500</v>
      </c>
      <c r="AF107" s="5"/>
    </row>
    <row r="108" spans="1:241" ht="16.5" customHeight="1" x14ac:dyDescent="0.25">
      <c r="A108" s="137"/>
      <c r="C108" s="160" t="s">
        <v>52</v>
      </c>
      <c r="D108" s="87"/>
      <c r="E108" s="87"/>
      <c r="F108" s="135">
        <v>943786178</v>
      </c>
      <c r="G108" s="87">
        <f t="shared" ref="G108:O108" si="42">SUM(G104:G107)</f>
        <v>2304085726.7400002</v>
      </c>
      <c r="H108" s="87">
        <f t="shared" si="42"/>
        <v>33962508627.400002</v>
      </c>
      <c r="I108" s="87">
        <f t="shared" si="42"/>
        <v>235863750.91999999</v>
      </c>
      <c r="J108" s="87">
        <v>815594970</v>
      </c>
      <c r="K108" s="87">
        <f t="shared" si="42"/>
        <v>250153973.71000001</v>
      </c>
      <c r="L108" s="87">
        <f t="shared" si="42"/>
        <v>60177624.549999997</v>
      </c>
      <c r="M108" s="158">
        <f t="shared" si="42"/>
        <v>189976348.16</v>
      </c>
      <c r="N108" s="87">
        <f t="shared" si="42"/>
        <v>47178606497.709999</v>
      </c>
      <c r="O108" s="87">
        <f t="shared" si="42"/>
        <v>1583875550.6900001</v>
      </c>
      <c r="P108" s="105">
        <f>SUM(P104:P107)</f>
        <v>45453946239.440002</v>
      </c>
      <c r="Q108" s="89">
        <f>(P108/$P$150)</f>
        <v>3.2771310643009019E-2</v>
      </c>
      <c r="R108" s="105">
        <f>SUM(R104:R107)</f>
        <v>45594730947.020004</v>
      </c>
      <c r="S108" s="89">
        <f>(R108/$R$150)</f>
        <v>3.3533993770225555E-2</v>
      </c>
      <c r="T108" s="90">
        <f>((R108-P108)/P108)</f>
        <v>3.0973043976948284E-3</v>
      </c>
      <c r="U108" s="91"/>
      <c r="V108" s="92"/>
      <c r="W108" s="93"/>
      <c r="X108" s="93"/>
      <c r="Y108" s="87"/>
      <c r="Z108" s="87"/>
      <c r="AA108" s="94">
        <f>SUM(AA104:AA107)</f>
        <v>36858</v>
      </c>
      <c r="AB108" s="94"/>
      <c r="AC108" s="94"/>
      <c r="AD108" s="94"/>
      <c r="AE108" s="87"/>
      <c r="AF108" s="5"/>
    </row>
    <row r="109" spans="1:241" ht="16.5" customHeight="1" x14ac:dyDescent="0.25">
      <c r="A109" s="176" t="s">
        <v>178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8"/>
      <c r="AF109" s="5"/>
    </row>
    <row r="110" spans="1:241" s="39" customFormat="1" ht="16.5" customHeight="1" x14ac:dyDescent="0.25">
      <c r="A110" s="62">
        <v>94</v>
      </c>
      <c r="B110" s="48" t="s">
        <v>132</v>
      </c>
      <c r="C110" s="48" t="s">
        <v>58</v>
      </c>
      <c r="D110" s="72">
        <v>75137094.829999998</v>
      </c>
      <c r="E110" s="72"/>
      <c r="F110" s="72">
        <v>61463030.280000001</v>
      </c>
      <c r="G110" s="72">
        <v>34824772.810000002</v>
      </c>
      <c r="H110" s="107"/>
      <c r="I110" s="108"/>
      <c r="J110" s="108">
        <v>203309167.06</v>
      </c>
      <c r="K110" s="108">
        <v>1273098.49</v>
      </c>
      <c r="L110" s="72">
        <v>449364.87</v>
      </c>
      <c r="M110" s="53">
        <v>823733.62</v>
      </c>
      <c r="N110" s="72">
        <v>203309167.06</v>
      </c>
      <c r="O110" s="72">
        <v>41015327.189999998</v>
      </c>
      <c r="P110" s="103">
        <v>163957359.11000001</v>
      </c>
      <c r="Q110" s="56">
        <f t="shared" ref="Q110:Q131" si="43">(P110/$P$150)</f>
        <v>1.1820970437411667E-4</v>
      </c>
      <c r="R110" s="103">
        <v>162293839.87</v>
      </c>
      <c r="S110" s="56">
        <f>(R110/$R$132)</f>
        <v>5.3941399269644896E-3</v>
      </c>
      <c r="T110" s="57">
        <f>((R110-P110)/P110)</f>
        <v>-1.014604802754809E-2</v>
      </c>
      <c r="U110" s="161">
        <f>(L110/R110)</f>
        <v>2.7688350362524454E-3</v>
      </c>
      <c r="V110" s="59">
        <f>M110/R110</f>
        <v>5.0755692308458783E-3</v>
      </c>
      <c r="W110" s="60">
        <f>R110/AE110</f>
        <v>3.6954186743739359</v>
      </c>
      <c r="X110" s="60">
        <f>M110/AE110</f>
        <v>1.875635331874561E-2</v>
      </c>
      <c r="Y110" s="72">
        <v>4.3710000000000004</v>
      </c>
      <c r="Z110" s="72">
        <v>4.4301000000000004</v>
      </c>
      <c r="AA110" s="71">
        <v>11818</v>
      </c>
      <c r="AB110" s="71">
        <v>43917578.539999999</v>
      </c>
      <c r="AC110" s="71"/>
      <c r="AD110" s="71"/>
      <c r="AE110" s="71">
        <v>43917578.539999999</v>
      </c>
      <c r="AF110" s="38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  <c r="HR110" s="23"/>
      <c r="HS110" s="23"/>
      <c r="HT110" s="23"/>
      <c r="HU110" s="23"/>
      <c r="HV110" s="23"/>
      <c r="HW110" s="23"/>
      <c r="HX110" s="23"/>
      <c r="HY110" s="23"/>
      <c r="HZ110" s="23"/>
      <c r="IA110" s="23"/>
      <c r="IB110" s="23"/>
      <c r="IC110" s="23"/>
      <c r="ID110" s="23"/>
      <c r="IE110" s="23"/>
      <c r="IF110" s="23"/>
      <c r="IG110" s="23"/>
    </row>
    <row r="111" spans="1:241" ht="16.5" customHeight="1" x14ac:dyDescent="0.25">
      <c r="A111" s="62">
        <v>95</v>
      </c>
      <c r="B111" s="48" t="s">
        <v>166</v>
      </c>
      <c r="C111" s="63" t="s">
        <v>35</v>
      </c>
      <c r="D111" s="72">
        <v>2867537025.6999998</v>
      </c>
      <c r="E111" s="72"/>
      <c r="F111" s="72"/>
      <c r="G111" s="72">
        <v>462253189.56</v>
      </c>
      <c r="H111" s="119">
        <v>4133541.9</v>
      </c>
      <c r="I111" s="108"/>
      <c r="J111" s="108">
        <v>3333923757.1599998</v>
      </c>
      <c r="K111" s="108">
        <v>31790688.379999999</v>
      </c>
      <c r="L111" s="169">
        <v>11806067.369999999</v>
      </c>
      <c r="M111" s="53">
        <v>-60037366.689999998</v>
      </c>
      <c r="N111" s="72">
        <v>4941821405</v>
      </c>
      <c r="O111" s="72">
        <v>170567648</v>
      </c>
      <c r="P111" s="103">
        <v>4858727941</v>
      </c>
      <c r="Q111" s="56">
        <f t="shared" si="43"/>
        <v>3.5030375986632987E-3</v>
      </c>
      <c r="R111" s="103">
        <v>4771253757</v>
      </c>
      <c r="S111" s="56">
        <f>(R111/$R$132)</f>
        <v>0.15858156053814876</v>
      </c>
      <c r="T111" s="57">
        <f>((R111-P111)/P111)</f>
        <v>-1.8003515541970536E-2</v>
      </c>
      <c r="U111" s="161">
        <f>(L111/R111)</f>
        <v>2.4744161537581365E-3</v>
      </c>
      <c r="V111" s="59">
        <f>M111/R111</f>
        <v>-1.2583142659708257E-2</v>
      </c>
      <c r="W111" s="60">
        <f>R111/AE111</f>
        <v>512.96341048447471</v>
      </c>
      <c r="X111" s="60">
        <f>M111/AE111</f>
        <v>-6.4546917733366316</v>
      </c>
      <c r="Y111" s="72">
        <v>510.39859999999999</v>
      </c>
      <c r="Z111" s="169">
        <v>5257875</v>
      </c>
      <c r="AA111" s="71">
        <v>1870</v>
      </c>
      <c r="AB111" s="71">
        <v>9353554</v>
      </c>
      <c r="AC111" s="71">
        <v>23092</v>
      </c>
      <c r="AD111" s="71">
        <v>75294</v>
      </c>
      <c r="AE111" s="72">
        <v>9301353</v>
      </c>
      <c r="AF111" s="5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  <c r="HP111" s="17"/>
      <c r="HQ111" s="17"/>
      <c r="HR111" s="17"/>
      <c r="HS111" s="17"/>
      <c r="HT111" s="17"/>
      <c r="HU111" s="17"/>
      <c r="HV111" s="17"/>
      <c r="HW111" s="17"/>
      <c r="HX111" s="17"/>
      <c r="HY111" s="17"/>
      <c r="HZ111" s="17"/>
      <c r="IA111" s="17"/>
      <c r="IB111" s="17"/>
      <c r="IC111" s="17"/>
      <c r="ID111" s="17"/>
      <c r="IE111" s="17"/>
      <c r="IF111" s="17"/>
      <c r="IG111" s="17"/>
    </row>
    <row r="112" spans="1:241" s="39" customFormat="1" ht="16.5" customHeight="1" x14ac:dyDescent="0.25">
      <c r="A112" s="62">
        <v>96</v>
      </c>
      <c r="B112" s="48" t="s">
        <v>131</v>
      </c>
      <c r="C112" s="48" t="s">
        <v>100</v>
      </c>
      <c r="D112" s="72">
        <v>515905950.26999998</v>
      </c>
      <c r="E112" s="72"/>
      <c r="F112" s="72">
        <v>224362243.38</v>
      </c>
      <c r="G112" s="72">
        <v>321869088.07999998</v>
      </c>
      <c r="H112" s="54">
        <v>23989626.609999999</v>
      </c>
      <c r="I112" s="108"/>
      <c r="J112" s="108">
        <v>1086126908.3399999</v>
      </c>
      <c r="K112" s="108">
        <v>3353672.06</v>
      </c>
      <c r="L112" s="72">
        <v>1833446.29</v>
      </c>
      <c r="M112" s="53">
        <v>-31191572.18</v>
      </c>
      <c r="N112" s="72">
        <v>1089560925.04</v>
      </c>
      <c r="O112" s="72">
        <v>68654386.280000001</v>
      </c>
      <c r="P112" s="103">
        <v>1041955389.05</v>
      </c>
      <c r="Q112" s="56">
        <f t="shared" si="43"/>
        <v>7.5122726530367696E-4</v>
      </c>
      <c r="R112" s="103">
        <v>1020906538.76</v>
      </c>
      <c r="S112" s="56">
        <f>(R112/$R$132)</f>
        <v>3.3931742121793181E-2</v>
      </c>
      <c r="T112" s="57">
        <f>((R112-P112)/P112)</f>
        <v>-2.0201297014444348E-2</v>
      </c>
      <c r="U112" s="161">
        <f>(L112/R112)</f>
        <v>1.7959002321866959E-3</v>
      </c>
      <c r="V112" s="59">
        <f>M112/R112</f>
        <v>-3.0552818495888465E-2</v>
      </c>
      <c r="W112" s="60">
        <f>R112/AE112</f>
        <v>2.3419762619788855</v>
      </c>
      <c r="X112" s="60">
        <f>M112/AE112</f>
        <v>-7.1553975653920215E-2</v>
      </c>
      <c r="Y112" s="72">
        <v>2.3306</v>
      </c>
      <c r="Z112" s="72">
        <v>2.3824000000000001</v>
      </c>
      <c r="AA112" s="71">
        <v>2775</v>
      </c>
      <c r="AB112" s="72">
        <v>436026689.39349997</v>
      </c>
      <c r="AC112" s="71">
        <v>0</v>
      </c>
      <c r="AD112" s="71">
        <v>110000</v>
      </c>
      <c r="AE112" s="72">
        <v>435916689.39349997</v>
      </c>
      <c r="AF112" s="38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  <c r="FG112" s="23"/>
      <c r="FH112" s="23"/>
      <c r="FI112" s="23"/>
      <c r="FJ112" s="23"/>
      <c r="FK112" s="23"/>
      <c r="FL112" s="23"/>
      <c r="FM112" s="23"/>
      <c r="FN112" s="23"/>
      <c r="FO112" s="23"/>
      <c r="FP112" s="23"/>
      <c r="FQ112" s="23"/>
      <c r="FR112" s="23"/>
      <c r="FS112" s="23"/>
      <c r="FT112" s="23"/>
      <c r="FU112" s="23"/>
      <c r="FV112" s="23"/>
      <c r="FW112" s="23"/>
      <c r="FX112" s="23"/>
      <c r="FY112" s="23"/>
      <c r="FZ112" s="23"/>
      <c r="GA112" s="23"/>
      <c r="GB112" s="23"/>
      <c r="GC112" s="23"/>
      <c r="GD112" s="23"/>
      <c r="GE112" s="23"/>
      <c r="GF112" s="23"/>
      <c r="GG112" s="23"/>
      <c r="GH112" s="23"/>
      <c r="GI112" s="23"/>
      <c r="GJ112" s="23"/>
      <c r="GK112" s="23"/>
      <c r="GL112" s="23"/>
      <c r="GM112" s="23"/>
      <c r="GN112" s="23"/>
      <c r="GO112" s="23"/>
      <c r="GP112" s="23"/>
      <c r="GQ112" s="23"/>
      <c r="GR112" s="23"/>
      <c r="GS112" s="23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  <c r="HG112" s="23"/>
      <c r="HH112" s="23"/>
      <c r="HI112" s="23"/>
      <c r="HJ112" s="23"/>
      <c r="HK112" s="23"/>
      <c r="HL112" s="23"/>
      <c r="HM112" s="23"/>
      <c r="HN112" s="23"/>
      <c r="HO112" s="23"/>
      <c r="HP112" s="23"/>
      <c r="HQ112" s="23"/>
      <c r="HR112" s="23"/>
      <c r="HS112" s="23"/>
      <c r="HT112" s="23"/>
      <c r="HU112" s="23"/>
      <c r="HV112" s="23"/>
      <c r="HW112" s="23"/>
      <c r="HX112" s="23"/>
      <c r="HY112" s="23"/>
      <c r="HZ112" s="23"/>
      <c r="IA112" s="23"/>
      <c r="IB112" s="23"/>
      <c r="IC112" s="23"/>
      <c r="ID112" s="23"/>
      <c r="IE112" s="23"/>
      <c r="IF112" s="23"/>
      <c r="IG112" s="23"/>
    </row>
    <row r="113" spans="1:241" s="39" customFormat="1" ht="16.5" customHeight="1" x14ac:dyDescent="0.25">
      <c r="A113" s="62">
        <v>97</v>
      </c>
      <c r="B113" s="48" t="s">
        <v>172</v>
      </c>
      <c r="C113" s="48" t="s">
        <v>81</v>
      </c>
      <c r="D113" s="72">
        <v>952209561.69000006</v>
      </c>
      <c r="E113" s="72"/>
      <c r="F113" s="72">
        <v>784668597.38999999</v>
      </c>
      <c r="G113" s="72">
        <v>499144294.35000002</v>
      </c>
      <c r="H113" s="107"/>
      <c r="I113" s="108"/>
      <c r="J113" s="108">
        <v>2236022453.4299998</v>
      </c>
      <c r="K113" s="108">
        <v>26300243.829999998</v>
      </c>
      <c r="L113" s="72">
        <v>6554789.6799999997</v>
      </c>
      <c r="M113" s="53">
        <v>20150743.23</v>
      </c>
      <c r="N113" s="72">
        <v>2240941165.52</v>
      </c>
      <c r="O113" s="72">
        <v>132651.59</v>
      </c>
      <c r="P113" s="103">
        <v>2291241761.7399998</v>
      </c>
      <c r="Q113" s="56">
        <f t="shared" si="43"/>
        <v>1.6519356787346319E-3</v>
      </c>
      <c r="R113" s="103">
        <v>2240808513.9299998</v>
      </c>
      <c r="S113" s="56">
        <f>(R113/$R$132)</f>
        <v>7.4477470514924329E-2</v>
      </c>
      <c r="T113" s="57">
        <f>((R113-P113)/P113)</f>
        <v>-2.2011316593540203E-2</v>
      </c>
      <c r="U113" s="161">
        <f>(L113/R113)</f>
        <v>2.9251895640578433E-3</v>
      </c>
      <c r="V113" s="59">
        <f>M113/R113</f>
        <v>8.992621683081254E-3</v>
      </c>
      <c r="W113" s="60">
        <f>R113/AE113</f>
        <v>4101.2888462260635</v>
      </c>
      <c r="X113" s="60">
        <f>M113/AE113</f>
        <v>36.881339007151801</v>
      </c>
      <c r="Y113" s="72">
        <v>4046.12</v>
      </c>
      <c r="Z113" s="72">
        <v>4101.29</v>
      </c>
      <c r="AA113" s="71">
        <v>834</v>
      </c>
      <c r="AB113" s="71">
        <v>546262.52</v>
      </c>
      <c r="AC113" s="71">
        <v>117.75</v>
      </c>
      <c r="AD113" s="71">
        <v>13.35</v>
      </c>
      <c r="AE113" s="72">
        <v>546366.91</v>
      </c>
      <c r="AF113" s="38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</row>
    <row r="114" spans="1:241" s="39" customFormat="1" ht="16.5" customHeight="1" x14ac:dyDescent="0.25">
      <c r="A114" s="62">
        <v>98</v>
      </c>
      <c r="B114" s="48" t="s">
        <v>137</v>
      </c>
      <c r="C114" s="63" t="s">
        <v>64</v>
      </c>
      <c r="D114" s="72">
        <v>150645636.30000001</v>
      </c>
      <c r="E114" s="72"/>
      <c r="F114" s="72">
        <v>57079044.600000001</v>
      </c>
      <c r="G114" s="72">
        <v>97037914.049999997</v>
      </c>
      <c r="H114" s="107"/>
      <c r="I114" s="108"/>
      <c r="J114" s="108">
        <v>304762594.94999999</v>
      </c>
      <c r="K114" s="108">
        <v>2014327.03</v>
      </c>
      <c r="L114" s="108">
        <v>700152.8</v>
      </c>
      <c r="M114" s="53">
        <v>11544105.699999999</v>
      </c>
      <c r="N114" s="72">
        <v>341239666.16000003</v>
      </c>
      <c r="O114" s="72">
        <v>7323162.7000000002</v>
      </c>
      <c r="P114" s="103">
        <v>330661273.47000003</v>
      </c>
      <c r="Q114" s="56">
        <f t="shared" si="43"/>
        <v>2.383996155892807E-4</v>
      </c>
      <c r="R114" s="103">
        <v>333916503.45999998</v>
      </c>
      <c r="S114" s="56">
        <f>(R114/$R$132)</f>
        <v>1.1098340793641621E-2</v>
      </c>
      <c r="T114" s="57">
        <f>((R114-P114)/P114)</f>
        <v>9.8446061004942194E-3</v>
      </c>
      <c r="U114" s="161">
        <f>(L114/R114)</f>
        <v>2.0967900440532483E-3</v>
      </c>
      <c r="V114" s="59">
        <f>M114/R114</f>
        <v>3.4571833318753215E-2</v>
      </c>
      <c r="W114" s="60">
        <f>R114/AE114</f>
        <v>129.86311317716823</v>
      </c>
      <c r="X114" s="60">
        <f>M114/AE114</f>
        <v>4.4896059030154438</v>
      </c>
      <c r="Y114" s="72">
        <v>131.54</v>
      </c>
      <c r="Z114" s="72">
        <v>132.44</v>
      </c>
      <c r="AA114" s="71">
        <v>667</v>
      </c>
      <c r="AB114" s="71">
        <v>2580154</v>
      </c>
      <c r="AC114" s="71">
        <v>17673</v>
      </c>
      <c r="AD114" s="71">
        <v>26531</v>
      </c>
      <c r="AE114" s="72">
        <v>2571296</v>
      </c>
      <c r="AF114" s="38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  <c r="HW114" s="23"/>
      <c r="HX114" s="23"/>
      <c r="HY114" s="23"/>
      <c r="HZ114" s="23"/>
      <c r="IA114" s="23"/>
      <c r="IB114" s="23"/>
      <c r="IC114" s="23"/>
      <c r="ID114" s="23"/>
      <c r="IE114" s="23"/>
      <c r="IF114" s="23"/>
      <c r="IG114" s="23"/>
    </row>
    <row r="115" spans="1:241" ht="16.5" customHeight="1" x14ac:dyDescent="0.25">
      <c r="A115" s="62">
        <v>99</v>
      </c>
      <c r="B115" s="48" t="s">
        <v>155</v>
      </c>
      <c r="C115" s="63" t="s">
        <v>153</v>
      </c>
      <c r="D115" s="72">
        <v>506138.2</v>
      </c>
      <c r="E115" s="72"/>
      <c r="F115" s="72">
        <v>2694673.97</v>
      </c>
      <c r="G115" s="72">
        <v>1478459.27</v>
      </c>
      <c r="H115" s="72"/>
      <c r="I115" s="72"/>
      <c r="J115" s="72">
        <v>4173133.24</v>
      </c>
      <c r="K115" s="72">
        <v>14138.45</v>
      </c>
      <c r="L115" s="72">
        <v>8515.9599999999991</v>
      </c>
      <c r="M115" s="53">
        <v>5622.49</v>
      </c>
      <c r="N115" s="72">
        <v>4270556.6100000003</v>
      </c>
      <c r="O115" s="72">
        <v>240745.72</v>
      </c>
      <c r="P115" s="103">
        <v>4172674.54</v>
      </c>
      <c r="Q115" s="56">
        <f t="shared" si="43"/>
        <v>3.0084079574121364E-6</v>
      </c>
      <c r="R115" s="103">
        <v>4029810.89</v>
      </c>
      <c r="S115" s="56">
        <f>(R33/$R$132)</f>
        <v>0.37367310877675303</v>
      </c>
      <c r="T115" s="57">
        <f>((R33-P115)/P115)</f>
        <v>2693.3695446661886</v>
      </c>
      <c r="U115" s="161">
        <f>(L33/R33)</f>
        <v>1.6291195884732431E-3</v>
      </c>
      <c r="V115" s="59">
        <f>M33/R33</f>
        <v>5.0865845582437601E-3</v>
      </c>
      <c r="W115" s="60">
        <f>R33/AE115</f>
        <v>301155.23412568303</v>
      </c>
      <c r="X115" s="60">
        <f>M33/AE115</f>
        <v>1531.8515635379836</v>
      </c>
      <c r="Y115" s="72">
        <v>102.39</v>
      </c>
      <c r="Z115" s="72">
        <v>102.62</v>
      </c>
      <c r="AA115" s="71">
        <v>87</v>
      </c>
      <c r="AB115" s="72">
        <v>38822</v>
      </c>
      <c r="AC115" s="71"/>
      <c r="AD115" s="71">
        <f>AB115-AE115</f>
        <v>1490</v>
      </c>
      <c r="AE115" s="72">
        <v>37332</v>
      </c>
      <c r="AF115" s="5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  <c r="FY115" s="17"/>
      <c r="FZ115" s="17"/>
      <c r="GA115" s="17"/>
      <c r="GB115" s="17"/>
      <c r="GC115" s="17"/>
      <c r="GD115" s="17"/>
      <c r="GE115" s="17"/>
      <c r="GF115" s="17"/>
      <c r="GG115" s="17"/>
      <c r="GH115" s="17"/>
      <c r="GI115" s="17"/>
      <c r="GJ115" s="17"/>
      <c r="GK115" s="17"/>
      <c r="GL115" s="17"/>
      <c r="GM115" s="17"/>
      <c r="GN115" s="17"/>
      <c r="GO115" s="17"/>
      <c r="GP115" s="17"/>
      <c r="GQ115" s="17"/>
      <c r="GR115" s="17"/>
      <c r="GS115" s="17"/>
      <c r="GT115" s="17"/>
      <c r="GU115" s="17"/>
      <c r="GV115" s="17"/>
      <c r="GW115" s="17"/>
      <c r="GX115" s="17"/>
      <c r="GY115" s="17"/>
      <c r="GZ115" s="17"/>
      <c r="HA115" s="17"/>
      <c r="HB115" s="17"/>
      <c r="HC115" s="17"/>
      <c r="HD115" s="17"/>
      <c r="HE115" s="17"/>
      <c r="HF115" s="17"/>
      <c r="HG115" s="17"/>
      <c r="HH115" s="17"/>
      <c r="HI115" s="17"/>
      <c r="HJ115" s="17"/>
      <c r="HK115" s="17"/>
      <c r="HL115" s="17"/>
      <c r="HM115" s="17"/>
      <c r="HN115" s="17"/>
      <c r="HO115" s="17"/>
      <c r="HP115" s="17"/>
      <c r="HQ115" s="17"/>
      <c r="HR115" s="17"/>
      <c r="HS115" s="17"/>
      <c r="HT115" s="17"/>
      <c r="HU115" s="17"/>
      <c r="HV115" s="17"/>
      <c r="HW115" s="17"/>
      <c r="HX115" s="17"/>
      <c r="HY115" s="17"/>
      <c r="HZ115" s="17"/>
      <c r="IA115" s="17"/>
      <c r="IB115" s="17"/>
      <c r="IC115" s="17"/>
      <c r="ID115" s="17"/>
      <c r="IE115" s="17"/>
      <c r="IF115" s="17"/>
      <c r="IG115" s="17"/>
    </row>
    <row r="116" spans="1:241" s="39" customFormat="1" ht="16.5" customHeight="1" x14ac:dyDescent="0.25">
      <c r="A116" s="62">
        <v>100</v>
      </c>
      <c r="B116" s="48" t="s">
        <v>136</v>
      </c>
      <c r="C116" s="63" t="s">
        <v>71</v>
      </c>
      <c r="D116" s="72">
        <v>62720248.450000003</v>
      </c>
      <c r="E116" s="72"/>
      <c r="F116" s="72">
        <v>53987198.140000001</v>
      </c>
      <c r="G116" s="72">
        <v>3658173.07</v>
      </c>
      <c r="H116" s="107"/>
      <c r="I116" s="108"/>
      <c r="J116" s="108">
        <v>120365619.66</v>
      </c>
      <c r="K116" s="108">
        <v>1051927.04</v>
      </c>
      <c r="L116" s="72">
        <v>1089667.3700000001</v>
      </c>
      <c r="M116" s="53">
        <v>-2507750.41</v>
      </c>
      <c r="N116" s="72">
        <v>126125577.81999999</v>
      </c>
      <c r="O116" s="72">
        <v>908509.07</v>
      </c>
      <c r="P116" s="103">
        <v>130658961.69</v>
      </c>
      <c r="Q116" s="56">
        <f t="shared" si="43"/>
        <v>9.4202281123848081E-5</v>
      </c>
      <c r="R116" s="103">
        <v>125217068.75</v>
      </c>
      <c r="S116" s="56">
        <f t="shared" ref="S116:S125" si="44">(R116/$R$132)</f>
        <v>4.161823952300775E-3</v>
      </c>
      <c r="T116" s="57">
        <f t="shared" ref="T116:T125" si="45">((R116-P116)/P116)</f>
        <v>-4.1649595784416016E-2</v>
      </c>
      <c r="U116" s="161">
        <f t="shared" ref="U116:U125" si="46">(L116/R116)</f>
        <v>8.7022271075164435E-3</v>
      </c>
      <c r="V116" s="59">
        <f t="shared" ref="V116:V123" si="47">M116/R116</f>
        <v>-2.0027225002422044E-2</v>
      </c>
      <c r="W116" s="60">
        <f t="shared" ref="W116:W125" si="48">R116/AE116</f>
        <v>1.2203626116208446</v>
      </c>
      <c r="X116" s="60">
        <f t="shared" ref="X116:X123" si="49">M116/AE116</f>
        <v>-2.4440476607474039E-2</v>
      </c>
      <c r="Y116" s="72">
        <v>1.2126999999999999</v>
      </c>
      <c r="Z116" s="72">
        <v>1.2259</v>
      </c>
      <c r="AA116" s="71">
        <v>154</v>
      </c>
      <c r="AB116" s="71">
        <v>104814549.98999999</v>
      </c>
      <c r="AC116" s="72">
        <v>296898.88</v>
      </c>
      <c r="AD116" s="72">
        <v>2505004.23</v>
      </c>
      <c r="AE116" s="51">
        <v>102606444.64</v>
      </c>
      <c r="AF116" s="38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23"/>
      <c r="HB116" s="23"/>
      <c r="HC116" s="23"/>
      <c r="HD116" s="23"/>
      <c r="HE116" s="23"/>
      <c r="HF116" s="23"/>
      <c r="HG116" s="23"/>
      <c r="HH116" s="23"/>
      <c r="HI116" s="23"/>
      <c r="HJ116" s="23"/>
      <c r="HK116" s="23"/>
      <c r="HL116" s="23"/>
      <c r="HM116" s="23"/>
      <c r="HN116" s="23"/>
      <c r="HO116" s="23"/>
      <c r="HP116" s="23"/>
      <c r="HQ116" s="23"/>
      <c r="HR116" s="23"/>
      <c r="HS116" s="23"/>
      <c r="HT116" s="23"/>
      <c r="HU116" s="23"/>
      <c r="HV116" s="23"/>
      <c r="HW116" s="23"/>
      <c r="HX116" s="23"/>
      <c r="HY116" s="23"/>
      <c r="HZ116" s="23"/>
      <c r="IA116" s="23"/>
      <c r="IB116" s="23"/>
      <c r="IC116" s="23"/>
      <c r="ID116" s="23"/>
      <c r="IE116" s="23"/>
      <c r="IF116" s="23"/>
      <c r="IG116" s="23"/>
    </row>
    <row r="117" spans="1:241" s="39" customFormat="1" ht="16.5" customHeight="1" x14ac:dyDescent="0.25">
      <c r="A117" s="62">
        <v>101</v>
      </c>
      <c r="B117" s="48" t="s">
        <v>185</v>
      </c>
      <c r="C117" s="63" t="s">
        <v>157</v>
      </c>
      <c r="D117" s="72">
        <v>92774307.799999997</v>
      </c>
      <c r="E117" s="72"/>
      <c r="F117" s="72"/>
      <c r="G117" s="72">
        <v>74910327.129999995</v>
      </c>
      <c r="H117" s="107"/>
      <c r="I117" s="108">
        <v>990461.35</v>
      </c>
      <c r="J117" s="108">
        <v>168675096.28</v>
      </c>
      <c r="K117" s="108">
        <v>670256.59</v>
      </c>
      <c r="L117" s="72">
        <v>395098.95</v>
      </c>
      <c r="M117" s="53">
        <v>275157.64</v>
      </c>
      <c r="N117" s="72">
        <v>216019794.56999999</v>
      </c>
      <c r="O117" s="72">
        <v>204143444.61000001</v>
      </c>
      <c r="P117" s="103">
        <v>205197675.91</v>
      </c>
      <c r="Q117" s="56">
        <f t="shared" si="43"/>
        <v>1.4794307946435731E-4</v>
      </c>
      <c r="R117" s="103">
        <v>210870132.63999999</v>
      </c>
      <c r="S117" s="56">
        <f t="shared" si="44"/>
        <v>7.0086640552028843E-3</v>
      </c>
      <c r="T117" s="57">
        <f t="shared" si="45"/>
        <v>2.7643864409497197E-2</v>
      </c>
      <c r="U117" s="161">
        <f t="shared" si="46"/>
        <v>1.8736600819354425E-3</v>
      </c>
      <c r="V117" s="59">
        <f t="shared" si="47"/>
        <v>1.3048677712445527E-3</v>
      </c>
      <c r="W117" s="60">
        <f t="shared" si="48"/>
        <v>1.0400569563891686</v>
      </c>
      <c r="X117" s="60">
        <f t="shared" si="49"/>
        <v>1.3571368026509276E-3</v>
      </c>
      <c r="Y117" s="72">
        <v>1.04</v>
      </c>
      <c r="Z117" s="72">
        <v>1.04</v>
      </c>
      <c r="AA117" s="71">
        <v>82</v>
      </c>
      <c r="AB117" s="71">
        <v>193236365.03</v>
      </c>
      <c r="AC117" s="71">
        <v>9708679.9800000004</v>
      </c>
      <c r="AD117" s="71">
        <v>196405.77</v>
      </c>
      <c r="AE117" s="72">
        <v>202748639.24000001</v>
      </c>
      <c r="AF117" s="38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</row>
    <row r="118" spans="1:241" s="39" customFormat="1" ht="16.5" customHeight="1" x14ac:dyDescent="0.25">
      <c r="A118" s="62">
        <v>102</v>
      </c>
      <c r="B118" s="63" t="s">
        <v>133</v>
      </c>
      <c r="C118" s="63" t="s">
        <v>55</v>
      </c>
      <c r="D118" s="72">
        <v>1882347840.5</v>
      </c>
      <c r="E118" s="72"/>
      <c r="F118" s="70">
        <v>1765675205.3599999</v>
      </c>
      <c r="G118" s="72">
        <v>1135531036.5699999</v>
      </c>
      <c r="H118" s="101"/>
      <c r="I118" s="102"/>
      <c r="J118" s="108">
        <v>4750562483.1099997</v>
      </c>
      <c r="K118" s="108">
        <v>38053066.600000001</v>
      </c>
      <c r="L118" s="72">
        <v>7523260.4699999997</v>
      </c>
      <c r="M118" s="53">
        <v>-37495162.210000001</v>
      </c>
      <c r="N118" s="72">
        <v>4768127136.8400002</v>
      </c>
      <c r="O118" s="72">
        <v>17564653.73</v>
      </c>
      <c r="P118" s="103">
        <v>4817705487.6499996</v>
      </c>
      <c r="Q118" s="56">
        <f t="shared" si="43"/>
        <v>3.473461298401283E-3</v>
      </c>
      <c r="R118" s="103">
        <v>4750562483.1099997</v>
      </c>
      <c r="S118" s="56">
        <f t="shared" si="44"/>
        <v>0.15789384727238828</v>
      </c>
      <c r="T118" s="57">
        <f t="shared" si="45"/>
        <v>-1.3936718363569222E-2</v>
      </c>
      <c r="U118" s="161">
        <f t="shared" si="46"/>
        <v>1.5836567768023183E-3</v>
      </c>
      <c r="V118" s="59">
        <f t="shared" si="47"/>
        <v>-7.8927837163091999E-3</v>
      </c>
      <c r="W118" s="60">
        <f t="shared" si="48"/>
        <v>193.42101306016102</v>
      </c>
      <c r="X118" s="60">
        <f t="shared" si="49"/>
        <v>-1.5266302222732677</v>
      </c>
      <c r="Y118" s="72">
        <v>193.42</v>
      </c>
      <c r="Z118" s="72">
        <v>181.87</v>
      </c>
      <c r="AA118" s="71">
        <v>5463</v>
      </c>
      <c r="AB118" s="71">
        <v>24649866.710000001</v>
      </c>
      <c r="AC118" s="71">
        <v>9746.4500000000007</v>
      </c>
      <c r="AD118" s="71">
        <v>98876.93</v>
      </c>
      <c r="AE118" s="72">
        <v>24560736.23</v>
      </c>
      <c r="AF118" s="38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  <c r="IA118" s="23"/>
      <c r="IB118" s="23"/>
      <c r="IC118" s="23"/>
      <c r="ID118" s="23"/>
      <c r="IE118" s="23"/>
      <c r="IF118" s="23"/>
      <c r="IG118" s="23"/>
    </row>
    <row r="119" spans="1:241" s="39" customFormat="1" ht="16.5" customHeight="1" x14ac:dyDescent="0.25">
      <c r="A119" s="62">
        <v>103</v>
      </c>
      <c r="B119" s="139" t="s">
        <v>174</v>
      </c>
      <c r="C119" s="48" t="s">
        <v>77</v>
      </c>
      <c r="D119" s="72">
        <v>930307394.32000005</v>
      </c>
      <c r="E119" s="72">
        <f>63259235+111531.45</f>
        <v>63370766.450000003</v>
      </c>
      <c r="F119" s="72"/>
      <c r="G119" s="72">
        <v>724963504.99000001</v>
      </c>
      <c r="H119" s="107"/>
      <c r="I119" s="108"/>
      <c r="J119" s="108">
        <v>1966168813.53</v>
      </c>
      <c r="K119" s="108">
        <v>-39078208.060000002</v>
      </c>
      <c r="L119" s="72">
        <v>6709526.9299999997</v>
      </c>
      <c r="M119" s="53">
        <v>-45787734.990000002</v>
      </c>
      <c r="N119" s="72">
        <v>2043861295.1500001</v>
      </c>
      <c r="O119" s="72">
        <v>170215243.83000001</v>
      </c>
      <c r="P119" s="103">
        <v>2082204607.6900001</v>
      </c>
      <c r="Q119" s="56">
        <f t="shared" si="43"/>
        <v>1.5012244186997656E-3</v>
      </c>
      <c r="R119" s="103">
        <v>1873646051.3299999</v>
      </c>
      <c r="S119" s="56">
        <f t="shared" si="44"/>
        <v>6.2274137962193436E-2</v>
      </c>
      <c r="T119" s="57">
        <f t="shared" si="45"/>
        <v>-0.10016237385593686</v>
      </c>
      <c r="U119" s="161">
        <f t="shared" si="46"/>
        <v>3.5810002242618183E-3</v>
      </c>
      <c r="V119" s="59">
        <f t="shared" si="47"/>
        <v>-2.4437771988737023E-2</v>
      </c>
      <c r="W119" s="60">
        <f t="shared" si="48"/>
        <v>1.2968900753639983</v>
      </c>
      <c r="X119" s="60">
        <f t="shared" si="49"/>
        <v>-3.1693103956201361E-2</v>
      </c>
      <c r="Y119" s="140">
        <v>1.2827999999999999</v>
      </c>
      <c r="Z119" s="140">
        <v>1.3085</v>
      </c>
      <c r="AA119" s="71">
        <v>10323</v>
      </c>
      <c r="AB119" s="72">
        <v>1532350885.0699999</v>
      </c>
      <c r="AC119" s="72">
        <v>1857928.98</v>
      </c>
      <c r="AD119" s="72">
        <v>89486484.129999995</v>
      </c>
      <c r="AE119" s="51">
        <v>1444722329.9200001</v>
      </c>
      <c r="AF119" s="38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  <c r="IA119" s="23"/>
      <c r="IB119" s="23"/>
      <c r="IC119" s="23"/>
      <c r="ID119" s="23"/>
      <c r="IE119" s="23"/>
      <c r="IF119" s="23"/>
      <c r="IG119" s="23"/>
    </row>
    <row r="120" spans="1:241" s="39" customFormat="1" ht="16.5" customHeight="1" x14ac:dyDescent="0.25">
      <c r="A120" s="62">
        <v>104</v>
      </c>
      <c r="B120" s="63" t="s">
        <v>140</v>
      </c>
      <c r="C120" s="63" t="s">
        <v>113</v>
      </c>
      <c r="D120" s="72">
        <v>63372522.32</v>
      </c>
      <c r="E120" s="72"/>
      <c r="F120" s="72">
        <v>63239660.240000002</v>
      </c>
      <c r="G120" s="72">
        <v>26086277.170000002</v>
      </c>
      <c r="H120" s="107"/>
      <c r="I120" s="102"/>
      <c r="J120" s="108">
        <v>152930396.41</v>
      </c>
      <c r="K120" s="108">
        <v>1933433.95</v>
      </c>
      <c r="L120" s="72">
        <v>2833930.37</v>
      </c>
      <c r="M120" s="53">
        <v>900496.42</v>
      </c>
      <c r="N120" s="72">
        <v>152930396.41</v>
      </c>
      <c r="O120" s="72">
        <v>4339979.33</v>
      </c>
      <c r="P120" s="103">
        <v>152074093.36000001</v>
      </c>
      <c r="Q120" s="56">
        <f t="shared" si="43"/>
        <v>1.0964212717641289E-4</v>
      </c>
      <c r="R120" s="103">
        <v>148590417.09</v>
      </c>
      <c r="S120" s="56">
        <f t="shared" si="44"/>
        <v>4.938680988948836E-3</v>
      </c>
      <c r="T120" s="57">
        <f t="shared" si="45"/>
        <v>-2.2907756298459186E-2</v>
      </c>
      <c r="U120" s="161">
        <f t="shared" si="46"/>
        <v>1.9072093783029841E-2</v>
      </c>
      <c r="V120" s="59">
        <f t="shared" si="47"/>
        <v>6.0602590505858577E-3</v>
      </c>
      <c r="W120" s="60">
        <f t="shared" si="48"/>
        <v>1072891.4056289275</v>
      </c>
      <c r="X120" s="60">
        <f t="shared" si="49"/>
        <v>6501.9998512584916</v>
      </c>
      <c r="Y120" s="72">
        <v>12139.38</v>
      </c>
      <c r="Z120" s="72">
        <v>2973.47</v>
      </c>
      <c r="AA120" s="71">
        <v>130</v>
      </c>
      <c r="AB120" s="71">
        <v>1095062.29</v>
      </c>
      <c r="AC120" s="72">
        <v>12139.38</v>
      </c>
      <c r="AD120" s="72">
        <v>2973.47</v>
      </c>
      <c r="AE120" s="72">
        <v>138.49529999999999</v>
      </c>
      <c r="AF120" s="38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</row>
    <row r="121" spans="1:241" s="39" customFormat="1" ht="16.5" customHeight="1" x14ac:dyDescent="0.25">
      <c r="A121" s="62">
        <v>105</v>
      </c>
      <c r="B121" s="48" t="s">
        <v>135</v>
      </c>
      <c r="C121" s="63" t="s">
        <v>27</v>
      </c>
      <c r="D121" s="72">
        <v>218606911.19999999</v>
      </c>
      <c r="E121" s="72"/>
      <c r="F121" s="72">
        <v>1018653358.84</v>
      </c>
      <c r="G121" s="72"/>
      <c r="H121" s="107"/>
      <c r="I121" s="108"/>
      <c r="J121" s="108">
        <v>1237260270.04</v>
      </c>
      <c r="K121" s="108">
        <v>6970304.3399999999</v>
      </c>
      <c r="L121" s="72">
        <v>2156603.73</v>
      </c>
      <c r="M121" s="53">
        <v>4813700.6100000003</v>
      </c>
      <c r="N121" s="72">
        <v>1241735128.75</v>
      </c>
      <c r="O121" s="72">
        <v>30583865.300000001</v>
      </c>
      <c r="P121" s="103">
        <v>1223764349.3199999</v>
      </c>
      <c r="Q121" s="56">
        <f t="shared" si="43"/>
        <v>8.8230758742367029E-4</v>
      </c>
      <c r="R121" s="103">
        <v>1211151263.45</v>
      </c>
      <c r="S121" s="56">
        <f t="shared" si="44"/>
        <v>4.0254882089192465E-2</v>
      </c>
      <c r="T121" s="57">
        <f t="shared" si="45"/>
        <v>-1.0306793033322556E-2</v>
      </c>
      <c r="U121" s="161">
        <f t="shared" si="46"/>
        <v>1.7806229453593194E-3</v>
      </c>
      <c r="V121" s="59">
        <f t="shared" si="47"/>
        <v>3.9744834152986245E-3</v>
      </c>
      <c r="W121" s="60">
        <f t="shared" si="48"/>
        <v>1623.6359855888466</v>
      </c>
      <c r="X121" s="60">
        <f t="shared" si="49"/>
        <v>6.4531142972049071</v>
      </c>
      <c r="Y121" s="72"/>
      <c r="Z121" s="72"/>
      <c r="AA121" s="71">
        <v>830</v>
      </c>
      <c r="AB121" s="71">
        <v>745950</v>
      </c>
      <c r="AC121" s="71"/>
      <c r="AD121" s="71"/>
      <c r="AE121" s="71">
        <v>745950</v>
      </c>
      <c r="AF121" s="38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</row>
    <row r="122" spans="1:241" s="39" customFormat="1" ht="16.5" customHeight="1" x14ac:dyDescent="0.25">
      <c r="A122" s="62">
        <v>106</v>
      </c>
      <c r="B122" s="48" t="s">
        <v>203</v>
      </c>
      <c r="C122" s="63" t="s">
        <v>62</v>
      </c>
      <c r="D122" s="72">
        <v>52042588.659999996</v>
      </c>
      <c r="E122" s="72"/>
      <c r="F122" s="72"/>
      <c r="G122" s="72"/>
      <c r="H122" s="107"/>
      <c r="I122" s="108"/>
      <c r="J122" s="72">
        <v>52042588.659999996</v>
      </c>
      <c r="K122" s="108">
        <v>1576151.18</v>
      </c>
      <c r="L122" s="72">
        <v>330736.03999999998</v>
      </c>
      <c r="M122" s="53">
        <v>1245415.1399999999</v>
      </c>
      <c r="N122" s="72">
        <v>229527535.72999999</v>
      </c>
      <c r="O122" s="72">
        <v>2248420.13</v>
      </c>
      <c r="P122" s="103">
        <v>227450716.99000001</v>
      </c>
      <c r="Q122" s="56">
        <f t="shared" si="43"/>
        <v>1.6398704005125015E-4</v>
      </c>
      <c r="R122" s="103">
        <v>225692686.06</v>
      </c>
      <c r="S122" s="56">
        <f t="shared" si="44"/>
        <v>7.5013193974292521E-3</v>
      </c>
      <c r="T122" s="57">
        <f t="shared" si="45"/>
        <v>-7.7292828673619874E-3</v>
      </c>
      <c r="U122" s="161">
        <f t="shared" si="46"/>
        <v>1.4654264866699066E-3</v>
      </c>
      <c r="V122" s="59">
        <f t="shared" si="47"/>
        <v>5.5181900740412498E-3</v>
      </c>
      <c r="W122" s="60">
        <f t="shared" si="48"/>
        <v>147.91334242556906</v>
      </c>
      <c r="X122" s="60">
        <f t="shared" si="49"/>
        <v>0.8162139379910397</v>
      </c>
      <c r="Y122" s="72">
        <v>147.43</v>
      </c>
      <c r="Z122" s="72">
        <v>149.94</v>
      </c>
      <c r="AA122" s="71">
        <v>39</v>
      </c>
      <c r="AB122" s="71">
        <v>1525844</v>
      </c>
      <c r="AC122" s="71"/>
      <c r="AD122" s="71"/>
      <c r="AE122" s="71">
        <v>1525844</v>
      </c>
      <c r="AF122" s="38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</row>
    <row r="123" spans="1:241" s="39" customFormat="1" ht="16.5" customHeight="1" x14ac:dyDescent="0.25">
      <c r="A123" s="62">
        <v>107</v>
      </c>
      <c r="B123" s="48" t="s">
        <v>184</v>
      </c>
      <c r="C123" s="63" t="s">
        <v>88</v>
      </c>
      <c r="D123" s="72">
        <v>7283823.75</v>
      </c>
      <c r="E123" s="72"/>
      <c r="F123" s="72">
        <v>6032075.0300000003</v>
      </c>
      <c r="G123" s="72">
        <v>3610208.56</v>
      </c>
      <c r="H123" s="107"/>
      <c r="I123" s="102"/>
      <c r="J123" s="108">
        <f>10894032.31+5032075.03</f>
        <v>15926107.34</v>
      </c>
      <c r="K123" s="108">
        <v>97679.22</v>
      </c>
      <c r="L123" s="72">
        <v>8211.4699999999993</v>
      </c>
      <c r="M123" s="53">
        <v>412582.95</v>
      </c>
      <c r="N123" s="72">
        <v>18209034.989999998</v>
      </c>
      <c r="O123" s="72">
        <v>359917.63</v>
      </c>
      <c r="P123" s="103">
        <v>18088905.140000001</v>
      </c>
      <c r="Q123" s="56">
        <f t="shared" si="43"/>
        <v>1.3041708775122753E-5</v>
      </c>
      <c r="R123" s="103">
        <v>17818173.77</v>
      </c>
      <c r="S123" s="56">
        <f t="shared" si="44"/>
        <v>5.9222039872454206E-4</v>
      </c>
      <c r="T123" s="57">
        <f t="shared" si="45"/>
        <v>-1.4966708482611958E-2</v>
      </c>
      <c r="U123" s="161">
        <f t="shared" si="46"/>
        <v>4.6084801427997296E-4</v>
      </c>
      <c r="V123" s="59">
        <f t="shared" si="47"/>
        <v>2.3155176020039456E-2</v>
      </c>
      <c r="W123" s="60">
        <f t="shared" si="48"/>
        <v>1.1525248474524405</v>
      </c>
      <c r="X123" s="60">
        <f t="shared" si="49"/>
        <v>2.6686915710230383E-2</v>
      </c>
      <c r="Y123" s="72">
        <v>1.1394</v>
      </c>
      <c r="Z123" s="72">
        <v>1.1394</v>
      </c>
      <c r="AA123" s="71">
        <v>8</v>
      </c>
      <c r="AB123" s="71">
        <v>14974817.890000001</v>
      </c>
      <c r="AC123" s="71"/>
      <c r="AD123" s="71"/>
      <c r="AE123" s="71">
        <v>15460121.15</v>
      </c>
      <c r="AF123" s="38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</row>
    <row r="124" spans="1:241" s="39" customFormat="1" ht="16.5" customHeight="1" x14ac:dyDescent="0.25">
      <c r="A124" s="62">
        <v>108</v>
      </c>
      <c r="B124" s="63" t="s">
        <v>139</v>
      </c>
      <c r="C124" s="63" t="s">
        <v>46</v>
      </c>
      <c r="D124" s="72">
        <v>67796537.799999997</v>
      </c>
      <c r="E124" s="72"/>
      <c r="F124" s="72">
        <v>47445414.219999999</v>
      </c>
      <c r="G124" s="72">
        <v>48232827.020000003</v>
      </c>
      <c r="H124" s="119">
        <v>924000</v>
      </c>
      <c r="I124" s="108"/>
      <c r="J124" s="108">
        <v>164398779.03999999</v>
      </c>
      <c r="K124" s="108">
        <v>614824.56999999995</v>
      </c>
      <c r="L124" s="72">
        <v>237256.38</v>
      </c>
      <c r="M124" s="53">
        <v>377568.19</v>
      </c>
      <c r="N124" s="72">
        <v>165505635.53999999</v>
      </c>
      <c r="O124" s="72">
        <v>2813509.16</v>
      </c>
      <c r="P124" s="103">
        <v>166402235.77000001</v>
      </c>
      <c r="Q124" s="56">
        <f t="shared" si="43"/>
        <v>1.1997240748655141E-4</v>
      </c>
      <c r="R124" s="103">
        <v>162692126.38</v>
      </c>
      <c r="S124" s="56">
        <f t="shared" si="44"/>
        <v>5.4073777255629037E-3</v>
      </c>
      <c r="T124" s="57">
        <f t="shared" si="45"/>
        <v>-2.229603089665275E-2</v>
      </c>
      <c r="U124" s="161">
        <f t="shared" si="46"/>
        <v>1.4583150720265362E-3</v>
      </c>
      <c r="V124" s="59">
        <f>M123/R124</f>
        <v>2.5359736772775964E-3</v>
      </c>
      <c r="W124" s="60">
        <f t="shared" si="48"/>
        <v>1.6422956307704135</v>
      </c>
      <c r="X124" s="60">
        <f>M123/AE124</f>
        <v>4.1648184899417753E-3</v>
      </c>
      <c r="Y124" s="72">
        <v>1.6423000000000001</v>
      </c>
      <c r="Z124" s="72">
        <v>1.6707000000000001</v>
      </c>
      <c r="AA124" s="71">
        <v>100</v>
      </c>
      <c r="AB124" s="71">
        <v>99015117</v>
      </c>
      <c r="AC124" s="71">
        <v>48732</v>
      </c>
      <c r="AD124" s="71"/>
      <c r="AE124" s="72">
        <v>99063849</v>
      </c>
      <c r="AF124" s="38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</row>
    <row r="125" spans="1:241" s="39" customFormat="1" ht="16.5" customHeight="1" x14ac:dyDescent="0.25">
      <c r="A125" s="62">
        <v>109</v>
      </c>
      <c r="B125" s="48" t="s">
        <v>129</v>
      </c>
      <c r="C125" s="48" t="s">
        <v>23</v>
      </c>
      <c r="D125" s="72">
        <v>894080370</v>
      </c>
      <c r="E125" s="72"/>
      <c r="F125" s="72">
        <v>376306616.88999999</v>
      </c>
      <c r="G125" s="72">
        <v>331960425.37</v>
      </c>
      <c r="H125" s="107"/>
      <c r="I125" s="108">
        <v>76438.33</v>
      </c>
      <c r="J125" s="108">
        <v>1602423850.5899999</v>
      </c>
      <c r="K125" s="108">
        <v>8275885.5199999996</v>
      </c>
      <c r="L125" s="72">
        <v>2684841.71</v>
      </c>
      <c r="M125" s="53">
        <v>-30905122.09</v>
      </c>
      <c r="N125" s="72">
        <v>1612362616.3499999</v>
      </c>
      <c r="O125" s="72">
        <v>5009558.62</v>
      </c>
      <c r="P125" s="103">
        <v>1681310279.9400001</v>
      </c>
      <c r="Q125" s="56">
        <f t="shared" si="43"/>
        <v>1.2121882923201393E-3</v>
      </c>
      <c r="R125" s="103">
        <v>1607353057.73</v>
      </c>
      <c r="S125" s="56">
        <f t="shared" si="44"/>
        <v>5.3423391253635336E-2</v>
      </c>
      <c r="T125" s="57">
        <f t="shared" si="45"/>
        <v>-4.3987848698955972E-2</v>
      </c>
      <c r="U125" s="161">
        <f t="shared" si="46"/>
        <v>1.6703497076066747E-3</v>
      </c>
      <c r="V125" s="59">
        <f>M125/R125</f>
        <v>-1.9227338972836534E-2</v>
      </c>
      <c r="W125" s="60">
        <f t="shared" si="48"/>
        <v>3629.7010935601184</v>
      </c>
      <c r="X125" s="60">
        <f>M125/AE125</f>
        <v>-69.78949329595585</v>
      </c>
      <c r="Y125" s="72">
        <v>3602.95</v>
      </c>
      <c r="Z125" s="72">
        <v>3644.34</v>
      </c>
      <c r="AA125" s="71">
        <v>1423</v>
      </c>
      <c r="AB125" s="71">
        <v>452092.38</v>
      </c>
      <c r="AC125" s="71">
        <v>3539.88</v>
      </c>
      <c r="AD125" s="71">
        <v>12798.81</v>
      </c>
      <c r="AE125" s="51">
        <v>442833.45</v>
      </c>
      <c r="AF125" s="38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</row>
    <row r="126" spans="1:241" ht="16.5" customHeight="1" x14ac:dyDescent="0.25">
      <c r="A126" s="62">
        <v>110</v>
      </c>
      <c r="B126" s="48" t="s">
        <v>130</v>
      </c>
      <c r="C126" s="48" t="s">
        <v>33</v>
      </c>
      <c r="D126" s="72">
        <v>498456647</v>
      </c>
      <c r="E126" s="138"/>
      <c r="F126" s="69">
        <v>9685584</v>
      </c>
      <c r="G126" s="72">
        <v>296093614</v>
      </c>
      <c r="H126" s="138"/>
      <c r="I126" s="138"/>
      <c r="J126" s="69">
        <v>804235845</v>
      </c>
      <c r="K126" s="69">
        <v>-6010068</v>
      </c>
      <c r="L126" s="69">
        <v>-2033794</v>
      </c>
      <c r="M126" s="53">
        <v>-32079754</v>
      </c>
      <c r="N126" s="69">
        <v>1060679411</v>
      </c>
      <c r="O126" s="69">
        <v>22253773</v>
      </c>
      <c r="P126" s="103">
        <v>1072243642.92</v>
      </c>
      <c r="Q126" s="56">
        <f t="shared" si="43"/>
        <v>7.7306444025828703E-4</v>
      </c>
      <c r="R126" s="103">
        <v>1038425637.71</v>
      </c>
      <c r="S126" s="56">
        <f>(R136/$R$132)</f>
        <v>1.9834889073966584E-2</v>
      </c>
      <c r="T126" s="57">
        <f>((R136-P126)/P126)</f>
        <v>-0.44343470307286753</v>
      </c>
      <c r="U126" s="161">
        <f>(L136/R136)</f>
        <v>8.0911304184087644E-3</v>
      </c>
      <c r="V126" s="59">
        <f>M136/R136</f>
        <v>-2.3496930200589645E-2</v>
      </c>
      <c r="W126" s="60">
        <f>R136/AE136</f>
        <v>15.978558671886134</v>
      </c>
      <c r="X126" s="60">
        <f>M136/AE136</f>
        <v>-0.3754470778193349</v>
      </c>
      <c r="Y126" s="98">
        <v>1.35</v>
      </c>
      <c r="Z126" s="138">
        <v>1.37</v>
      </c>
      <c r="AA126" s="69">
        <v>1324</v>
      </c>
      <c r="AB126" s="69">
        <v>769246852</v>
      </c>
      <c r="AC126" s="69">
        <v>10886</v>
      </c>
      <c r="AD126" s="69">
        <v>366309</v>
      </c>
      <c r="AE126" s="69">
        <v>768891429</v>
      </c>
      <c r="AF126" s="5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  <c r="FY126" s="17"/>
      <c r="FZ126" s="17"/>
      <c r="GA126" s="17"/>
      <c r="GB126" s="17"/>
      <c r="GC126" s="17"/>
      <c r="GD126" s="17"/>
      <c r="GE126" s="17"/>
      <c r="GF126" s="17"/>
      <c r="GG126" s="17"/>
      <c r="GH126" s="17"/>
      <c r="GI126" s="17"/>
      <c r="GJ126" s="17"/>
      <c r="GK126" s="17"/>
      <c r="GL126" s="17"/>
      <c r="GM126" s="17"/>
      <c r="GN126" s="17"/>
      <c r="GO126" s="17"/>
      <c r="GP126" s="17"/>
      <c r="GQ126" s="17"/>
      <c r="GR126" s="17"/>
      <c r="GS126" s="17"/>
      <c r="GT126" s="17"/>
      <c r="GU126" s="17"/>
      <c r="GV126" s="17"/>
      <c r="GW126" s="17"/>
      <c r="GX126" s="17"/>
      <c r="GY126" s="17"/>
      <c r="GZ126" s="17"/>
      <c r="HA126" s="17"/>
      <c r="HB126" s="17"/>
      <c r="HC126" s="17"/>
      <c r="HD126" s="17"/>
      <c r="HE126" s="17"/>
      <c r="HF126" s="17"/>
      <c r="HG126" s="17"/>
      <c r="HH126" s="17"/>
      <c r="HI126" s="17"/>
      <c r="HJ126" s="17"/>
      <c r="HK126" s="17"/>
      <c r="HL126" s="17"/>
      <c r="HM126" s="17"/>
      <c r="HN126" s="17"/>
      <c r="HO126" s="17"/>
      <c r="HP126" s="17"/>
      <c r="HQ126" s="17"/>
      <c r="HR126" s="17"/>
      <c r="HS126" s="17"/>
      <c r="HT126" s="17"/>
      <c r="HU126" s="17"/>
      <c r="HV126" s="17"/>
      <c r="HW126" s="17"/>
      <c r="HX126" s="17"/>
      <c r="HY126" s="17"/>
      <c r="HZ126" s="17"/>
      <c r="IA126" s="17"/>
      <c r="IB126" s="17"/>
      <c r="IC126" s="17"/>
      <c r="ID126" s="17"/>
      <c r="IE126" s="17"/>
      <c r="IF126" s="17"/>
      <c r="IG126" s="17"/>
    </row>
    <row r="127" spans="1:241" ht="16.5" customHeight="1" x14ac:dyDescent="0.25">
      <c r="A127" s="62">
        <v>111</v>
      </c>
      <c r="B127" s="100" t="s">
        <v>134</v>
      </c>
      <c r="C127" s="48" t="s">
        <v>86</v>
      </c>
      <c r="D127" s="72">
        <v>2847128748.6500001</v>
      </c>
      <c r="E127" s="72"/>
      <c r="F127" s="72">
        <v>166403520.84999999</v>
      </c>
      <c r="G127" s="72">
        <v>1001524844.03</v>
      </c>
      <c r="H127" s="107"/>
      <c r="I127" s="108"/>
      <c r="J127" s="108">
        <v>4023842355.71</v>
      </c>
      <c r="K127" s="108">
        <v>27184566.890000001</v>
      </c>
      <c r="L127" s="72">
        <v>6145063.2999999998</v>
      </c>
      <c r="M127" s="120">
        <v>-71970617.859999999</v>
      </c>
      <c r="N127" s="72">
        <v>4851207486.0799999</v>
      </c>
      <c r="O127" s="72">
        <v>31131610.93</v>
      </c>
      <c r="P127" s="103">
        <v>4908314318.6899996</v>
      </c>
      <c r="Q127" s="56">
        <f t="shared" si="43"/>
        <v>3.5387883028679549E-3</v>
      </c>
      <c r="R127" s="103">
        <v>4820075875.1499996</v>
      </c>
      <c r="S127" s="56">
        <f>(R127/$R$132)</f>
        <v>0.16020425513359884</v>
      </c>
      <c r="T127" s="57">
        <f>((R127-P127)/P127)</f>
        <v>-1.7977341671865522E-2</v>
      </c>
      <c r="U127" s="161">
        <f>(L127/R127)</f>
        <v>1.2748893293736308E-3</v>
      </c>
      <c r="V127" s="59">
        <f>M127/R127</f>
        <v>-1.4931428409881679E-2</v>
      </c>
      <c r="W127" s="60">
        <f>R127/AE127</f>
        <v>194.37544684578577</v>
      </c>
      <c r="X127" s="60">
        <f>M127/AE127</f>
        <v>-2.9023030692166119</v>
      </c>
      <c r="Y127" s="72">
        <v>191.96440000000001</v>
      </c>
      <c r="Z127" s="72">
        <v>195.9254</v>
      </c>
      <c r="AA127" s="71">
        <v>27</v>
      </c>
      <c r="AB127" s="71">
        <v>24797761</v>
      </c>
      <c r="AC127" s="71"/>
      <c r="AD127" s="71"/>
      <c r="AE127" s="71">
        <v>24797761</v>
      </c>
      <c r="AF127" s="5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  <c r="HP127" s="17"/>
      <c r="HQ127" s="17"/>
      <c r="HR127" s="17"/>
      <c r="HS127" s="17"/>
      <c r="HT127" s="17"/>
      <c r="HU127" s="17"/>
      <c r="HV127" s="17"/>
      <c r="HW127" s="17"/>
      <c r="HX127" s="17"/>
      <c r="HY127" s="17"/>
      <c r="HZ127" s="17"/>
      <c r="IA127" s="17"/>
      <c r="IB127" s="17"/>
      <c r="IC127" s="17"/>
      <c r="ID127" s="17"/>
      <c r="IE127" s="17"/>
      <c r="IF127" s="17"/>
      <c r="IG127" s="17"/>
    </row>
    <row r="128" spans="1:241" s="39" customFormat="1" ht="17.25" customHeight="1" x14ac:dyDescent="0.25">
      <c r="A128" s="62">
        <v>112</v>
      </c>
      <c r="B128" s="97" t="s">
        <v>138</v>
      </c>
      <c r="C128" s="63" t="s">
        <v>44</v>
      </c>
      <c r="D128" s="72">
        <v>870354375.29999995</v>
      </c>
      <c r="E128" s="72"/>
      <c r="F128" s="72">
        <v>681273951.71000004</v>
      </c>
      <c r="G128" s="72">
        <v>511167929.91000003</v>
      </c>
      <c r="H128" s="107"/>
      <c r="I128" s="108"/>
      <c r="J128" s="108">
        <v>2062796256.9200001</v>
      </c>
      <c r="K128" s="108">
        <v>12939055.17</v>
      </c>
      <c r="L128" s="72">
        <v>4959098.33</v>
      </c>
      <c r="M128" s="53">
        <v>-61540657.880000003</v>
      </c>
      <c r="N128" s="72">
        <v>2112744571.22</v>
      </c>
      <c r="O128" s="72">
        <v>84344298.989999995</v>
      </c>
      <c r="P128" s="103">
        <v>2082463338.8599999</v>
      </c>
      <c r="Q128" s="56">
        <f t="shared" si="43"/>
        <v>1.5014109582688589E-3</v>
      </c>
      <c r="R128" s="103">
        <v>2028400272.23</v>
      </c>
      <c r="S128" s="56">
        <f>(R128/$R$132)</f>
        <v>6.7417684522504254E-2</v>
      </c>
      <c r="T128" s="57">
        <f>((R128-P128)/P128)</f>
        <v>-2.5961113274433702E-2</v>
      </c>
      <c r="U128" s="161">
        <f>(L128/R128)</f>
        <v>2.4448322147719022E-3</v>
      </c>
      <c r="V128" s="59">
        <f ca="1">V128/R128</f>
        <v>0</v>
      </c>
      <c r="W128" s="60">
        <f>R128/AE128</f>
        <v>2.8949999999872262</v>
      </c>
      <c r="X128" s="60">
        <f>M128/AE128</f>
        <v>-8.7832863661542804E-2</v>
      </c>
      <c r="Y128" s="72">
        <v>2.87</v>
      </c>
      <c r="Z128" s="72">
        <v>2.92</v>
      </c>
      <c r="AA128" s="71">
        <v>2034</v>
      </c>
      <c r="AB128" s="71">
        <v>695049866.66999996</v>
      </c>
      <c r="AC128" s="71">
        <v>6017917.0599999996</v>
      </c>
      <c r="AD128" s="71">
        <v>411385.72</v>
      </c>
      <c r="AE128" s="72">
        <v>700656398.00999999</v>
      </c>
      <c r="AF128" s="38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  <c r="HG128" s="23"/>
      <c r="HH128" s="23"/>
      <c r="HI128" s="23"/>
      <c r="HJ128" s="23"/>
      <c r="HK128" s="23"/>
      <c r="HL128" s="23"/>
      <c r="HM128" s="23"/>
      <c r="HN128" s="23"/>
      <c r="HO128" s="23"/>
      <c r="HP128" s="23"/>
      <c r="HQ128" s="23"/>
      <c r="HR128" s="23"/>
      <c r="HS128" s="23"/>
      <c r="HT128" s="23"/>
      <c r="HU128" s="23"/>
      <c r="HV128" s="23"/>
      <c r="HW128" s="23"/>
      <c r="HX128" s="23"/>
      <c r="HY128" s="23"/>
      <c r="HZ128" s="23"/>
      <c r="IA128" s="23"/>
      <c r="IB128" s="23"/>
      <c r="IC128" s="23"/>
      <c r="ID128" s="23"/>
      <c r="IE128" s="23"/>
      <c r="IF128" s="23"/>
      <c r="IG128" s="23"/>
    </row>
    <row r="129" spans="1:241" ht="15.75" customHeight="1" x14ac:dyDescent="0.25">
      <c r="A129" s="62">
        <v>113</v>
      </c>
      <c r="B129" s="48" t="s">
        <v>204</v>
      </c>
      <c r="C129" s="48" t="s">
        <v>33</v>
      </c>
      <c r="D129" s="72">
        <v>315362142</v>
      </c>
      <c r="E129" s="72"/>
      <c r="F129" s="72">
        <v>9684917</v>
      </c>
      <c r="G129" s="72"/>
      <c r="H129" s="107"/>
      <c r="I129" s="108"/>
      <c r="J129" s="108">
        <v>325047059.51999998</v>
      </c>
      <c r="K129" s="108">
        <v>3464581.06</v>
      </c>
      <c r="L129" s="72">
        <v>1222738</v>
      </c>
      <c r="M129" s="53">
        <v>9817987</v>
      </c>
      <c r="N129" s="72">
        <v>659906624</v>
      </c>
      <c r="O129" s="72">
        <v>19871408</v>
      </c>
      <c r="P129" s="103">
        <v>653050095</v>
      </c>
      <c r="Q129" s="56">
        <f t="shared" si="43"/>
        <v>4.7083497252262374E-4</v>
      </c>
      <c r="R129" s="103">
        <v>640035216</v>
      </c>
      <c r="S129" s="56">
        <f>(R129/$R$132)</f>
        <v>2.1272769909532002E-2</v>
      </c>
      <c r="T129" s="57">
        <f>((R129-P129)/P129)</f>
        <v>-1.992937310574926E-2</v>
      </c>
      <c r="U129" s="161" t="e">
        <f>(#REF!/#REF!)</f>
        <v>#REF!</v>
      </c>
      <c r="V129" s="59" t="e">
        <f>#REF!/#REF!</f>
        <v>#REF!</v>
      </c>
      <c r="W129" s="60" t="e">
        <f>#REF!/#REF!</f>
        <v>#REF!</v>
      </c>
      <c r="X129" s="60" t="e">
        <f>#REF!/#REF!</f>
        <v>#REF!</v>
      </c>
      <c r="Y129" s="72">
        <v>1.1499999999999999</v>
      </c>
      <c r="Z129" s="72">
        <v>1.17</v>
      </c>
      <c r="AA129" s="71">
        <v>163</v>
      </c>
      <c r="AB129" s="71">
        <v>556858174</v>
      </c>
      <c r="AC129" s="71">
        <v>17219</v>
      </c>
      <c r="AD129" s="71">
        <v>2496653</v>
      </c>
      <c r="AE129" s="72">
        <v>554378740</v>
      </c>
      <c r="AF129" s="44"/>
    </row>
    <row r="130" spans="1:241" ht="15.75" customHeight="1" x14ac:dyDescent="0.25">
      <c r="A130" s="62">
        <v>114</v>
      </c>
      <c r="B130" s="48" t="s">
        <v>173</v>
      </c>
      <c r="C130" s="48" t="s">
        <v>29</v>
      </c>
      <c r="D130" s="72">
        <v>109977868.2</v>
      </c>
      <c r="E130" s="87"/>
      <c r="F130" s="72">
        <v>31444182.600000001</v>
      </c>
      <c r="G130" s="72">
        <v>52798533.859999999</v>
      </c>
      <c r="H130" s="107"/>
      <c r="I130" s="108"/>
      <c r="J130" s="108">
        <v>194971506.38999999</v>
      </c>
      <c r="K130" s="108">
        <v>693528.16</v>
      </c>
      <c r="L130" s="167">
        <v>400515.28</v>
      </c>
      <c r="M130" s="53">
        <v>293012.88</v>
      </c>
      <c r="N130" s="72">
        <v>194971506.38999999</v>
      </c>
      <c r="O130" s="72">
        <v>974922.23999999999</v>
      </c>
      <c r="P130" s="103">
        <v>198844646.44999999</v>
      </c>
      <c r="Q130" s="56">
        <f t="shared" si="43"/>
        <v>1.4336268283914204E-4</v>
      </c>
      <c r="R130" s="103">
        <v>193996584.15000001</v>
      </c>
      <c r="S130" s="56">
        <f>(R130/$R$132)</f>
        <v>6.4478400480046608E-3</v>
      </c>
      <c r="T130" s="57">
        <f>((R130-P130)/P130)</f>
        <v>-2.4381155774385106E-2</v>
      </c>
      <c r="U130" s="161">
        <f>(L130/R130)</f>
        <v>2.0645481040548518E-3</v>
      </c>
      <c r="V130" s="59">
        <f>M130/R130</f>
        <v>1.5104022644720366E-3</v>
      </c>
      <c r="W130" s="60">
        <f>R130/AE130</f>
        <v>148.18582535611057</v>
      </c>
      <c r="X130" s="60">
        <f>M130/AE130</f>
        <v>0.22382020618052711</v>
      </c>
      <c r="Y130" s="72">
        <v>147</v>
      </c>
      <c r="Z130" s="170">
        <v>148.81</v>
      </c>
      <c r="AA130" s="71">
        <v>721</v>
      </c>
      <c r="AB130" s="72">
        <v>1311281</v>
      </c>
      <c r="AC130" s="72">
        <v>363</v>
      </c>
      <c r="AD130" s="71">
        <v>2500</v>
      </c>
      <c r="AE130" s="72">
        <v>1309144</v>
      </c>
      <c r="AF130" s="44"/>
    </row>
    <row r="131" spans="1:241" ht="15.75" customHeight="1" x14ac:dyDescent="0.25">
      <c r="A131" s="62">
        <v>115</v>
      </c>
      <c r="B131" s="48" t="s">
        <v>201</v>
      </c>
      <c r="C131" s="48" t="s">
        <v>73</v>
      </c>
      <c r="D131" s="72">
        <v>1093474755.7</v>
      </c>
      <c r="E131" s="72"/>
      <c r="F131" s="72">
        <v>401427800.69</v>
      </c>
      <c r="G131" s="72">
        <v>1020133585.8099999</v>
      </c>
      <c r="H131" s="107"/>
      <c r="I131" s="108"/>
      <c r="J131" s="108">
        <v>2515036142.1999998</v>
      </c>
      <c r="K131" s="108">
        <v>12214251.029999999</v>
      </c>
      <c r="L131" s="72">
        <v>17786160.059999999</v>
      </c>
      <c r="M131" s="53">
        <v>-75474805.180000007</v>
      </c>
      <c r="N131" s="72">
        <v>2517115385.73</v>
      </c>
      <c r="O131" s="72">
        <v>17786160.059999999</v>
      </c>
      <c r="P131" s="103">
        <v>2565469925.23</v>
      </c>
      <c r="Q131" s="56">
        <f t="shared" si="43"/>
        <v>1.8496482444479005E-3</v>
      </c>
      <c r="R131" s="103">
        <v>2499329225.6700001</v>
      </c>
      <c r="S131" s="56">
        <f>(R131/$R$132)</f>
        <v>8.3069890869640367E-2</v>
      </c>
      <c r="T131" s="57">
        <f>((R131-P131)/P131)</f>
        <v>-2.5781124506485995E-2</v>
      </c>
      <c r="U131" s="161">
        <f>(L131/R131)</f>
        <v>7.1163734162441239E-3</v>
      </c>
      <c r="V131" s="59">
        <f>M131/R131</f>
        <v>-3.0198024495859416E-2</v>
      </c>
      <c r="W131" s="60">
        <f>R131/AE131</f>
        <v>13.636020552958893</v>
      </c>
      <c r="X131" s="60">
        <f>M131/AE131</f>
        <v>-0.41178088268429514</v>
      </c>
      <c r="Y131" s="72">
        <v>13.636100000000001</v>
      </c>
      <c r="Z131" s="72">
        <v>13.761100000000001</v>
      </c>
      <c r="AA131" s="71">
        <v>6367</v>
      </c>
      <c r="AB131" s="71">
        <v>183426078.59999999</v>
      </c>
      <c r="AC131" s="71"/>
      <c r="AD131" s="71">
        <v>137323.94</v>
      </c>
      <c r="AE131" s="72">
        <v>183288754.66</v>
      </c>
      <c r="AF131" s="44"/>
    </row>
    <row r="132" spans="1:241" ht="15.75" customHeight="1" x14ac:dyDescent="0.25">
      <c r="A132" s="127"/>
      <c r="C132" s="159" t="s">
        <v>52</v>
      </c>
      <c r="D132" s="87">
        <f>SUM(D110:D131)</f>
        <v>14568028488.639999</v>
      </c>
      <c r="E132" s="87"/>
      <c r="F132" s="87">
        <f>SUM(F110:F131)</f>
        <v>5761527075.1900005</v>
      </c>
      <c r="G132" s="87">
        <f>SUM(G110:G131)</f>
        <v>6647279005.6099987</v>
      </c>
      <c r="H132" s="87">
        <f>SUM(H110:H131)</f>
        <v>29047168.509999998</v>
      </c>
      <c r="I132" s="87"/>
      <c r="J132" s="87">
        <f t="shared" ref="J132:O132" si="50">SUM(J110:J131)</f>
        <v>27325001184.580002</v>
      </c>
      <c r="K132" s="87">
        <f t="shared" si="50"/>
        <v>135397403.5</v>
      </c>
      <c r="L132" s="87">
        <f t="shared" si="50"/>
        <v>73801251.359999985</v>
      </c>
      <c r="M132" s="53">
        <f t="shared" si="50"/>
        <v>-398330417.62000006</v>
      </c>
      <c r="N132" s="87">
        <f t="shared" si="50"/>
        <v>30792172021.960003</v>
      </c>
      <c r="O132" s="87">
        <f t="shared" si="50"/>
        <v>902483196.1099999</v>
      </c>
      <c r="P132" s="114">
        <f>SUM(P110:P131)</f>
        <v>30875959679.52</v>
      </c>
      <c r="Q132" s="89">
        <f t="shared" ref="Q132" si="51">(P132/$P$150)</f>
        <v>2.2260898112749585E-2</v>
      </c>
      <c r="R132" s="114">
        <f>SUM(R110:R131)</f>
        <v>30087065235.130005</v>
      </c>
      <c r="S132" s="89">
        <f>(R132/$R$150)</f>
        <v>2.2128422236586572E-2</v>
      </c>
      <c r="T132" s="90">
        <f t="shared" ref="T132" si="52">((R132-P132)/P132)</f>
        <v>-2.5550442887553992E-2</v>
      </c>
      <c r="U132" s="91"/>
      <c r="V132" s="92"/>
      <c r="W132" s="93"/>
      <c r="X132" s="93"/>
      <c r="Y132" s="87"/>
      <c r="Z132" s="87"/>
      <c r="AA132" s="94">
        <f>SUM(AA110:AA131)</f>
        <v>47239</v>
      </c>
      <c r="AB132" s="94"/>
      <c r="AC132" s="94"/>
      <c r="AD132" s="94"/>
      <c r="AE132" s="141"/>
      <c r="AF132" s="44"/>
    </row>
    <row r="133" spans="1:241" ht="15.75" customHeight="1" x14ac:dyDescent="0.25">
      <c r="A133" s="176" t="s">
        <v>141</v>
      </c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8"/>
      <c r="AF133" s="44"/>
    </row>
    <row r="134" spans="1:241" ht="15.75" customHeight="1" x14ac:dyDescent="0.25">
      <c r="A134" s="62">
        <v>116</v>
      </c>
      <c r="B134" s="63" t="s">
        <v>143</v>
      </c>
      <c r="C134" s="63" t="s">
        <v>35</v>
      </c>
      <c r="D134" s="72">
        <v>223236302.5</v>
      </c>
      <c r="E134" s="72"/>
      <c r="F134" s="72"/>
      <c r="G134" s="72">
        <v>149637253.06999999</v>
      </c>
      <c r="H134" s="54">
        <v>1077733.8500000001</v>
      </c>
      <c r="I134" s="72"/>
      <c r="J134" s="72">
        <v>373951289.42000002</v>
      </c>
      <c r="K134" s="72">
        <v>3279886.91</v>
      </c>
      <c r="L134" s="54">
        <v>1750316.28</v>
      </c>
      <c r="M134" s="53">
        <v>-9886308.3399999999</v>
      </c>
      <c r="N134" s="72">
        <v>559355155</v>
      </c>
      <c r="O134" s="72">
        <v>6493603</v>
      </c>
      <c r="P134" s="80">
        <v>511506748</v>
      </c>
      <c r="Q134" s="56">
        <f>(P134/$P$137)</f>
        <v>0.17348421619766349</v>
      </c>
      <c r="R134" s="80">
        <v>552861552</v>
      </c>
      <c r="S134" s="56">
        <f>(R134/$R$137)</f>
        <v>0.18985489776901504</v>
      </c>
      <c r="T134" s="57">
        <f>((R134-P134)/P134)</f>
        <v>8.0848990089960646E-2</v>
      </c>
      <c r="U134" s="161">
        <f>(L134/R134)</f>
        <v>3.1659215108523226E-3</v>
      </c>
      <c r="V134" s="59">
        <f>M134/R134</f>
        <v>-1.7882068854735624E-2</v>
      </c>
      <c r="W134" s="60">
        <f>R134/AE134</f>
        <v>43.379770360760553</v>
      </c>
      <c r="X134" s="60">
        <f>M134/AE134</f>
        <v>-0.77572004049373988</v>
      </c>
      <c r="Y134" s="72">
        <v>43.1629</v>
      </c>
      <c r="Z134" s="72">
        <v>44.464300000000001</v>
      </c>
      <c r="AA134" s="71">
        <v>204</v>
      </c>
      <c r="AB134" s="71">
        <v>11577864</v>
      </c>
      <c r="AC134" s="71">
        <v>1227090</v>
      </c>
      <c r="AD134" s="71">
        <v>60268</v>
      </c>
      <c r="AE134" s="72">
        <v>12744686</v>
      </c>
      <c r="AF134" s="44"/>
    </row>
    <row r="135" spans="1:241" ht="15.75" customHeight="1" x14ac:dyDescent="0.25">
      <c r="A135" s="62">
        <v>117</v>
      </c>
      <c r="B135" s="63" t="s">
        <v>142</v>
      </c>
      <c r="C135" s="48" t="s">
        <v>23</v>
      </c>
      <c r="D135" s="72">
        <v>1325385829</v>
      </c>
      <c r="E135" s="72"/>
      <c r="F135" s="72">
        <v>416931993.73000002</v>
      </c>
      <c r="G135" s="72">
        <v>11438371.77</v>
      </c>
      <c r="H135" s="107"/>
      <c r="I135" s="72"/>
      <c r="J135" s="72">
        <v>1763118697.77</v>
      </c>
      <c r="K135" s="72">
        <v>13056384.800000001</v>
      </c>
      <c r="L135" s="72">
        <v>5234229.62</v>
      </c>
      <c r="M135" s="53">
        <v>-46844074.270000003</v>
      </c>
      <c r="N135" s="72">
        <v>1770662690.26</v>
      </c>
      <c r="O135" s="72">
        <v>8276302.5899999999</v>
      </c>
      <c r="P135" s="80">
        <v>1829979414.29</v>
      </c>
      <c r="Q135" s="56">
        <f>(P135/$P$137)</f>
        <v>0.6206614977950593</v>
      </c>
      <c r="R135" s="80">
        <v>1762386387.6700001</v>
      </c>
      <c r="S135" s="56">
        <f>(R135/$R$137)</f>
        <v>0.60521062868302256</v>
      </c>
      <c r="T135" s="57">
        <f>((R135-P135)/P135)</f>
        <v>-3.6936495619665097E-2</v>
      </c>
      <c r="U135" s="161">
        <f>(L135/R135)</f>
        <v>2.9699671176648288E-3</v>
      </c>
      <c r="V135" s="59">
        <f>M135/R135</f>
        <v>-2.6579911532300923E-2</v>
      </c>
      <c r="W135" s="60">
        <f>R135/AE135</f>
        <v>1.4474745298159375</v>
      </c>
      <c r="X135" s="60">
        <f>M135/AE135</f>
        <v>-3.8473744947766494E-2</v>
      </c>
      <c r="Y135" s="72">
        <v>1.43</v>
      </c>
      <c r="Z135" s="72">
        <v>1.46</v>
      </c>
      <c r="AA135" s="71">
        <v>9505</v>
      </c>
      <c r="AB135" s="71">
        <v>1231229215.02</v>
      </c>
      <c r="AC135" s="71">
        <v>5468345.9500000002</v>
      </c>
      <c r="AD135" s="71">
        <v>19138045.16</v>
      </c>
      <c r="AE135" s="51">
        <v>1217559515.8099999</v>
      </c>
      <c r="AF135" s="44"/>
    </row>
    <row r="136" spans="1:241" ht="15.75" customHeight="1" x14ac:dyDescent="0.25">
      <c r="A136" s="62">
        <v>118</v>
      </c>
      <c r="B136" s="63" t="s">
        <v>200</v>
      </c>
      <c r="C136" s="48" t="s">
        <v>73</v>
      </c>
      <c r="D136" s="72">
        <v>309269476.60000002</v>
      </c>
      <c r="E136" s="72"/>
      <c r="F136" s="98">
        <v>54570139.07</v>
      </c>
      <c r="G136" s="72">
        <v>234993924.13999999</v>
      </c>
      <c r="H136" s="107"/>
      <c r="I136" s="72"/>
      <c r="J136" s="72">
        <v>598833539.80999994</v>
      </c>
      <c r="K136" s="72">
        <v>2842542.78</v>
      </c>
      <c r="L136" s="54">
        <v>4828573.04</v>
      </c>
      <c r="M136" s="53">
        <v>-14022347.66</v>
      </c>
      <c r="N136" s="72">
        <v>601602174.54999995</v>
      </c>
      <c r="O136" s="72">
        <v>4828573.05</v>
      </c>
      <c r="P136" s="80">
        <v>606947759.88999999</v>
      </c>
      <c r="Q136" s="56">
        <f>(P136/$P$137)</f>
        <v>0.20585428600727726</v>
      </c>
      <c r="R136" s="80">
        <v>596773601.5</v>
      </c>
      <c r="S136" s="56">
        <f>(R136/$R$137)</f>
        <v>0.20493447354796238</v>
      </c>
      <c r="T136" s="57">
        <f>((R136-P136)/P136)</f>
        <v>-1.6762823857927898E-2</v>
      </c>
      <c r="U136" s="161">
        <f>(L136/R136)</f>
        <v>8.0911304184087644E-3</v>
      </c>
      <c r="V136" s="59">
        <f>M136/R136</f>
        <v>-2.3496930200589645E-2</v>
      </c>
      <c r="W136" s="60">
        <f>R136/AE136</f>
        <v>15.978558671886134</v>
      </c>
      <c r="X136" s="60">
        <f>M136/AE136</f>
        <v>-0.3754470778193349</v>
      </c>
      <c r="Y136" s="72">
        <v>15.9787</v>
      </c>
      <c r="Z136" s="72">
        <v>16.152200000000001</v>
      </c>
      <c r="AA136" s="71">
        <v>1529</v>
      </c>
      <c r="AB136" s="71">
        <v>37371212.240000002</v>
      </c>
      <c r="AC136" s="71">
        <v>623.87</v>
      </c>
      <c r="AD136" s="71">
        <v>23436.06</v>
      </c>
      <c r="AE136" s="72">
        <v>37348400.049999997</v>
      </c>
      <c r="AF136" s="44"/>
    </row>
    <row r="137" spans="1:241" ht="15" customHeight="1" x14ac:dyDescent="0.25">
      <c r="A137" s="142"/>
      <c r="C137" s="159" t="s">
        <v>52</v>
      </c>
      <c r="D137" s="87">
        <f>SUM(D134:D136)</f>
        <v>1857891608.0999999</v>
      </c>
      <c r="E137" s="87"/>
      <c r="F137" s="87">
        <f>SUM(F134:F136)</f>
        <v>471502132.80000001</v>
      </c>
      <c r="G137" s="87">
        <f>SUM(G134:G136)</f>
        <v>396069548.98000002</v>
      </c>
      <c r="H137" s="87">
        <f>SUM(H134:H136)</f>
        <v>1077733.8500000001</v>
      </c>
      <c r="I137" s="87"/>
      <c r="J137" s="87">
        <f t="shared" ref="J137:O137" si="53">SUM(J134:J136)</f>
        <v>2735903527</v>
      </c>
      <c r="K137" s="87">
        <f t="shared" si="53"/>
        <v>19178814.490000002</v>
      </c>
      <c r="L137" s="87">
        <f t="shared" si="53"/>
        <v>11813118.940000001</v>
      </c>
      <c r="M137" s="53">
        <f t="shared" si="53"/>
        <v>-70752730.269999996</v>
      </c>
      <c r="N137" s="87">
        <f t="shared" si="53"/>
        <v>2931620019.8100004</v>
      </c>
      <c r="O137" s="87">
        <f t="shared" si="53"/>
        <v>19598478.640000001</v>
      </c>
      <c r="P137" s="105">
        <f>SUM(P134:P136)</f>
        <v>2948433922.1799998</v>
      </c>
      <c r="Q137" s="89">
        <f>(P137/$P$150)</f>
        <v>2.1257569907166033E-3</v>
      </c>
      <c r="R137" s="105">
        <f>SUM(R134:R136)</f>
        <v>2912021541.1700001</v>
      </c>
      <c r="S137" s="89">
        <f>(R137/$R$150)</f>
        <v>2.1417323930220437E-3</v>
      </c>
      <c r="T137" s="90">
        <f>((R137-P137)/P137)</f>
        <v>-1.2349736155211961E-2</v>
      </c>
      <c r="U137" s="91"/>
      <c r="V137" s="92"/>
      <c r="W137" s="93"/>
      <c r="X137" s="93"/>
      <c r="Y137" s="87"/>
      <c r="Z137" s="87"/>
      <c r="AA137" s="94">
        <f>SUM(AA134:AA136)</f>
        <v>11238</v>
      </c>
      <c r="AB137" s="94"/>
      <c r="AC137" s="94"/>
      <c r="AD137" s="94"/>
      <c r="AE137" s="141"/>
      <c r="AF137" s="44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  <c r="FQ137" s="17"/>
      <c r="FR137" s="17"/>
      <c r="FS137" s="17"/>
      <c r="FT137" s="17"/>
      <c r="FU137" s="17"/>
      <c r="FV137" s="17"/>
      <c r="FW137" s="17"/>
      <c r="FX137" s="17"/>
      <c r="FY137" s="17"/>
      <c r="FZ137" s="17"/>
      <c r="GA137" s="17"/>
      <c r="GB137" s="17"/>
      <c r="GC137" s="17"/>
      <c r="GD137" s="17"/>
      <c r="GE137" s="17"/>
      <c r="GF137" s="17"/>
      <c r="GG137" s="17"/>
      <c r="GH137" s="17"/>
      <c r="GI137" s="17"/>
      <c r="GJ137" s="17"/>
      <c r="GK137" s="17"/>
      <c r="GL137" s="17"/>
      <c r="GM137" s="17"/>
      <c r="GN137" s="17"/>
      <c r="GO137" s="17"/>
      <c r="GP137" s="17"/>
      <c r="GQ137" s="17"/>
      <c r="GR137" s="17"/>
      <c r="GS137" s="17"/>
      <c r="GT137" s="17"/>
      <c r="GU137" s="17"/>
      <c r="GV137" s="17"/>
      <c r="GW137" s="17"/>
      <c r="GX137" s="17"/>
      <c r="GY137" s="17"/>
      <c r="GZ137" s="17"/>
      <c r="HA137" s="17"/>
      <c r="HB137" s="17"/>
      <c r="HC137" s="17"/>
      <c r="HD137" s="17"/>
      <c r="HE137" s="17"/>
      <c r="HF137" s="17"/>
      <c r="HG137" s="17"/>
      <c r="HH137" s="17"/>
      <c r="HI137" s="17"/>
      <c r="HJ137" s="17"/>
      <c r="HK137" s="17"/>
      <c r="HL137" s="17"/>
      <c r="HM137" s="17"/>
      <c r="HN137" s="17"/>
      <c r="HO137" s="17"/>
      <c r="HP137" s="17"/>
      <c r="HQ137" s="17"/>
      <c r="HR137" s="17"/>
      <c r="HS137" s="17"/>
      <c r="HT137" s="17"/>
      <c r="HU137" s="17"/>
      <c r="HV137" s="17"/>
      <c r="HW137" s="17"/>
      <c r="HX137" s="17"/>
      <c r="HY137" s="17"/>
      <c r="HZ137" s="17"/>
      <c r="IA137" s="17"/>
      <c r="IB137" s="17"/>
      <c r="IC137" s="17"/>
      <c r="ID137" s="17"/>
      <c r="IE137" s="17"/>
      <c r="IF137" s="17"/>
      <c r="IG137" s="17"/>
    </row>
    <row r="138" spans="1:241" ht="15.75" customHeight="1" x14ac:dyDescent="0.25">
      <c r="A138" s="176" t="s">
        <v>179</v>
      </c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8"/>
      <c r="AF138" s="44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  <c r="HS138" s="17"/>
      <c r="HT138" s="17"/>
      <c r="HU138" s="17"/>
      <c r="HV138" s="17"/>
      <c r="HW138" s="17"/>
      <c r="HX138" s="17"/>
      <c r="HY138" s="17"/>
      <c r="HZ138" s="17"/>
      <c r="IA138" s="17"/>
      <c r="IB138" s="17"/>
      <c r="IC138" s="17"/>
      <c r="ID138" s="17"/>
      <c r="IE138" s="17"/>
      <c r="IF138" s="17"/>
      <c r="IG138" s="17"/>
    </row>
    <row r="139" spans="1:241" ht="15.75" customHeight="1" x14ac:dyDescent="0.25">
      <c r="A139" s="179" t="s">
        <v>2</v>
      </c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1"/>
      <c r="AF139" s="44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</row>
    <row r="140" spans="1:241" ht="15.75" customHeight="1" x14ac:dyDescent="0.25">
      <c r="A140" s="62">
        <v>119</v>
      </c>
      <c r="B140" s="63" t="s">
        <v>165</v>
      </c>
      <c r="C140" s="48" t="s">
        <v>107</v>
      </c>
      <c r="D140" s="54">
        <v>1135948563.2</v>
      </c>
      <c r="E140" s="95"/>
      <c r="F140" s="54"/>
      <c r="G140" s="72">
        <v>903398748.12</v>
      </c>
      <c r="H140" s="72"/>
      <c r="I140" s="54">
        <f>1150337859.05+1434.36</f>
        <v>1150339293.4099998</v>
      </c>
      <c r="J140" s="143">
        <v>3189686604.73</v>
      </c>
      <c r="K140" s="108">
        <v>54486968.450000003</v>
      </c>
      <c r="L140" s="54">
        <v>140937.9</v>
      </c>
      <c r="M140" s="53">
        <v>-32893557.890000001</v>
      </c>
      <c r="N140" s="54">
        <v>3593926088.7600002</v>
      </c>
      <c r="O140" s="54">
        <v>337846403.42000002</v>
      </c>
      <c r="P140" s="55">
        <v>3313219913.73</v>
      </c>
      <c r="Q140" s="56">
        <f>(P140/$P$149)</f>
        <v>0.1753838129226373</v>
      </c>
      <c r="R140" s="55">
        <v>3256079685.3400002</v>
      </c>
      <c r="S140" s="56">
        <f>(R140/$R$149)</f>
        <v>0.17244748836117529</v>
      </c>
      <c r="T140" s="57">
        <f>((R140-P140)/P140)</f>
        <v>-1.7246132124586862E-2</v>
      </c>
      <c r="U140" s="161">
        <f>(L140/R140)</f>
        <v>4.3284536503990147E-5</v>
      </c>
      <c r="V140" s="59">
        <f>M140/R140</f>
        <v>-1.0102196834462684E-2</v>
      </c>
      <c r="W140" s="60">
        <f>R140/AE140</f>
        <v>1.6054495492193384</v>
      </c>
      <c r="X140" s="60">
        <f>M140/AE140</f>
        <v>-1.6218567354013141E-2</v>
      </c>
      <c r="Y140" s="108">
        <v>1.59</v>
      </c>
      <c r="Z140" s="108">
        <v>1.62</v>
      </c>
      <c r="AA140" s="144">
        <v>15219</v>
      </c>
      <c r="AB140" s="108">
        <v>2041605794.8499999</v>
      </c>
      <c r="AC140" s="108">
        <v>1753073</v>
      </c>
      <c r="AD140" s="108">
        <v>15216853</v>
      </c>
      <c r="AE140" s="51">
        <v>2028142016</v>
      </c>
      <c r="AF140" s="44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</row>
    <row r="141" spans="1:241" ht="15.75" customHeight="1" x14ac:dyDescent="0.25">
      <c r="A141" s="62">
        <v>120</v>
      </c>
      <c r="B141" s="48" t="s">
        <v>144</v>
      </c>
      <c r="C141" s="48" t="s">
        <v>23</v>
      </c>
      <c r="D141" s="51">
        <v>232167020.90000001</v>
      </c>
      <c r="E141" s="51"/>
      <c r="F141" s="51">
        <v>74622532.030000001</v>
      </c>
      <c r="G141" s="51">
        <v>23126788.039999999</v>
      </c>
      <c r="H141" s="51"/>
      <c r="I141" s="51"/>
      <c r="J141" s="51">
        <v>329916340.97000003</v>
      </c>
      <c r="K141" s="51">
        <v>3043002.3</v>
      </c>
      <c r="L141" s="51">
        <v>739934.4</v>
      </c>
      <c r="M141" s="53">
        <v>-13447274.6</v>
      </c>
      <c r="N141" s="72">
        <v>335787992.55000001</v>
      </c>
      <c r="O141" s="72">
        <v>7584969.0999999996</v>
      </c>
      <c r="P141" s="80">
        <v>344255084.39999998</v>
      </c>
      <c r="Q141" s="56">
        <f>(P141/$P$149)</f>
        <v>1.8222988781962428E-2</v>
      </c>
      <c r="R141" s="80">
        <v>328203023.44999999</v>
      </c>
      <c r="S141" s="56">
        <f>(R141/$R$149)</f>
        <v>1.7382187334455998E-2</v>
      </c>
      <c r="T141" s="57">
        <f>((R141-P141)/P141)</f>
        <v>-4.6628391786796772E-2</v>
      </c>
      <c r="U141" s="161">
        <f t="shared" ref="U141:U149" si="54">(L141/R141)</f>
        <v>2.2545020829545319E-3</v>
      </c>
      <c r="V141" s="59">
        <f>M141/R141</f>
        <v>-4.0972427550011958E-2</v>
      </c>
      <c r="W141" s="60">
        <f>R141/AE141</f>
        <v>268.95171752279356</v>
      </c>
      <c r="X141" s="60">
        <f>M141/AE141</f>
        <v>-11.019604760653941</v>
      </c>
      <c r="Y141" s="72">
        <v>266.43</v>
      </c>
      <c r="Z141" s="72">
        <v>270.33</v>
      </c>
      <c r="AA141" s="71">
        <v>505</v>
      </c>
      <c r="AB141" s="71">
        <v>1235892.8799999999</v>
      </c>
      <c r="AC141" s="71">
        <v>7881.86</v>
      </c>
      <c r="AD141" s="71">
        <v>23470.12</v>
      </c>
      <c r="AE141" s="51">
        <v>1220304.6200000001</v>
      </c>
      <c r="AF141" s="44"/>
    </row>
    <row r="142" spans="1:241" ht="4.5" customHeight="1" x14ac:dyDescent="0.25">
      <c r="A142" s="76"/>
      <c r="B142" s="122"/>
      <c r="C142" s="122"/>
      <c r="D142" s="51"/>
      <c r="E142" s="51"/>
      <c r="F142" s="51"/>
      <c r="G142" s="51"/>
      <c r="H142" s="51"/>
      <c r="I142" s="51"/>
      <c r="J142" s="51"/>
      <c r="K142" s="51"/>
      <c r="L142" s="51"/>
      <c r="M142" s="53"/>
      <c r="N142" s="72"/>
      <c r="O142" s="72"/>
      <c r="P142" s="103"/>
      <c r="Q142" s="56"/>
      <c r="R142" s="80"/>
      <c r="S142" s="56"/>
      <c r="T142" s="57"/>
      <c r="U142" s="161"/>
      <c r="V142" s="59"/>
      <c r="W142" s="60"/>
      <c r="X142" s="60"/>
      <c r="Y142" s="72"/>
      <c r="Z142" s="72"/>
      <c r="AA142" s="71"/>
      <c r="AB142" s="71"/>
      <c r="AC142" s="71"/>
      <c r="AD142" s="71"/>
      <c r="AE142" s="72"/>
      <c r="AF142" s="44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  <c r="HV142" s="17"/>
      <c r="HW142" s="17"/>
      <c r="HX142" s="17"/>
      <c r="HY142" s="17"/>
      <c r="HZ142" s="17"/>
      <c r="IA142" s="17"/>
      <c r="IB142" s="17"/>
      <c r="IC142" s="17"/>
      <c r="ID142" s="17"/>
      <c r="IE142" s="17"/>
      <c r="IF142" s="17"/>
      <c r="IG142" s="17"/>
    </row>
    <row r="143" spans="1:241" ht="15.75" customHeight="1" x14ac:dyDescent="0.25">
      <c r="A143" s="179" t="s">
        <v>213</v>
      </c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1"/>
      <c r="AF143" s="44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  <c r="HS143" s="17"/>
      <c r="HT143" s="17"/>
      <c r="HU143" s="17"/>
      <c r="HV143" s="17"/>
      <c r="HW143" s="17"/>
      <c r="HX143" s="17"/>
      <c r="HY143" s="17"/>
      <c r="HZ143" s="17"/>
      <c r="IA143" s="17"/>
      <c r="IB143" s="17"/>
      <c r="IC143" s="17"/>
      <c r="ID143" s="17"/>
      <c r="IE143" s="17"/>
      <c r="IF143" s="17"/>
      <c r="IG143" s="17"/>
    </row>
    <row r="144" spans="1:241" ht="15.75" customHeight="1" x14ac:dyDescent="0.25">
      <c r="A144" s="62">
        <v>121</v>
      </c>
      <c r="B144" s="63" t="s">
        <v>197</v>
      </c>
      <c r="C144" s="48" t="s">
        <v>192</v>
      </c>
      <c r="D144" s="72"/>
      <c r="E144" s="72"/>
      <c r="F144" s="72">
        <v>40000481</v>
      </c>
      <c r="G144" s="72">
        <v>248422682</v>
      </c>
      <c r="H144" s="72"/>
      <c r="I144" s="72"/>
      <c r="J144" s="72">
        <v>288423163</v>
      </c>
      <c r="K144" s="72">
        <v>3752619</v>
      </c>
      <c r="L144" s="72">
        <v>4965017</v>
      </c>
      <c r="M144" s="53">
        <v>-1212398</v>
      </c>
      <c r="N144" s="72">
        <v>471327588.52999997</v>
      </c>
      <c r="O144" s="72">
        <v>2292869.7400000002</v>
      </c>
      <c r="P144" s="80">
        <v>462373085</v>
      </c>
      <c r="Q144" s="56">
        <f>(P144/$P$82)</f>
        <v>1.1353142851690029E-3</v>
      </c>
      <c r="R144" s="80">
        <v>473620458</v>
      </c>
      <c r="S144" s="56">
        <f>(R144/$R$149)</f>
        <v>2.5083740667127145E-2</v>
      </c>
      <c r="T144" s="57">
        <f>((R144-P144)/P144)</f>
        <v>2.4325319454959193E-2</v>
      </c>
      <c r="U144" s="161">
        <f>(L144/R144)</f>
        <v>1.0483113463819166E-2</v>
      </c>
      <c r="V144" s="59">
        <f>M144/R144</f>
        <v>-2.5598514158778167E-3</v>
      </c>
      <c r="W144" s="60">
        <f>R144/AE144</f>
        <v>1019.5011161074649</v>
      </c>
      <c r="X144" s="60">
        <f>M144/AE144</f>
        <v>-2.6097713755567082</v>
      </c>
      <c r="Y144" s="50">
        <v>1019.5</v>
      </c>
      <c r="Z144" s="50">
        <v>1019.5</v>
      </c>
      <c r="AA144" s="71">
        <v>22</v>
      </c>
      <c r="AB144" s="71">
        <v>462701</v>
      </c>
      <c r="AC144" s="61">
        <v>1860</v>
      </c>
      <c r="AD144" s="61"/>
      <c r="AE144" s="61">
        <v>464561</v>
      </c>
      <c r="AF144" s="44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</row>
    <row r="145" spans="1:241" ht="15.75" customHeight="1" x14ac:dyDescent="0.25">
      <c r="A145" s="62">
        <v>122</v>
      </c>
      <c r="B145" s="48" t="s">
        <v>180</v>
      </c>
      <c r="C145" s="48" t="s">
        <v>55</v>
      </c>
      <c r="D145" s="50"/>
      <c r="E145" s="50"/>
      <c r="F145" s="50">
        <v>540211786</v>
      </c>
      <c r="G145" s="50">
        <v>5225256733.8900003</v>
      </c>
      <c r="H145" s="50"/>
      <c r="I145" s="51"/>
      <c r="J145" s="51">
        <v>5760277249.5900002</v>
      </c>
      <c r="K145" s="51">
        <v>87839511.25</v>
      </c>
      <c r="L145" s="51">
        <v>9118840.9100000001</v>
      </c>
      <c r="M145" s="53">
        <v>78720670.340000004</v>
      </c>
      <c r="N145" s="72">
        <v>5761809072.21</v>
      </c>
      <c r="O145" s="72">
        <v>1531822.62</v>
      </c>
      <c r="P145" s="80">
        <v>5452226315.3100004</v>
      </c>
      <c r="Q145" s="56">
        <f>(P145/$P$149)</f>
        <v>0.28861115923322145</v>
      </c>
      <c r="R145" s="80">
        <v>5760277249.5900002</v>
      </c>
      <c r="S145" s="56">
        <f>(R145/$R$149)</f>
        <v>0.30507402764993735</v>
      </c>
      <c r="T145" s="57">
        <f>((R145-P145)/P145)</f>
        <v>5.6500027046746809E-2</v>
      </c>
      <c r="U145" s="161">
        <f>(L145/R145)</f>
        <v>1.5830559042360423E-3</v>
      </c>
      <c r="V145" s="59">
        <f>M145/R145</f>
        <v>1.3666125245204667E-2</v>
      </c>
      <c r="W145" s="60">
        <f>R145/AE145</f>
        <v>119.17350304678465</v>
      </c>
      <c r="X145" s="60">
        <f>M145/AE145</f>
        <v>1.628640018547139</v>
      </c>
      <c r="Y145" s="72">
        <v>121.9</v>
      </c>
      <c r="Z145" s="72">
        <v>121.91</v>
      </c>
      <c r="AA145" s="71">
        <v>400</v>
      </c>
      <c r="AB145" s="71">
        <v>45754437</v>
      </c>
      <c r="AC145" s="71">
        <v>2829990</v>
      </c>
      <c r="AD145" s="71">
        <v>249209</v>
      </c>
      <c r="AE145" s="51">
        <v>48335218</v>
      </c>
      <c r="AF145" s="44"/>
      <c r="AG145" s="43"/>
    </row>
    <row r="146" spans="1:241" ht="15.75" customHeight="1" x14ac:dyDescent="0.25">
      <c r="A146" s="62">
        <v>123</v>
      </c>
      <c r="B146" s="48" t="s">
        <v>152</v>
      </c>
      <c r="C146" s="48" t="s">
        <v>181</v>
      </c>
      <c r="D146" s="50"/>
      <c r="E146" s="50"/>
      <c r="F146" s="50"/>
      <c r="G146" s="50">
        <v>260790369.68000001</v>
      </c>
      <c r="H146" s="50"/>
      <c r="I146" s="51">
        <f>31324444.64+2484793.9</f>
        <v>33809238.539999999</v>
      </c>
      <c r="J146" s="51">
        <v>294599608.22000003</v>
      </c>
      <c r="K146" s="51">
        <v>3265570.75</v>
      </c>
      <c r="L146" s="51">
        <v>652661.11</v>
      </c>
      <c r="M146" s="53">
        <v>2612909.64</v>
      </c>
      <c r="N146" s="72">
        <v>326638894.01999998</v>
      </c>
      <c r="O146" s="72">
        <v>15512652.289999999</v>
      </c>
      <c r="P146" s="80">
        <v>308875749.89999998</v>
      </c>
      <c r="Q146" s="56">
        <f>(P146/$P$149)</f>
        <v>1.6350199548274071E-2</v>
      </c>
      <c r="R146" s="80">
        <v>311126241.73000002</v>
      </c>
      <c r="S146" s="56">
        <f>(R146/$R$149)</f>
        <v>1.6477772086215987E-2</v>
      </c>
      <c r="T146" s="57">
        <f>((R146-P146)/P146)</f>
        <v>7.2860748398948464E-3</v>
      </c>
      <c r="U146" s="161">
        <f>(L146/R146)</f>
        <v>2.0977372605117282E-3</v>
      </c>
      <c r="V146" s="59">
        <f>M146/R146</f>
        <v>8.398229687959018E-3</v>
      </c>
      <c r="W146" s="60">
        <f>R146/AE146</f>
        <v>101.55430648273756</v>
      </c>
      <c r="X146" s="60">
        <f>M146/AE146</f>
        <v>0.85287639164341555</v>
      </c>
      <c r="Y146" s="72">
        <v>101.55</v>
      </c>
      <c r="Z146" s="72">
        <v>101.55</v>
      </c>
      <c r="AA146" s="71">
        <v>227</v>
      </c>
      <c r="AB146" s="71">
        <v>3009158</v>
      </c>
      <c r="AC146" s="71">
        <v>85170</v>
      </c>
      <c r="AD146" s="71">
        <v>30684</v>
      </c>
      <c r="AE146" s="51">
        <v>3063644</v>
      </c>
      <c r="AF146" s="44"/>
    </row>
    <row r="147" spans="1:241" ht="15.75" customHeight="1" x14ac:dyDescent="0.25">
      <c r="A147" s="62">
        <v>124</v>
      </c>
      <c r="B147" s="63" t="s">
        <v>116</v>
      </c>
      <c r="C147" s="63" t="s">
        <v>23</v>
      </c>
      <c r="D147" s="50"/>
      <c r="E147" s="50"/>
      <c r="F147" s="50">
        <v>648939201.66999996</v>
      </c>
      <c r="G147" s="50">
        <v>6227317386.5699997</v>
      </c>
      <c r="H147" s="50"/>
      <c r="I147" s="51"/>
      <c r="J147" s="51">
        <v>6876256588.2399998</v>
      </c>
      <c r="K147" s="51">
        <v>33427965.809999999</v>
      </c>
      <c r="L147" s="51">
        <v>11362984.210000001</v>
      </c>
      <c r="M147" s="53">
        <v>22064981.600000001</v>
      </c>
      <c r="N147" s="72">
        <v>6883513071.5799999</v>
      </c>
      <c r="O147" s="72">
        <v>50837043.460000001</v>
      </c>
      <c r="P147" s="80">
        <v>6866204791.25</v>
      </c>
      <c r="Q147" s="56">
        <f>(P147/$P$149)</f>
        <v>0.36345947686925556</v>
      </c>
      <c r="R147" s="80">
        <v>6832676028.1199999</v>
      </c>
      <c r="S147" s="56">
        <f>(R147/$R$149)</f>
        <v>0.36187008111009095</v>
      </c>
      <c r="T147" s="57">
        <f>((R147-P147)/P147)</f>
        <v>-4.8831580399011322E-3</v>
      </c>
      <c r="U147" s="161">
        <f>(L147/R147)</f>
        <v>1.6630357071278424E-3</v>
      </c>
      <c r="V147" s="59">
        <f>M147/R147</f>
        <v>3.2293323302892128E-3</v>
      </c>
      <c r="W147" s="60">
        <f>R147/AE147</f>
        <v>119.18291421279918</v>
      </c>
      <c r="X147" s="60">
        <f>M147/AE147</f>
        <v>0.38488123808547808</v>
      </c>
      <c r="Y147" s="72">
        <v>119.18</v>
      </c>
      <c r="Z147" s="72">
        <v>119.18</v>
      </c>
      <c r="AA147" s="95">
        <v>988</v>
      </c>
      <c r="AB147" s="72">
        <v>57795394.450000003</v>
      </c>
      <c r="AC147" s="72">
        <v>1396179.59</v>
      </c>
      <c r="AD147" s="72">
        <v>1862249</v>
      </c>
      <c r="AE147" s="51">
        <v>57329325.039999999</v>
      </c>
      <c r="AF147" s="44"/>
    </row>
    <row r="148" spans="1:241" ht="16.5" customHeight="1" x14ac:dyDescent="0.25">
      <c r="A148" s="62">
        <v>125</v>
      </c>
      <c r="B148" s="48" t="s">
        <v>156</v>
      </c>
      <c r="C148" s="48" t="s">
        <v>33</v>
      </c>
      <c r="D148" s="50"/>
      <c r="E148" s="50"/>
      <c r="F148" s="50"/>
      <c r="G148" s="50">
        <v>1533470658</v>
      </c>
      <c r="H148" s="50"/>
      <c r="I148" s="51"/>
      <c r="J148" s="50">
        <v>1533470658</v>
      </c>
      <c r="K148" s="51">
        <v>16539799</v>
      </c>
      <c r="L148" s="51">
        <v>3513822</v>
      </c>
      <c r="M148" s="53">
        <v>13025977</v>
      </c>
      <c r="N148" s="72">
        <v>1949186772</v>
      </c>
      <c r="O148" s="72">
        <v>29597356.300000001</v>
      </c>
      <c r="P148" s="80">
        <v>2144097671</v>
      </c>
      <c r="Q148" s="56">
        <f>(P148/$P$149)</f>
        <v>0.11349685037815165</v>
      </c>
      <c r="R148" s="80">
        <v>1919589416</v>
      </c>
      <c r="S148" s="56">
        <f>(R148/$R$149)</f>
        <v>0.10166470279099735</v>
      </c>
      <c r="T148" s="57">
        <f>((R148-P148)/P148)</f>
        <v>-0.10470990106308455</v>
      </c>
      <c r="U148" s="161">
        <f>(L148/R148)</f>
        <v>1.8305070713100868E-3</v>
      </c>
      <c r="V148" s="59">
        <f>M148/R148</f>
        <v>6.7858141389127141E-3</v>
      </c>
      <c r="W148" s="60">
        <f>R148/AE148</f>
        <v>1.0725730284937554</v>
      </c>
      <c r="X148" s="60">
        <f>M148/AE148</f>
        <v>7.2782812217693539E-3</v>
      </c>
      <c r="Y148" s="72">
        <v>1.07</v>
      </c>
      <c r="Z148" s="72">
        <v>1.07</v>
      </c>
      <c r="AA148" s="71">
        <v>121</v>
      </c>
      <c r="AB148" s="71">
        <v>1990577861</v>
      </c>
      <c r="AC148" s="71">
        <v>4681990</v>
      </c>
      <c r="AD148" s="71">
        <v>205554754</v>
      </c>
      <c r="AE148" s="51">
        <v>1789705097</v>
      </c>
      <c r="AF148" s="5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  <c r="FQ148" s="17"/>
      <c r="FR148" s="17"/>
      <c r="FS148" s="17"/>
      <c r="FT148" s="17"/>
      <c r="FU148" s="17"/>
      <c r="FV148" s="17"/>
      <c r="FW148" s="17"/>
      <c r="FX148" s="17"/>
      <c r="FY148" s="17"/>
      <c r="FZ148" s="17"/>
      <c r="GA148" s="17"/>
      <c r="GB148" s="17"/>
      <c r="GC148" s="17"/>
      <c r="GD148" s="17"/>
      <c r="GE148" s="17"/>
      <c r="GF148" s="17"/>
      <c r="GG148" s="17"/>
      <c r="GH148" s="17"/>
      <c r="GI148" s="17"/>
      <c r="GJ148" s="17"/>
      <c r="GK148" s="17"/>
      <c r="GL148" s="17"/>
      <c r="GM148" s="17"/>
      <c r="GN148" s="17"/>
      <c r="GO148" s="17"/>
      <c r="GP148" s="17"/>
      <c r="GQ148" s="17"/>
      <c r="GR148" s="17"/>
      <c r="GS148" s="17"/>
      <c r="GT148" s="17"/>
      <c r="GU148" s="17"/>
      <c r="GV148" s="17"/>
      <c r="GW148" s="17"/>
      <c r="GX148" s="17"/>
      <c r="GY148" s="17"/>
      <c r="GZ148" s="17"/>
      <c r="HA148" s="17"/>
      <c r="HB148" s="17"/>
      <c r="HC148" s="17"/>
      <c r="HD148" s="17"/>
      <c r="HE148" s="17"/>
      <c r="HF148" s="17"/>
      <c r="HG148" s="17"/>
      <c r="HH148" s="17"/>
      <c r="HI148" s="17"/>
      <c r="HJ148" s="17"/>
      <c r="HK148" s="17"/>
      <c r="HL148" s="17"/>
      <c r="HM148" s="17"/>
      <c r="HN148" s="17"/>
      <c r="HO148" s="17"/>
      <c r="HP148" s="17"/>
      <c r="HQ148" s="17"/>
      <c r="HR148" s="17"/>
      <c r="HS148" s="17"/>
      <c r="HT148" s="17"/>
      <c r="HU148" s="17"/>
      <c r="HV148" s="17"/>
      <c r="HW148" s="17"/>
      <c r="HX148" s="17"/>
      <c r="HY148" s="17"/>
      <c r="HZ148" s="17"/>
      <c r="IA148" s="17"/>
      <c r="IB148" s="17"/>
      <c r="IC148" s="17"/>
      <c r="ID148" s="17"/>
      <c r="IE148" s="17"/>
      <c r="IF148" s="17"/>
      <c r="IG148" s="17"/>
    </row>
    <row r="149" spans="1:241" ht="15.75" customHeight="1" x14ac:dyDescent="0.25">
      <c r="A149" s="145"/>
      <c r="C149" s="146" t="s">
        <v>52</v>
      </c>
      <c r="D149" s="87">
        <f>SUM(D140:D148)</f>
        <v>1368115584.1000001</v>
      </c>
      <c r="E149" s="87"/>
      <c r="F149" s="87">
        <f>SUM(F140:F148)</f>
        <v>1303774000.6999998</v>
      </c>
      <c r="G149" s="87">
        <f>SUM(G140:G148)</f>
        <v>14421783366.299999</v>
      </c>
      <c r="H149" s="87"/>
      <c r="I149" s="87">
        <f t="shared" ref="I149:O149" si="55">SUM(I140:I148)</f>
        <v>1184148531.9499998</v>
      </c>
      <c r="J149" s="87">
        <f t="shared" si="55"/>
        <v>18272630212.75</v>
      </c>
      <c r="K149" s="87">
        <f t="shared" si="55"/>
        <v>202355436.56</v>
      </c>
      <c r="L149" s="87">
        <f t="shared" si="55"/>
        <v>30494197.530000001</v>
      </c>
      <c r="M149" s="53">
        <f t="shared" si="55"/>
        <v>68871308.090000004</v>
      </c>
      <c r="N149" s="87">
        <f t="shared" si="55"/>
        <v>19322189479.650002</v>
      </c>
      <c r="O149" s="87">
        <f t="shared" si="55"/>
        <v>445203116.93000007</v>
      </c>
      <c r="P149" s="105">
        <f>SUM(P140:P148)</f>
        <v>18891252610.59</v>
      </c>
      <c r="Q149" s="89">
        <f>(P149/$P$150)</f>
        <v>1.3620183921457184E-2</v>
      </c>
      <c r="R149" s="105">
        <f>SUM(R140:R148)</f>
        <v>18881572102.23</v>
      </c>
      <c r="S149" s="89">
        <f>(R149/$R$150)</f>
        <v>1.388701080359437E-2</v>
      </c>
      <c r="T149" s="90">
        <f t="shared" ref="T149" si="56">((R149-P149)/P149)</f>
        <v>-5.1243337641750347E-4</v>
      </c>
      <c r="U149" s="161">
        <f t="shared" si="54"/>
        <v>1.6150242874320034E-3</v>
      </c>
      <c r="V149" s="92"/>
      <c r="W149" s="93"/>
      <c r="X149" s="93"/>
      <c r="Y149" s="87"/>
      <c r="Z149" s="87"/>
      <c r="AA149" s="94">
        <f>SUM(AA140:AA148)</f>
        <v>17482</v>
      </c>
      <c r="AB149" s="94"/>
      <c r="AC149" s="94"/>
      <c r="AD149" s="94"/>
      <c r="AE149" s="87"/>
      <c r="AF149" s="44"/>
    </row>
    <row r="150" spans="1:241" ht="15.75" customHeight="1" x14ac:dyDescent="0.25">
      <c r="A150" s="147"/>
      <c r="B150" s="147"/>
      <c r="C150" s="148" t="s">
        <v>145</v>
      </c>
      <c r="D150" s="149">
        <f>SUM(D149,D137,D132,D108,D102,D82,D51,D20)</f>
        <v>17923383075.139999</v>
      </c>
      <c r="E150" s="149"/>
      <c r="F150" s="149">
        <f t="shared" ref="F150:O150" si="57">SUM(F149,F137,F132,F108,F102,F82,F51,F20)</f>
        <v>613240354594.33191</v>
      </c>
      <c r="G150" s="149">
        <f t="shared" si="57"/>
        <v>545032861574.37842</v>
      </c>
      <c r="H150" s="149">
        <f t="shared" si="57"/>
        <v>33992633529.760002</v>
      </c>
      <c r="I150" s="149">
        <f t="shared" si="57"/>
        <v>7220094230.5799999</v>
      </c>
      <c r="J150" s="149">
        <f t="shared" si="57"/>
        <v>1195680094681.9692</v>
      </c>
      <c r="K150" s="149">
        <f t="shared" si="57"/>
        <v>10796931583.6768</v>
      </c>
      <c r="L150" s="149">
        <f t="shared" si="57"/>
        <v>2146127667.4408002</v>
      </c>
      <c r="M150" s="149">
        <f t="shared" si="57"/>
        <v>6379482243.378499</v>
      </c>
      <c r="N150" s="149">
        <f t="shared" si="57"/>
        <v>1353332850566.7769</v>
      </c>
      <c r="O150" s="149">
        <f t="shared" si="57"/>
        <v>11730381614.02244</v>
      </c>
      <c r="P150" s="150">
        <f>SUM(P20,P51,P82,P102,P108,P132,P137,P149)</f>
        <v>1387004222522.1934</v>
      </c>
      <c r="Q150" s="151"/>
      <c r="R150" s="149">
        <f>SUM(R20,R51,R82,R102,R108,R132,R137,R149)</f>
        <v>1359657047097.7734</v>
      </c>
      <c r="S150" s="151"/>
      <c r="T150" s="151"/>
      <c r="U150" s="152"/>
      <c r="V150" s="153"/>
      <c r="W150" s="154"/>
      <c r="X150" s="154"/>
      <c r="Y150" s="149"/>
      <c r="Z150" s="149"/>
      <c r="AA150" s="155">
        <f>SUM(AA20,AA51,AA82,AA102,AA108,AA132,AA137,AA149)</f>
        <v>429653</v>
      </c>
      <c r="AB150" s="149"/>
      <c r="AC150" s="149"/>
      <c r="AD150" s="149"/>
      <c r="AE150" s="149"/>
      <c r="AF150" s="44"/>
    </row>
    <row r="151" spans="1:241" ht="6" customHeight="1" x14ac:dyDescent="0.25">
      <c r="A151" s="34"/>
      <c r="B151" s="34"/>
      <c r="C151" s="34"/>
      <c r="D151" s="5"/>
      <c r="E151" s="5"/>
      <c r="F151" s="5"/>
      <c r="G151" s="5"/>
      <c r="H151" s="5"/>
      <c r="I151" s="35"/>
      <c r="J151" s="5"/>
      <c r="K151" s="5"/>
      <c r="L151" s="5"/>
      <c r="M151" s="36"/>
      <c r="N151" s="5"/>
      <c r="O151" s="5"/>
      <c r="P151" s="40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241" ht="15.75" customHeight="1" x14ac:dyDescent="0.3">
      <c r="A152" s="28" t="s">
        <v>162</v>
      </c>
      <c r="B152" s="30"/>
      <c r="C152" s="29" t="s">
        <v>163</v>
      </c>
      <c r="D152" s="5"/>
      <c r="E152" s="5"/>
      <c r="F152" s="5"/>
      <c r="G152" s="5"/>
      <c r="H152" s="31"/>
      <c r="I152" s="5"/>
      <c r="J152" s="5"/>
      <c r="K152" s="5"/>
      <c r="L152" s="5"/>
      <c r="M152" s="36"/>
      <c r="N152" s="5"/>
      <c r="O152" s="5"/>
      <c r="P152" s="41"/>
      <c r="Q152" s="5"/>
      <c r="R152" s="32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33"/>
    </row>
    <row r="155" spans="1:241" ht="15.75" customHeight="1" x14ac:dyDescent="0.25">
      <c r="E155" s="23"/>
    </row>
  </sheetData>
  <sortState ref="B5:AE20">
    <sortCondition ref="B5:B20"/>
  </sortState>
  <mergeCells count="13">
    <mergeCell ref="A138:AE138"/>
    <mergeCell ref="A139:AE139"/>
    <mergeCell ref="A143:AE143"/>
    <mergeCell ref="A84:AE84"/>
    <mergeCell ref="A93:AE93"/>
    <mergeCell ref="A103:AE103"/>
    <mergeCell ref="A109:AE109"/>
    <mergeCell ref="A133:AE133"/>
    <mergeCell ref="A1:AE1"/>
    <mergeCell ref="A3:AE3"/>
    <mergeCell ref="A21:AE21"/>
    <mergeCell ref="A52:AE52"/>
    <mergeCell ref="A83:AE83"/>
  </mergeCells>
  <phoneticPr fontId="10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3" manualBreakCount="3">
    <brk id="59" max="16383" man="1"/>
    <brk id="92" max="16383" man="1"/>
    <brk id="129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Normal="100" workbookViewId="0">
      <selection activeCell="M1" sqref="M1"/>
    </sheetView>
  </sheetViews>
  <sheetFormatPr defaultColWidth="10" defaultRowHeight="12.95" customHeight="1" x14ac:dyDescent="0.25"/>
  <cols>
    <col min="1" max="256" width="10" style="12" customWidth="1"/>
  </cols>
  <sheetData>
    <row r="1" spans="1:12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3"/>
      <c r="L1" s="7"/>
    </row>
    <row r="2" spans="1:12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14"/>
    </row>
    <row r="3" spans="1:12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14"/>
    </row>
    <row r="4" spans="1:12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14"/>
    </row>
    <row r="5" spans="1:12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14"/>
    </row>
    <row r="6" spans="1:12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14"/>
    </row>
    <row r="7" spans="1:12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  <c r="L7" s="14"/>
    </row>
    <row r="8" spans="1:12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14"/>
    </row>
    <row r="9" spans="1:12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14"/>
    </row>
    <row r="10" spans="1:12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6"/>
      <c r="L10" s="14"/>
    </row>
    <row r="11" spans="1:12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  <c r="L11" s="14"/>
    </row>
    <row r="12" spans="1:12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  <c r="L12" s="14"/>
    </row>
    <row r="13" spans="1:12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  <c r="L13" s="14"/>
    </row>
    <row r="14" spans="1:12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  <c r="L14" s="14"/>
    </row>
    <row r="15" spans="1:12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6"/>
      <c r="L15" s="14"/>
    </row>
    <row r="16" spans="1:12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  <c r="L16" s="14"/>
    </row>
    <row r="17" spans="1:12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  <c r="L17" s="14"/>
    </row>
    <row r="18" spans="1:12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  <c r="L18" s="14"/>
    </row>
    <row r="19" spans="1:12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  <c r="L19" s="14"/>
    </row>
    <row r="20" spans="1:12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L20" s="14"/>
    </row>
    <row r="21" spans="1:12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  <c r="L21" s="14"/>
    </row>
    <row r="22" spans="1:12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  <c r="L22" s="14"/>
    </row>
    <row r="23" spans="1:12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  <c r="L23" s="14"/>
    </row>
    <row r="24" spans="1:12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120" zoomScaleNormal="120" workbookViewId="0">
      <selection activeCell="O1" sqref="O1"/>
    </sheetView>
  </sheetViews>
  <sheetFormatPr defaultColWidth="10" defaultRowHeight="12.95" customHeight="1" x14ac:dyDescent="0.25"/>
  <cols>
    <col min="1" max="256" width="10" style="15" customWidth="1"/>
  </cols>
  <sheetData>
    <row r="1" spans="1:14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T1" sqref="T1"/>
    </sheetView>
  </sheetViews>
  <sheetFormatPr defaultColWidth="8.85546875" defaultRowHeight="15" customHeight="1" x14ac:dyDescent="0.25"/>
  <cols>
    <col min="1" max="3" width="8.85546875" style="16" customWidth="1"/>
    <col min="4" max="4" width="10.42578125" style="16" customWidth="1"/>
    <col min="5" max="256" width="8.85546875" style="16" customWidth="1"/>
  </cols>
  <sheetData>
    <row r="1" spans="1:14" ht="1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7"/>
    </row>
    <row r="2" spans="1:14" ht="1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14"/>
    </row>
    <row r="3" spans="1:14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14"/>
    </row>
    <row r="4" spans="1:14" ht="1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14"/>
    </row>
    <row r="5" spans="1:14" ht="1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14"/>
    </row>
    <row r="6" spans="1:1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14"/>
    </row>
    <row r="7" spans="1:14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14"/>
    </row>
    <row r="8" spans="1:14" ht="1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14"/>
    </row>
    <row r="9" spans="1:14" ht="1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14"/>
    </row>
    <row r="10" spans="1:14" ht="1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14"/>
    </row>
    <row r="11" spans="1:14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14"/>
    </row>
    <row r="12" spans="1:14" ht="1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14"/>
    </row>
    <row r="13" spans="1:14" ht="1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14"/>
    </row>
    <row r="14" spans="1:14" ht="1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14"/>
    </row>
    <row r="15" spans="1:14" ht="1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14"/>
    </row>
    <row r="16" spans="1:14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14"/>
    </row>
    <row r="17" spans="1:14" ht="1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14"/>
    </row>
    <row r="18" spans="1:14" ht="1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14"/>
    </row>
    <row r="19" spans="1:14" ht="1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14"/>
    </row>
    <row r="20" spans="1:14" ht="1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14"/>
    </row>
    <row r="21" spans="1:14" ht="1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14"/>
    </row>
    <row r="22" spans="1:14" ht="1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JULY 2022</vt:lpstr>
      <vt:lpstr>Market Share</vt:lpstr>
      <vt:lpstr>Unit Holders</vt:lpstr>
      <vt:lpstr>NAV Comparison June &amp; July '22</vt:lpstr>
      <vt:lpstr>'JULY 2022'!_Hlk108107245</vt:lpstr>
      <vt:lpstr>'JULY 2022'!_Hlk108109806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2023-04-18T08:35:58Z</cp:lastPrinted>
  <dcterms:created xsi:type="dcterms:W3CDTF">2021-07-14T13:16:57Z</dcterms:created>
  <dcterms:modified xsi:type="dcterms:W3CDTF">2023-04-30T18:02:31Z</dcterms:modified>
</cp:coreProperties>
</file>