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0" yWindow="495" windowWidth="28800" windowHeight="16380"/>
  </bookViews>
  <sheets>
    <sheet name="APRIL 2022" sheetId="1" r:id="rId1"/>
    <sheet name="Market Share" sheetId="2" r:id="rId2"/>
    <sheet name="Unit Holders" sheetId="3" r:id="rId3"/>
    <sheet name="NAV Comparison Mar &amp; Apr '22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27" i="1" l="1"/>
  <c r="AE72" i="1"/>
  <c r="AE141" i="1" l="1"/>
  <c r="AE135" i="1"/>
  <c r="AE123" i="1"/>
  <c r="AE110" i="1"/>
  <c r="AE99" i="1"/>
  <c r="AE95" i="1"/>
  <c r="AE91" i="1"/>
  <c r="AE60" i="1"/>
  <c r="AE4" i="1"/>
  <c r="AE7" i="1"/>
  <c r="AE9" i="1"/>
  <c r="AE26" i="1"/>
  <c r="AE23" i="1"/>
  <c r="AE59" i="1"/>
  <c r="AE62" i="1"/>
  <c r="AE64" i="1"/>
  <c r="AE68" i="1"/>
  <c r="AE69" i="1"/>
  <c r="AE70" i="1"/>
  <c r="AE85" i="1"/>
  <c r="AE111" i="1"/>
  <c r="AE140" i="1"/>
  <c r="AE131" i="1"/>
  <c r="AE118" i="1"/>
  <c r="AE49" i="1" l="1"/>
  <c r="AE47" i="1"/>
  <c r="AE8" i="1"/>
  <c r="X17" i="1" l="1"/>
  <c r="W17" i="1"/>
  <c r="V17" i="1"/>
  <c r="U17" i="1"/>
  <c r="T17" i="1"/>
  <c r="Z86" i="1" l="1"/>
  <c r="Y86" i="1"/>
  <c r="R86" i="1"/>
  <c r="O86" i="1"/>
  <c r="N86" i="1"/>
  <c r="M86" i="1"/>
  <c r="L86" i="1"/>
  <c r="K86" i="1"/>
  <c r="G86" i="1"/>
  <c r="F87" i="1"/>
  <c r="AC63" i="1"/>
  <c r="Z95" i="1"/>
  <c r="Y95" i="1"/>
  <c r="R95" i="1"/>
  <c r="O95" i="1"/>
  <c r="N95" i="1"/>
  <c r="M95" i="1"/>
  <c r="L95" i="1"/>
  <c r="K95" i="1"/>
  <c r="J95" i="1"/>
  <c r="F95" i="1"/>
  <c r="G95" i="1"/>
  <c r="F96" i="1"/>
  <c r="Z96" i="1"/>
  <c r="Y96" i="1"/>
  <c r="N96" i="1"/>
  <c r="O96" i="1"/>
  <c r="R96" i="1"/>
  <c r="M96" i="1"/>
  <c r="L96" i="1"/>
  <c r="K96" i="1"/>
  <c r="J96" i="1"/>
  <c r="G96" i="1"/>
  <c r="Z90" i="1"/>
  <c r="Y90" i="1"/>
  <c r="R90" i="1"/>
  <c r="O90" i="1"/>
  <c r="N90" i="1"/>
  <c r="M90" i="1"/>
  <c r="L90" i="1"/>
  <c r="K90" i="1"/>
  <c r="J90" i="1"/>
  <c r="G90" i="1"/>
  <c r="Z99" i="1"/>
  <c r="Y99" i="1"/>
  <c r="R99" i="1"/>
  <c r="O99" i="1"/>
  <c r="N99" i="1"/>
  <c r="M99" i="1"/>
  <c r="L99" i="1"/>
  <c r="K99" i="1"/>
  <c r="J99" i="1"/>
  <c r="F99" i="1"/>
  <c r="G99" i="1"/>
  <c r="Z101" i="1"/>
  <c r="Y101" i="1"/>
  <c r="R101" i="1"/>
  <c r="O101" i="1"/>
  <c r="N101" i="1"/>
  <c r="M101" i="1"/>
  <c r="L101" i="1"/>
  <c r="K101" i="1"/>
  <c r="J101" i="1"/>
  <c r="G101" i="1"/>
  <c r="Z100" i="1"/>
  <c r="Y100" i="1"/>
  <c r="R100" i="1"/>
  <c r="O100" i="1"/>
  <c r="N100" i="1"/>
  <c r="M100" i="1"/>
  <c r="L100" i="1"/>
  <c r="K100" i="1"/>
  <c r="J100" i="1"/>
  <c r="G100" i="1"/>
  <c r="Z87" i="1"/>
  <c r="Y87" i="1"/>
  <c r="R87" i="1"/>
  <c r="O87" i="1"/>
  <c r="N87" i="1"/>
  <c r="M87" i="1"/>
  <c r="L87" i="1"/>
  <c r="K87" i="1"/>
  <c r="J87" i="1"/>
  <c r="G87" i="1"/>
  <c r="G92" i="1"/>
  <c r="Z98" i="1"/>
  <c r="Y98" i="1"/>
  <c r="R98" i="1"/>
  <c r="O98" i="1"/>
  <c r="N98" i="1"/>
  <c r="M98" i="1"/>
  <c r="L98" i="1"/>
  <c r="K98" i="1"/>
  <c r="J98" i="1"/>
  <c r="G98" i="1"/>
  <c r="AA97" i="1"/>
  <c r="Z97" i="1"/>
  <c r="Y97" i="1"/>
  <c r="R97" i="1"/>
  <c r="O97" i="1"/>
  <c r="N97" i="1"/>
  <c r="K97" i="1"/>
  <c r="L97" i="1"/>
  <c r="G97" i="1"/>
  <c r="Z92" i="1"/>
  <c r="Y92" i="1"/>
  <c r="R92" i="1"/>
  <c r="O92" i="1"/>
  <c r="N92" i="1"/>
  <c r="M92" i="1"/>
  <c r="L92" i="1"/>
  <c r="K92" i="1"/>
  <c r="Z85" i="1"/>
  <c r="Y85" i="1"/>
  <c r="M97" i="1"/>
  <c r="O81" i="1" l="1"/>
  <c r="N81" i="1"/>
  <c r="F81" i="1"/>
  <c r="G81" i="1"/>
  <c r="J129" i="1" l="1"/>
  <c r="P101" i="1"/>
  <c r="P100" i="1"/>
  <c r="P99" i="1"/>
  <c r="P98" i="1"/>
  <c r="P97" i="1"/>
  <c r="P96" i="1"/>
  <c r="P95" i="1"/>
  <c r="P92" i="1"/>
  <c r="P90" i="1"/>
  <c r="P87" i="1"/>
  <c r="P86" i="1"/>
  <c r="AB150" i="1" l="1"/>
  <c r="AC150" i="1"/>
  <c r="R137" i="1" l="1"/>
  <c r="AA81" i="1" l="1"/>
  <c r="X80" i="1"/>
  <c r="L81" i="1"/>
  <c r="K81" i="1"/>
  <c r="J81" i="1"/>
  <c r="U80" i="1"/>
  <c r="T80" i="1"/>
  <c r="V80" i="1" l="1"/>
  <c r="W80" i="1"/>
  <c r="M81" i="1" l="1"/>
  <c r="P149" i="1" l="1"/>
  <c r="P137" i="1"/>
  <c r="P132" i="1"/>
  <c r="P108" i="1"/>
  <c r="P81" i="1"/>
  <c r="Q80" i="1" s="1"/>
  <c r="P51" i="1"/>
  <c r="Q31" i="1" s="1"/>
  <c r="P20" i="1"/>
  <c r="Q17" i="1" s="1"/>
  <c r="P102" i="1" l="1"/>
  <c r="P150" i="1" s="1"/>
  <c r="R81" i="1"/>
  <c r="S80" i="1" s="1"/>
  <c r="R149" i="1"/>
  <c r="S148" i="1" s="1"/>
  <c r="G108" i="1" l="1"/>
  <c r="O108" i="1"/>
  <c r="K108" i="1"/>
  <c r="L108" i="1"/>
  <c r="M108" i="1"/>
  <c r="N108" i="1"/>
  <c r="H108" i="1"/>
  <c r="I108" i="1"/>
  <c r="J108" i="1"/>
  <c r="F108" i="1"/>
  <c r="I81" i="1"/>
  <c r="D81" i="1"/>
  <c r="O51" i="1"/>
  <c r="N51" i="1"/>
  <c r="I51" i="1"/>
  <c r="K51" i="1"/>
  <c r="L51" i="1"/>
  <c r="M51" i="1"/>
  <c r="F51" i="1"/>
  <c r="O20" i="1"/>
  <c r="K20" i="1"/>
  <c r="L20" i="1"/>
  <c r="M20" i="1"/>
  <c r="N20" i="1"/>
  <c r="F20" i="1"/>
  <c r="G20" i="1"/>
  <c r="H20" i="1"/>
  <c r="D20" i="1"/>
  <c r="L132" i="1"/>
  <c r="M132" i="1"/>
  <c r="N132" i="1"/>
  <c r="O132" i="1"/>
  <c r="F132" i="1"/>
  <c r="G132" i="1"/>
  <c r="H132" i="1"/>
  <c r="D132" i="1"/>
  <c r="J137" i="1"/>
  <c r="K137" i="1"/>
  <c r="L137" i="1"/>
  <c r="M137" i="1"/>
  <c r="N137" i="1"/>
  <c r="O137" i="1"/>
  <c r="F137" i="1"/>
  <c r="G137" i="1"/>
  <c r="H137" i="1"/>
  <c r="D137" i="1"/>
  <c r="M149" i="1"/>
  <c r="N149" i="1"/>
  <c r="O149" i="1"/>
  <c r="J149" i="1"/>
  <c r="K149" i="1"/>
  <c r="L149" i="1"/>
  <c r="G149" i="1"/>
  <c r="F149" i="1"/>
  <c r="D149" i="1"/>
  <c r="H150" i="1" l="1"/>
  <c r="J51" i="1"/>
  <c r="J132" i="1"/>
  <c r="D102" i="1" l="1"/>
  <c r="D150" i="1" s="1"/>
  <c r="W92" i="1"/>
  <c r="X92" i="1"/>
  <c r="U92" i="1"/>
  <c r="J20" i="1"/>
  <c r="K132" i="1"/>
  <c r="O102" i="1" l="1"/>
  <c r="O150" i="1" s="1"/>
  <c r="F102" i="1"/>
  <c r="F150" i="1" s="1"/>
  <c r="G102" i="1"/>
  <c r="G150" i="1" s="1"/>
  <c r="J102" i="1"/>
  <c r="J150" i="1" s="1"/>
  <c r="K102" i="1"/>
  <c r="K150" i="1" s="1"/>
  <c r="L102" i="1"/>
  <c r="L150" i="1" s="1"/>
  <c r="M102" i="1"/>
  <c r="M150" i="1" s="1"/>
  <c r="N102" i="1"/>
  <c r="N150" i="1" s="1"/>
  <c r="T92" i="1"/>
  <c r="V92" i="1"/>
  <c r="AA149" i="1"/>
  <c r="I149" i="1"/>
  <c r="I150" i="1" s="1"/>
  <c r="R20" i="1" l="1"/>
  <c r="S17" i="1" s="1"/>
  <c r="Q92" i="1" l="1"/>
  <c r="Q149" i="1"/>
  <c r="X148" i="1" l="1"/>
  <c r="W148" i="1"/>
  <c r="V148" i="1"/>
  <c r="U148" i="1"/>
  <c r="T148" i="1"/>
  <c r="X79" i="1" l="1"/>
  <c r="W79" i="1"/>
  <c r="V79" i="1"/>
  <c r="U79" i="1"/>
  <c r="T79" i="1"/>
  <c r="Q148" i="1"/>
  <c r="Q79" i="1" l="1"/>
  <c r="X35" i="1" l="1"/>
  <c r="V34" i="1"/>
  <c r="V35" i="1"/>
  <c r="V42" i="1" l="1"/>
  <c r="V48" i="1"/>
  <c r="V121" i="1"/>
  <c r="X120" i="1"/>
  <c r="X122" i="1"/>
  <c r="X98" i="1"/>
  <c r="W98" i="1"/>
  <c r="X97" i="1"/>
  <c r="W101" i="1"/>
  <c r="X101" i="1"/>
  <c r="U101" i="1"/>
  <c r="V101" i="1" l="1"/>
  <c r="T76" i="1" l="1"/>
  <c r="T70" i="1"/>
  <c r="T135" i="1"/>
  <c r="R132" i="1" l="1"/>
  <c r="AA137" i="1" l="1"/>
  <c r="S135" i="1"/>
  <c r="S136" i="1" l="1"/>
  <c r="S134" i="1"/>
  <c r="Q135" i="1"/>
  <c r="Q136" i="1"/>
  <c r="Q134" i="1"/>
  <c r="T137" i="1"/>
  <c r="AA102" i="1"/>
  <c r="R102" i="1"/>
  <c r="S92" i="1" s="1"/>
  <c r="S79" i="1" l="1"/>
  <c r="S96" i="1"/>
  <c r="S87" i="1"/>
  <c r="S97" i="1"/>
  <c r="S88" i="1"/>
  <c r="S89" i="1"/>
  <c r="S99" i="1"/>
  <c r="S90" i="1"/>
  <c r="S98" i="1"/>
  <c r="S100" i="1"/>
  <c r="S91" i="1"/>
  <c r="S101" i="1"/>
  <c r="S85" i="1"/>
  <c r="S86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5" i="1"/>
  <c r="S146" i="1"/>
  <c r="S147" i="1"/>
  <c r="S144" i="1"/>
  <c r="S141" i="1"/>
  <c r="Q145" i="1"/>
  <c r="Q146" i="1"/>
  <c r="Q147" i="1"/>
  <c r="Q144" i="1"/>
  <c r="Q141" i="1"/>
  <c r="Q101" i="1"/>
  <c r="Q91" i="1"/>
  <c r="Q95" i="1"/>
  <c r="Q84" i="1"/>
  <c r="Q99" i="1"/>
  <c r="Q85" i="1"/>
  <c r="Q96" i="1"/>
  <c r="Q86" i="1"/>
  <c r="Q90" i="1"/>
  <c r="Q97" i="1"/>
  <c r="Q87" i="1"/>
  <c r="Q98" i="1"/>
  <c r="Q88" i="1"/>
  <c r="Q89" i="1"/>
  <c r="Q100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6" i="1"/>
  <c r="W126" i="1"/>
  <c r="V126" i="1"/>
  <c r="U126" i="1"/>
  <c r="T126" i="1"/>
  <c r="X125" i="1"/>
  <c r="W125" i="1"/>
  <c r="V125" i="1"/>
  <c r="U125" i="1"/>
  <c r="T125" i="1"/>
  <c r="X100" i="1" l="1"/>
  <c r="W100" i="1"/>
  <c r="V100" i="1"/>
  <c r="U100" i="1"/>
  <c r="T100" i="1"/>
  <c r="W99" i="1"/>
  <c r="X99" i="1"/>
  <c r="X91" i="1"/>
  <c r="W91" i="1"/>
  <c r="V91" i="1"/>
  <c r="U91" i="1"/>
  <c r="T91" i="1"/>
  <c r="W90" i="1"/>
  <c r="X90" i="1"/>
  <c r="X89" i="1"/>
  <c r="W89" i="1"/>
  <c r="V89" i="1"/>
  <c r="U89" i="1"/>
  <c r="T89" i="1"/>
  <c r="X88" i="1"/>
  <c r="W88" i="1"/>
  <c r="V88" i="1"/>
  <c r="U88" i="1"/>
  <c r="T88" i="1"/>
  <c r="X86" i="1"/>
  <c r="X87" i="1"/>
  <c r="X85" i="1"/>
  <c r="W85" i="1"/>
  <c r="V85" i="1"/>
  <c r="U85" i="1"/>
  <c r="T85" i="1"/>
  <c r="X84" i="1"/>
  <c r="W84" i="1"/>
  <c r="V84" i="1"/>
  <c r="U84" i="1"/>
  <c r="T84" i="1"/>
  <c r="U98" i="1" l="1"/>
  <c r="W97" i="1"/>
  <c r="U99" i="1"/>
  <c r="V98" i="1"/>
  <c r="V97" i="1"/>
  <c r="T99" i="1"/>
  <c r="T98" i="1"/>
  <c r="T97" i="1"/>
  <c r="U97" i="1"/>
  <c r="V99" i="1"/>
  <c r="U87" i="1"/>
  <c r="U90" i="1"/>
  <c r="T86" i="1"/>
  <c r="W86" i="1"/>
  <c r="U86" i="1"/>
  <c r="T90" i="1"/>
  <c r="V87" i="1"/>
  <c r="V90" i="1"/>
  <c r="W87" i="1"/>
  <c r="V86" i="1"/>
  <c r="T87" i="1"/>
  <c r="T147" i="1" l="1"/>
  <c r="U140" i="1"/>
  <c r="U135" i="1"/>
  <c r="U136" i="1"/>
  <c r="U141" i="1"/>
  <c r="U145" i="1"/>
  <c r="U146" i="1"/>
  <c r="U147" i="1"/>
  <c r="T127" i="1"/>
  <c r="Q140" i="1"/>
  <c r="T50" i="1"/>
  <c r="T45" i="1"/>
  <c r="T58" i="1"/>
  <c r="S111" i="1" l="1"/>
  <c r="S119" i="1"/>
  <c r="S127" i="1"/>
  <c r="S112" i="1"/>
  <c r="S120" i="1"/>
  <c r="S128" i="1"/>
  <c r="S113" i="1"/>
  <c r="S121" i="1"/>
  <c r="S129" i="1"/>
  <c r="S114" i="1"/>
  <c r="S122" i="1"/>
  <c r="S130" i="1"/>
  <c r="S115" i="1"/>
  <c r="S123" i="1"/>
  <c r="S131" i="1"/>
  <c r="S125" i="1"/>
  <c r="S116" i="1"/>
  <c r="S124" i="1"/>
  <c r="S117" i="1"/>
  <c r="S118" i="1"/>
  <c r="S126" i="1"/>
  <c r="Q106" i="1"/>
  <c r="Q105" i="1"/>
  <c r="Q107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40" i="1"/>
  <c r="Q121" i="1" l="1"/>
  <c r="Q137" i="1"/>
  <c r="Q114" i="1"/>
  <c r="Q122" i="1"/>
  <c r="Q130" i="1"/>
  <c r="Q115" i="1"/>
  <c r="Q123" i="1"/>
  <c r="Q131" i="1"/>
  <c r="Q116" i="1"/>
  <c r="Q124" i="1"/>
  <c r="Q110" i="1"/>
  <c r="Q51" i="1"/>
  <c r="Q118" i="1"/>
  <c r="Q119" i="1"/>
  <c r="Q117" i="1"/>
  <c r="Q125" i="1"/>
  <c r="Q132" i="1"/>
  <c r="Q111" i="1"/>
  <c r="Q127" i="1"/>
  <c r="Q126" i="1"/>
  <c r="Q112" i="1"/>
  <c r="Q120" i="1"/>
  <c r="Q128" i="1"/>
  <c r="Q108" i="1"/>
  <c r="Q113" i="1"/>
  <c r="Q129" i="1"/>
  <c r="Q102" i="1"/>
  <c r="Q81" i="1"/>
  <c r="Q20" i="1"/>
  <c r="U149" i="1"/>
  <c r="U131" i="1"/>
  <c r="U130" i="1"/>
  <c r="U45" i="1"/>
  <c r="U44" i="1"/>
  <c r="X110" i="1" l="1"/>
  <c r="W123" i="1"/>
  <c r="T19" i="1" l="1"/>
  <c r="U64" i="1"/>
  <c r="U65" i="1"/>
  <c r="X135" i="1" l="1"/>
  <c r="T101" i="1" l="1"/>
  <c r="T57" i="1" l="1"/>
  <c r="X112" i="1"/>
  <c r="T130" i="1"/>
  <c r="T131" i="1"/>
  <c r="T56" i="1"/>
  <c r="AA108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30" i="1" l="1"/>
  <c r="W130" i="1"/>
  <c r="V130" i="1"/>
  <c r="X56" i="1"/>
  <c r="W56" i="1"/>
  <c r="V56" i="1"/>
  <c r="U56" i="1"/>
  <c r="X48" i="1"/>
  <c r="W48" i="1"/>
  <c r="U48" i="1"/>
  <c r="X146" i="1" l="1"/>
  <c r="W146" i="1"/>
  <c r="V146" i="1"/>
  <c r="T146" i="1"/>
  <c r="X129" i="1" l="1"/>
  <c r="W129" i="1"/>
  <c r="V129" i="1"/>
  <c r="U129" i="1"/>
  <c r="T129" i="1"/>
  <c r="X47" i="1" l="1"/>
  <c r="W47" i="1"/>
  <c r="V47" i="1"/>
  <c r="U47" i="1"/>
  <c r="T47" i="1"/>
  <c r="X106" i="1" l="1"/>
  <c r="W106" i="1"/>
  <c r="V106" i="1"/>
  <c r="U106" i="1"/>
  <c r="T106" i="1"/>
  <c r="X77" i="1" l="1"/>
  <c r="W77" i="1"/>
  <c r="V77" i="1"/>
  <c r="U77" i="1"/>
  <c r="T77" i="1"/>
  <c r="X145" i="1"/>
  <c r="W145" i="1"/>
  <c r="V145" i="1"/>
  <c r="T145" i="1"/>
  <c r="T149" i="1" l="1"/>
  <c r="X147" i="1"/>
  <c r="W147" i="1"/>
  <c r="V147" i="1"/>
  <c r="X141" i="1"/>
  <c r="W141" i="1"/>
  <c r="V141" i="1"/>
  <c r="T141" i="1"/>
  <c r="X136" i="1"/>
  <c r="W136" i="1"/>
  <c r="V136" i="1"/>
  <c r="T136" i="1"/>
  <c r="W135" i="1"/>
  <c r="V135" i="1"/>
  <c r="X140" i="1"/>
  <c r="W140" i="1"/>
  <c r="V140" i="1"/>
  <c r="T140" i="1"/>
  <c r="X134" i="1"/>
  <c r="W134" i="1"/>
  <c r="V134" i="1"/>
  <c r="U134" i="1"/>
  <c r="T134" i="1"/>
  <c r="AA132" i="1"/>
  <c r="X131" i="1"/>
  <c r="W131" i="1"/>
  <c r="V131" i="1"/>
  <c r="X127" i="1"/>
  <c r="W127" i="1"/>
  <c r="V127" i="1"/>
  <c r="U127" i="1"/>
  <c r="X121" i="1"/>
  <c r="W121" i="1"/>
  <c r="U121" i="1"/>
  <c r="T121" i="1"/>
  <c r="W120" i="1"/>
  <c r="U120" i="1"/>
  <c r="T120" i="1"/>
  <c r="X124" i="1"/>
  <c r="W124" i="1"/>
  <c r="V124" i="1"/>
  <c r="U124" i="1"/>
  <c r="T124" i="1"/>
  <c r="X123" i="1"/>
  <c r="V123" i="1"/>
  <c r="U123" i="1"/>
  <c r="T123" i="1"/>
  <c r="X119" i="1"/>
  <c r="W119" i="1"/>
  <c r="V119" i="1"/>
  <c r="U119" i="1"/>
  <c r="T119" i="1"/>
  <c r="W122" i="1"/>
  <c r="V122" i="1"/>
  <c r="U122" i="1"/>
  <c r="T122" i="1"/>
  <c r="X117" i="1"/>
  <c r="W117" i="1"/>
  <c r="V117" i="1"/>
  <c r="U117" i="1"/>
  <c r="T117" i="1"/>
  <c r="X118" i="1"/>
  <c r="W118" i="1"/>
  <c r="V118" i="1"/>
  <c r="U118" i="1"/>
  <c r="T118" i="1"/>
  <c r="X116" i="1"/>
  <c r="W116" i="1"/>
  <c r="V116" i="1"/>
  <c r="U116" i="1"/>
  <c r="T116" i="1"/>
  <c r="X115" i="1"/>
  <c r="W115" i="1"/>
  <c r="V115" i="1"/>
  <c r="U115" i="1"/>
  <c r="T115" i="1"/>
  <c r="X128" i="1"/>
  <c r="W128" i="1"/>
  <c r="V128" i="1"/>
  <c r="U128" i="1"/>
  <c r="T128" i="1"/>
  <c r="X114" i="1"/>
  <c r="W114" i="1"/>
  <c r="V114" i="1"/>
  <c r="U114" i="1"/>
  <c r="T114" i="1"/>
  <c r="X113" i="1"/>
  <c r="W113" i="1"/>
  <c r="V113" i="1"/>
  <c r="U113" i="1"/>
  <c r="T113" i="1"/>
  <c r="W112" i="1"/>
  <c r="V112" i="1"/>
  <c r="U112" i="1"/>
  <c r="T112" i="1"/>
  <c r="X111" i="1"/>
  <c r="W111" i="1"/>
  <c r="V111" i="1"/>
  <c r="U111" i="1"/>
  <c r="T111" i="1"/>
  <c r="W110" i="1"/>
  <c r="V110" i="1"/>
  <c r="U110" i="1"/>
  <c r="T110" i="1"/>
  <c r="R108" i="1"/>
  <c r="Q104" i="1"/>
  <c r="X107" i="1"/>
  <c r="W107" i="1"/>
  <c r="V107" i="1"/>
  <c r="U107" i="1"/>
  <c r="T107" i="1"/>
  <c r="X105" i="1"/>
  <c r="W105" i="1"/>
  <c r="V105" i="1"/>
  <c r="U105" i="1"/>
  <c r="T105" i="1"/>
  <c r="X104" i="1"/>
  <c r="W104" i="1"/>
  <c r="V104" i="1"/>
  <c r="U104" i="1"/>
  <c r="T104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4" i="1"/>
  <c r="W144" i="1"/>
  <c r="V144" i="1"/>
  <c r="U144" i="1"/>
  <c r="T144" i="1"/>
  <c r="X73" i="1"/>
  <c r="W73" i="1"/>
  <c r="V73" i="1"/>
  <c r="U73" i="1"/>
  <c r="T73" i="1"/>
  <c r="X72" i="1"/>
  <c r="W72" i="1"/>
  <c r="V72" i="1"/>
  <c r="U72" i="1"/>
  <c r="T72" i="1"/>
  <c r="X96" i="1"/>
  <c r="W96" i="1"/>
  <c r="V96" i="1"/>
  <c r="U96" i="1"/>
  <c r="T96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5" i="1"/>
  <c r="W95" i="1"/>
  <c r="V95" i="1"/>
  <c r="U95" i="1"/>
  <c r="T95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50" i="1" l="1"/>
  <c r="S51" i="1" s="1"/>
  <c r="AA150" i="1"/>
  <c r="S105" i="1"/>
  <c r="S107" i="1"/>
  <c r="S106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81" i="1"/>
  <c r="S95" i="1"/>
  <c r="S104" i="1"/>
  <c r="S110" i="1"/>
  <c r="Q4" i="1"/>
  <c r="Q22" i="1"/>
  <c r="T132" i="1"/>
  <c r="S22" i="1"/>
  <c r="T102" i="1"/>
  <c r="T51" i="1"/>
  <c r="S4" i="1"/>
  <c r="T108" i="1"/>
  <c r="S81" i="1" l="1"/>
  <c r="S102" i="1"/>
  <c r="S108" i="1"/>
  <c r="S20" i="1"/>
  <c r="S132" i="1"/>
  <c r="S149" i="1"/>
  <c r="S137" i="1"/>
  <c r="AD150" i="1"/>
  <c r="X36" i="1"/>
  <c r="W36" i="1"/>
  <c r="AE150" i="1"/>
  <c r="V120" i="1"/>
</calcChain>
</file>

<file path=xl/sharedStrings.xml><?xml version="1.0" encoding="utf-8"?>
<sst xmlns="http://schemas.openxmlformats.org/spreadsheetml/2006/main" count="310" uniqueCount="220">
  <si>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</si>
  <si>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</si>
  <si>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</si>
  <si>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</si>
  <si>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</si>
  <si>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</si>
  <si>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</si>
  <si>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</si>
  <si>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</si>
  <si>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</si>
  <si>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</si>
  <si>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</si>
  <si>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</si>
  <si>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</si>
  <si>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</si>
  <si>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</si>
  <si>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</si>
  <si>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</si>
  <si>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</si>
  <si>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</si>
  <si>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</si>
  <si>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</si>
  <si>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</si>
  <si>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</si>
  <si>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</si>
  <si>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</si>
  <si>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</si>
  <si>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</si>
  <si>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</si>
  <si>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</si>
  <si>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</si>
  <si>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</si>
  <si>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</si>
  <si>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</si>
  <si>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</si>
  <si>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</si>
  <si>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</si>
  <si>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</si>
  <si>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</si>
  <si>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</si>
  <si>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</si>
  <si>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</si>
  <si>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</si>
  <si>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</si>
  <si>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</si>
  <si>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</si>
  <si>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</si>
  <si>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</si>
  <si>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</si>
  <si>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</si>
  <si>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</si>
  <si>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</si>
  <si>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</si>
  <si>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</si>
  <si>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</si>
  <si>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</si>
  <si>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</si>
  <si>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</si>
  <si>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</si>
  <si>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</si>
  <si>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</si>
  <si>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</si>
  <si>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</si>
  <si>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</si>
  <si>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</si>
  <si>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</si>
  <si>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</si>
  <si>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</si>
  <si>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</si>
  <si>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</si>
  <si>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</si>
  <si>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</si>
  <si>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</si>
  <si>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</si>
  <si>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</si>
  <si>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</si>
  <si>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</si>
  <si>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</si>
  <si>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</si>
  <si>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</si>
  <si>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</si>
  <si>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</si>
  <si>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</si>
  <si>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</si>
  <si>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</si>
  <si>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</si>
  <si>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</si>
  <si>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</si>
  <si>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</si>
  <si>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</si>
  <si>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</si>
  <si>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</si>
  <si>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</si>
  <si>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</si>
  <si>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</si>
  <si>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</si>
  <si>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</si>
  <si>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</si>
  <si>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</si>
  <si>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</si>
  <si>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</si>
  <si>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</si>
  <si>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</si>
  <si>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</si>
  <si>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</si>
  <si>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</si>
  <si>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</si>
  <si>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</si>
  <si>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</si>
  <si>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</si>
  <si>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</si>
  <si>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</si>
  <si>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</si>
  <si>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</si>
  <si>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</si>
  <si>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</si>
  <si>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</si>
  <si>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</si>
  <si>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</si>
  <si>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</si>
  <si>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</si>
  <si>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</si>
  <si>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</si>
  <si>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</si>
  <si>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</si>
  <si>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</si>
  <si>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</si>
  <si>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</si>
  <si>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</si>
  <si>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</si>
  <si>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</si>
  <si>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</si>
  <si>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</si>
  <si>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</si>
  <si>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</si>
  <si>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</si>
  <si>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</si>
  <si>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</si>
  <si>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</si>
  <si>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</si>
  <si>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</si>
  <si>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</si>
  <si>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</si>
  <si>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</si>
  <si>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</si>
  <si>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</si>
  <si>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</si>
  <si>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</si>
  <si>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</si>
  <si>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</si>
  <si>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</si>
  <si>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</si>
  <si>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</si>
  <si>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</si>
  <si>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</si>
  <si>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</si>
  <si>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</si>
  <si>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</si>
  <si>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</si>
  <si>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</si>
  <si>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</si>
  <si>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</si>
  <si>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</si>
  <si>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</si>
  <si>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</si>
  <si>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</si>
  <si>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</si>
  <si>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</si>
  <si>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</si>
  <si>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</si>
  <si>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</si>
  <si>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</si>
  <si>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</si>
  <si>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</si>
  <si>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</si>
  <si>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</si>
  <si>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</si>
  <si>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</si>
  <si>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</si>
  <si>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</si>
  <si>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</si>
  <si>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</si>
  <si>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</si>
  <si>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</si>
  <si>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</si>
  <si>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</si>
  <si>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</si>
  <si>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</si>
  <si>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</si>
  <si>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</si>
  <si>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</si>
  <si>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</si>
  <si>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</si>
  <si>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</si>
  <si>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</si>
  <si>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</si>
  <si>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</si>
  <si>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</si>
  <si>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(Institutional)</t>
  </si>
  <si>
    <t>FBN Dollar Fund (Retail)</t>
  </si>
  <si>
    <t>Halal Fixed Income Fund</t>
  </si>
  <si>
    <t xml:space="preserve">AXA Mansard Investments Limited </t>
  </si>
  <si>
    <t>EDC Nigeria Fixed Income Fund</t>
  </si>
  <si>
    <t xml:space="preserve">Capital Trust Investments &amp; Asset Mgt. Ltd </t>
  </si>
  <si>
    <t xml:space="preserve">NET ASSET VALUE  (N) </t>
  </si>
  <si>
    <t>AXA Mansard Dollar Bond Fund</t>
  </si>
  <si>
    <t>CLOSING NUMBER OF UNITS</t>
  </si>
  <si>
    <t>OPENING NUMBER OF UNITS</t>
  </si>
  <si>
    <t>Capital Trust Halal Fixed Income Fund</t>
  </si>
  <si>
    <t>ADDITIONS</t>
  </si>
  <si>
    <t>REDEMPTIONS</t>
  </si>
  <si>
    <t>Zenith ESG Impact Fund</t>
  </si>
  <si>
    <t>Zenith Balanced Strategy Fund</t>
  </si>
  <si>
    <t>Cordros Fixed Income Fund</t>
  </si>
  <si>
    <t>74a</t>
  </si>
  <si>
    <t>74b</t>
  </si>
  <si>
    <t>SPREADSHEET OF REGISTERED MUTUAL FUNDS AS AT 30TH APRIL, 2022</t>
  </si>
  <si>
    <t>NET ASSET VALUE  (N) PREVIOUS MARCH</t>
  </si>
  <si>
    <t>Nigeria Entertainment Fund</t>
  </si>
  <si>
    <t>34,426,217.57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</si>
</sst>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1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4" xfId="0" applyNumberFormat="1" applyFont="1" applyFill="1" applyBorder="1" applyAlignment="1"/>
    <xf numFmtId="166" fontId="3" fillId="2" borderId="15" xfId="0" applyNumberFormat="1" applyFont="1" applyFill="1" applyBorder="1" applyAlignment="1"/>
    <xf numFmtId="4" fontId="3" fillId="2" borderId="15" xfId="0" applyNumberFormat="1" applyFont="1" applyFill="1" applyBorder="1" applyAlignment="1"/>
    <xf numFmtId="166" fontId="3" fillId="7" borderId="15" xfId="0" applyNumberFormat="1" applyFont="1" applyFill="1" applyBorder="1" applyAlignment="1">
      <alignment horizontal="left"/>
    </xf>
    <xf numFmtId="10" fontId="3" fillId="6" borderId="15" xfId="0" applyNumberFormat="1" applyFont="1" applyFill="1" applyBorder="1" applyAlignment="1"/>
    <xf numFmtId="10" fontId="3" fillId="4" borderId="15" xfId="0" applyNumberFormat="1" applyFont="1" applyFill="1" applyBorder="1" applyAlignment="1"/>
    <xf numFmtId="10" fontId="3" fillId="3" borderId="15" xfId="0" applyNumberFormat="1" applyFont="1" applyFill="1" applyBorder="1" applyAlignment="1">
      <alignment horizontal="right" vertical="center"/>
    </xf>
    <xf numFmtId="166" fontId="3" fillId="3" borderId="15" xfId="0" applyNumberFormat="1" applyFont="1" applyFill="1" applyBorder="1" applyAlignment="1">
      <alignment horizontal="right" vertical="center"/>
    </xf>
    <xf numFmtId="165" fontId="3" fillId="2" borderId="15" xfId="0" applyNumberFormat="1" applyFont="1" applyFill="1" applyBorder="1" applyAlignment="1"/>
    <xf numFmtId="166" fontId="3" fillId="2" borderId="15" xfId="0" applyNumberFormat="1" applyFont="1" applyFill="1" applyBorder="1" applyAlignment="1">
      <alignment horizontal="left"/>
    </xf>
    <xf numFmtId="0" fontId="3" fillId="2" borderId="15" xfId="0" applyNumberFormat="1" applyFont="1" applyFill="1" applyBorder="1" applyAlignment="1"/>
    <xf numFmtId="166" fontId="3" fillId="7" borderId="15" xfId="0" applyNumberFormat="1" applyFont="1" applyFill="1" applyBorder="1" applyAlignment="1"/>
    <xf numFmtId="165" fontId="3" fillId="2" borderId="15" xfId="0" applyNumberFormat="1" applyFont="1" applyFill="1" applyBorder="1" applyAlignment="1">
      <alignment horizontal="left"/>
    </xf>
    <xf numFmtId="10" fontId="5" fillId="3" borderId="15" xfId="0" applyNumberFormat="1" applyFont="1" applyFill="1" applyBorder="1" applyAlignment="1">
      <alignment horizontal="right" vertical="center"/>
    </xf>
    <xf numFmtId="166" fontId="5" fillId="3" borderId="15" xfId="0" applyNumberFormat="1" applyFont="1" applyFill="1" applyBorder="1" applyAlignment="1">
      <alignment horizontal="right" vertical="center"/>
    </xf>
    <xf numFmtId="166" fontId="4" fillId="2" borderId="15" xfId="0" applyNumberFormat="1" applyFont="1" applyFill="1" applyBorder="1" applyAlignment="1">
      <alignment vertical="top" wrapText="1"/>
    </xf>
    <xf numFmtId="49" fontId="4" fillId="2" borderId="15" xfId="0" applyNumberFormat="1" applyFont="1" applyFill="1" applyBorder="1" applyAlignment="1">
      <alignment horizontal="right"/>
    </xf>
    <xf numFmtId="166" fontId="4" fillId="2" borderId="15" xfId="0" applyNumberFormat="1" applyFont="1" applyFill="1" applyBorder="1" applyAlignment="1"/>
    <xf numFmtId="166" fontId="4" fillId="7" borderId="15" xfId="0" applyNumberFormat="1" applyFont="1" applyFill="1" applyBorder="1" applyAlignment="1"/>
    <xf numFmtId="10" fontId="4" fillId="4" borderId="15" xfId="0" applyNumberFormat="1" applyFont="1" applyFill="1" applyBorder="1" applyAlignment="1"/>
    <xf numFmtId="10" fontId="4" fillId="3" borderId="15" xfId="0" applyNumberFormat="1" applyFont="1" applyFill="1" applyBorder="1" applyAlignment="1">
      <alignment horizontal="right" vertical="center"/>
    </xf>
    <xf numFmtId="166" fontId="4" fillId="3" borderId="15" xfId="0" applyNumberFormat="1" applyFont="1" applyFill="1" applyBorder="1" applyAlignment="1">
      <alignment horizontal="right" vertical="center"/>
    </xf>
    <xf numFmtId="165" fontId="4" fillId="2" borderId="15" xfId="0" applyNumberFormat="1" applyFont="1" applyFill="1" applyBorder="1" applyAlignment="1"/>
    <xf numFmtId="0" fontId="3" fillId="4" borderId="15" xfId="0" applyNumberFormat="1" applyFont="1" applyFill="1" applyBorder="1" applyAlignment="1">
      <alignment vertical="top" wrapText="1"/>
    </xf>
    <xf numFmtId="3" fontId="3" fillId="2" borderId="15" xfId="0" applyNumberFormat="1" applyFont="1" applyFill="1" applyBorder="1" applyAlignment="1"/>
    <xf numFmtId="166" fontId="4" fillId="2" borderId="15" xfId="0" applyNumberFormat="1" applyFont="1" applyFill="1" applyBorder="1" applyAlignment="1">
      <alignment wrapText="1"/>
    </xf>
    <xf numFmtId="166" fontId="3" fillId="4" borderId="15" xfId="0" applyNumberFormat="1" applyFont="1" applyFill="1" applyBorder="1" applyAlignment="1"/>
    <xf numFmtId="10" fontId="3" fillId="4" borderId="15" xfId="0" applyNumberFormat="1" applyFont="1" applyFill="1" applyBorder="1" applyAlignment="1">
      <alignment horizontal="right" vertical="center"/>
    </xf>
    <xf numFmtId="166" fontId="3" fillId="4" borderId="15" xfId="0" applyNumberFormat="1" applyFont="1" applyFill="1" applyBorder="1" applyAlignment="1">
      <alignment horizontal="right" vertical="center"/>
    </xf>
    <xf numFmtId="166" fontId="5" fillId="2" borderId="15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right"/>
    </xf>
    <xf numFmtId="43" fontId="3" fillId="5" borderId="15" xfId="1" applyFont="1" applyFill="1" applyBorder="1" applyAlignment="1">
      <alignment horizontal="right"/>
    </xf>
    <xf numFmtId="10" fontId="9" fillId="9" borderId="15" xfId="0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horizontal="right"/>
    </xf>
    <xf numFmtId="166" fontId="3" fillId="0" borderId="15" xfId="0" applyNumberFormat="1" applyFont="1" applyFill="1" applyBorder="1" applyAlignment="1"/>
    <xf numFmtId="4" fontId="3" fillId="0" borderId="15" xfId="0" applyNumberFormat="1" applyFont="1" applyFill="1" applyBorder="1" applyAlignment="1"/>
    <xf numFmtId="166" fontId="3" fillId="0" borderId="15" xfId="0" applyNumberFormat="1" applyFont="1" applyFill="1" applyBorder="1" applyAlignment="1">
      <alignment horizontal="left"/>
    </xf>
    <xf numFmtId="166" fontId="4" fillId="0" borderId="15" xfId="0" applyNumberFormat="1" applyFont="1" applyFill="1" applyBorder="1" applyAlignment="1"/>
    <xf numFmtId="49" fontId="3" fillId="0" borderId="15" xfId="0" applyNumberFormat="1" applyFont="1" applyFill="1" applyBorder="1" applyAlignment="1"/>
    <xf numFmtId="49" fontId="3" fillId="0" borderId="15" xfId="0" applyNumberFormat="1" applyFont="1" applyFill="1" applyBorder="1" applyAlignment="1">
      <alignment wrapText="1"/>
    </xf>
    <xf numFmtId="10" fontId="12" fillId="9" borderId="15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vertical="top" wrapText="1"/>
    </xf>
    <xf numFmtId="49" fontId="10" fillId="0" borderId="15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5" xfId="0" applyNumberFormat="1" applyFont="1" applyFill="1" applyBorder="1" applyAlignment="1">
      <alignment horizontal="right"/>
    </xf>
    <xf numFmtId="10" fontId="3" fillId="12" borderId="15" xfId="0" applyNumberFormat="1" applyFont="1" applyFill="1" applyBorder="1" applyAlignment="1"/>
    <xf numFmtId="10" fontId="3" fillId="10" borderId="15" xfId="0" applyNumberFormat="1" applyFont="1" applyFill="1" applyBorder="1" applyAlignment="1">
      <alignment horizontal="right" vertical="center"/>
    </xf>
    <xf numFmtId="166" fontId="3" fillId="10" borderId="15" xfId="0" applyNumberFormat="1" applyFont="1" applyFill="1" applyBorder="1" applyAlignment="1">
      <alignment horizontal="right" vertical="center"/>
    </xf>
    <xf numFmtId="43" fontId="3" fillId="0" borderId="15" xfId="1" applyFont="1" applyFill="1" applyBorder="1" applyAlignment="1"/>
    <xf numFmtId="0" fontId="8" fillId="0" borderId="0" xfId="0" applyNumberFormat="1" applyFont="1" applyAlignment="1"/>
    <xf numFmtId="49" fontId="5" fillId="0" borderId="15" xfId="0" applyNumberFormat="1" applyFont="1" applyFill="1" applyBorder="1" applyAlignment="1">
      <alignment vertical="center" wrapText="1"/>
    </xf>
    <xf numFmtId="43" fontId="3" fillId="2" borderId="15" xfId="1" applyFont="1" applyFill="1" applyBorder="1" applyAlignment="1"/>
    <xf numFmtId="166" fontId="4" fillId="0" borderId="15" xfId="0" applyNumberFormat="1" applyFont="1" applyFill="1" applyBorder="1" applyAlignment="1">
      <alignment vertical="top" wrapText="1"/>
    </xf>
    <xf numFmtId="49" fontId="4" fillId="0" borderId="15" xfId="0" applyNumberFormat="1" applyFont="1" applyFill="1" applyBorder="1" applyAlignment="1">
      <alignment horizontal="right"/>
    </xf>
    <xf numFmtId="166" fontId="3" fillId="12" borderId="15" xfId="0" applyNumberFormat="1" applyFont="1" applyFill="1" applyBorder="1" applyAlignment="1"/>
    <xf numFmtId="166" fontId="3" fillId="7" borderId="15" xfId="0" applyNumberFormat="1" applyFont="1" applyFill="1" applyBorder="1"/>
    <xf numFmtId="0" fontId="17" fillId="13" borderId="4" xfId="0" applyFont="1" applyFill="1" applyBorder="1" applyAlignment="1"/>
    <xf numFmtId="0" fontId="17" fillId="13" borderId="17" xfId="0" applyFont="1" applyFill="1" applyBorder="1" applyAlignment="1"/>
    <xf numFmtId="0" fontId="17" fillId="0" borderId="4" xfId="0" applyFont="1" applyBorder="1" applyAlignment="1"/>
    <xf numFmtId="43" fontId="4" fillId="2" borderId="15" xfId="1" applyFont="1" applyFill="1" applyBorder="1" applyAlignment="1"/>
    <xf numFmtId="43" fontId="3" fillId="2" borderId="15" xfId="1" applyFont="1" applyFill="1" applyBorder="1" applyAlignment="1">
      <alignment horizontal="right"/>
    </xf>
    <xf numFmtId="49" fontId="3" fillId="16" borderId="15" xfId="0" applyNumberFormat="1" applyFont="1" applyFill="1" applyBorder="1" applyAlignment="1"/>
    <xf numFmtId="10" fontId="9" fillId="6" borderId="15" xfId="0" applyNumberFormat="1" applyFont="1" applyFill="1" applyBorder="1" applyAlignment="1"/>
    <xf numFmtId="166" fontId="4" fillId="16" borderId="15" xfId="0" applyNumberFormat="1" applyFont="1" applyFill="1" applyBorder="1" applyAlignment="1">
      <alignment wrapText="1"/>
    </xf>
    <xf numFmtId="166" fontId="3" fillId="2" borderId="18" xfId="0" applyNumberFormat="1" applyFont="1" applyFill="1" applyBorder="1" applyAlignment="1"/>
    <xf numFmtId="166" fontId="3" fillId="17" borderId="15" xfId="0" applyNumberFormat="1" applyFont="1" applyFill="1" applyBorder="1" applyAlignment="1"/>
    <xf numFmtId="10" fontId="3" fillId="17" borderId="15" xfId="0" applyNumberFormat="1" applyFont="1" applyFill="1" applyBorder="1" applyAlignment="1"/>
    <xf numFmtId="10" fontId="9" fillId="17" borderId="15" xfId="0" applyNumberFormat="1" applyFont="1" applyFill="1" applyBorder="1" applyAlignment="1">
      <alignment horizontal="right" vertical="center"/>
    </xf>
    <xf numFmtId="10" fontId="3" fillId="17" borderId="15" xfId="0" applyNumberFormat="1" applyFont="1" applyFill="1" applyBorder="1" applyAlignment="1">
      <alignment horizontal="right" vertical="center"/>
    </xf>
    <xf numFmtId="166" fontId="3" fillId="17" borderId="15" xfId="0" applyNumberFormat="1" applyFont="1" applyFill="1" applyBorder="1" applyAlignment="1">
      <alignment horizontal="right" vertical="center"/>
    </xf>
    <xf numFmtId="3" fontId="3" fillId="17" borderId="15" xfId="0" applyNumberFormat="1" applyFont="1" applyFill="1" applyBorder="1" applyAlignment="1"/>
    <xf numFmtId="10" fontId="12" fillId="17" borderId="15" xfId="0" applyNumberFormat="1" applyFont="1" applyFill="1" applyBorder="1" applyAlignment="1">
      <alignment horizontal="right" vertical="center"/>
    </xf>
    <xf numFmtId="165" fontId="3" fillId="17" borderId="15" xfId="0" applyNumberFormat="1" applyFont="1" applyFill="1" applyBorder="1" applyAlignment="1"/>
    <xf numFmtId="9" fontId="12" fillId="9" borderId="15" xfId="2" applyFont="1" applyFill="1" applyBorder="1" applyAlignment="1">
      <alignment horizontal="right" vertical="center"/>
    </xf>
    <xf numFmtId="49" fontId="1" fillId="3" borderId="15" xfId="0" applyNumberFormat="1" applyFont="1" applyFill="1" applyBorder="1" applyAlignment="1">
      <alignment horizontal="center" vertical="top" wrapText="1"/>
    </xf>
    <xf numFmtId="0" fontId="4" fillId="4" borderId="15" xfId="0" applyNumberFormat="1" applyFont="1" applyFill="1" applyBorder="1" applyAlignment="1">
      <alignment vertical="top" wrapText="1"/>
    </xf>
    <xf numFmtId="10" fontId="12" fillId="14" borderId="15" xfId="0" applyNumberFormat="1" applyFont="1" applyFill="1" applyBorder="1" applyAlignment="1">
      <alignment horizontal="right" vertical="center"/>
    </xf>
    <xf numFmtId="10" fontId="16" fillId="15" borderId="15" xfId="0" applyNumberFormat="1" applyFont="1" applyFill="1" applyBorder="1" applyAlignment="1">
      <alignment horizontal="right" vertical="center"/>
    </xf>
    <xf numFmtId="166" fontId="16" fillId="15" borderId="15" xfId="0" applyNumberFormat="1" applyFont="1" applyFill="1" applyBorder="1" applyAlignment="1">
      <alignment horizontal="right" vertical="center"/>
    </xf>
    <xf numFmtId="0" fontId="20" fillId="17" borderId="15" xfId="0" applyFont="1" applyFill="1" applyBorder="1" applyAlignment="1">
      <alignment wrapText="1"/>
    </xf>
    <xf numFmtId="49" fontId="1" fillId="3" borderId="23" xfId="0" applyNumberFormat="1" applyFont="1" applyFill="1" applyBorder="1" applyAlignment="1">
      <alignment horizontal="center" vertical="top" wrapText="1"/>
    </xf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165" fontId="3" fillId="16" borderId="23" xfId="0" applyNumberFormat="1" applyFont="1" applyFill="1" applyBorder="1" applyAlignment="1">
      <alignment horizontal="center" wrapText="1"/>
    </xf>
    <xf numFmtId="4" fontId="3" fillId="2" borderId="19" xfId="0" applyNumberFormat="1" applyFont="1" applyFill="1" applyBorder="1" applyAlignment="1"/>
    <xf numFmtId="166" fontId="3" fillId="2" borderId="19" xfId="0" applyNumberFormat="1" applyFont="1" applyFill="1" applyBorder="1" applyAlignment="1"/>
    <xf numFmtId="165" fontId="4" fillId="2" borderId="23" xfId="0" applyNumberFormat="1" applyFont="1" applyFill="1" applyBorder="1" applyAlignment="1">
      <alignment horizontal="center"/>
    </xf>
    <xf numFmtId="166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49" fontId="4" fillId="16" borderId="23" xfId="0" applyNumberFormat="1" applyFont="1" applyFill="1" applyBorder="1" applyAlignment="1">
      <alignment horizontal="center" wrapText="1"/>
    </xf>
    <xf numFmtId="166" fontId="3" fillId="4" borderId="19" xfId="0" applyNumberFormat="1" applyFont="1" applyFill="1" applyBorder="1" applyAlignment="1"/>
    <xf numFmtId="166" fontId="3" fillId="17" borderId="19" xfId="0" applyNumberFormat="1" applyFont="1" applyFill="1" applyBorder="1" applyAlignment="1"/>
    <xf numFmtId="165" fontId="4" fillId="0" borderId="23" xfId="0" applyNumberFormat="1" applyFont="1" applyFill="1" applyBorder="1" applyAlignment="1">
      <alignment horizontal="center" wrapText="1"/>
    </xf>
    <xf numFmtId="165" fontId="4" fillId="2" borderId="23" xfId="0" applyNumberFormat="1" applyFont="1" applyFill="1" applyBorder="1" applyAlignment="1">
      <alignment horizontal="center" wrapText="1"/>
    </xf>
    <xf numFmtId="166" fontId="4" fillId="2" borderId="19" xfId="0" applyNumberFormat="1" applyFont="1" applyFill="1" applyBorder="1" applyAlignment="1">
      <alignment wrapText="1"/>
    </xf>
    <xf numFmtId="165" fontId="3" fillId="0" borderId="23" xfId="0" applyNumberFormat="1" applyFont="1" applyFill="1" applyBorder="1" applyAlignment="1">
      <alignment horizontal="center"/>
    </xf>
    <xf numFmtId="165" fontId="3" fillId="8" borderId="24" xfId="0" applyNumberFormat="1" applyFont="1" applyFill="1" applyBorder="1" applyAlignment="1">
      <alignment horizontal="center" wrapText="1"/>
    </xf>
    <xf numFmtId="166" fontId="3" fillId="8" borderId="16" xfId="0" applyNumberFormat="1" applyFont="1" applyFill="1" applyBorder="1" applyAlignment="1">
      <alignment wrapText="1"/>
    </xf>
    <xf numFmtId="49" fontId="4" fillId="8" borderId="16" xfId="0" applyNumberFormat="1" applyFont="1" applyFill="1" applyBorder="1" applyAlignment="1">
      <alignment horizontal="right"/>
    </xf>
    <xf numFmtId="166" fontId="4" fillId="8" borderId="16" xfId="0" applyNumberFormat="1" applyFont="1" applyFill="1" applyBorder="1" applyAlignment="1"/>
    <xf numFmtId="10" fontId="4" fillId="6" borderId="16" xfId="0" applyNumberFormat="1" applyFont="1" applyFill="1" applyBorder="1" applyAlignment="1"/>
    <xf numFmtId="10" fontId="4" fillId="4" borderId="16" xfId="0" applyNumberFormat="1" applyFont="1" applyFill="1" applyBorder="1" applyAlignment="1"/>
    <xf numFmtId="10" fontId="9" fillId="9" borderId="16" xfId="0" applyNumberFormat="1" applyFont="1" applyFill="1" applyBorder="1" applyAlignment="1">
      <alignment horizontal="right" vertical="center"/>
    </xf>
    <xf numFmtId="10" fontId="4" fillId="3" borderId="16" xfId="0" applyNumberFormat="1" applyFon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4" fillId="8" borderId="25" xfId="0" applyNumberFormat="1" applyFont="1" applyFill="1" applyBorder="1" applyAlignment="1"/>
    <xf numFmtId="165" fontId="4" fillId="8" borderId="16" xfId="0" applyNumberFormat="1" applyFont="1" applyFill="1" applyBorder="1" applyAlignment="1"/>
    <xf numFmtId="168" fontId="4" fillId="2" borderId="15" xfId="1" applyNumberFormat="1" applyFont="1" applyFill="1" applyBorder="1" applyAlignment="1"/>
    <xf numFmtId="0" fontId="0" fillId="16" borderId="3" xfId="0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16" borderId="5" xfId="0" applyNumberFormat="1" applyFont="1" applyFill="1" applyBorder="1" applyAlignment="1"/>
    <xf numFmtId="0" fontId="0" fillId="16" borderId="0" xfId="0" applyNumberFormat="1" applyFont="1" applyFill="1" applyAlignment="1"/>
    <xf numFmtId="0" fontId="0" fillId="0" borderId="15" xfId="0" applyNumberFormat="1" applyFont="1" applyBorder="1" applyAlignment="1"/>
    <xf numFmtId="0" fontId="13" fillId="2" borderId="4" xfId="0" applyNumberFormat="1" applyFont="1" applyFill="1" applyBorder="1" applyAlignment="1"/>
    <xf numFmtId="0" fontId="14" fillId="2" borderId="4" xfId="0" applyNumberFormat="1" applyFont="1" applyFill="1" applyBorder="1" applyAlignment="1"/>
    <xf numFmtId="0" fontId="7" fillId="2" borderId="4" xfId="0" applyNumberFormat="1" applyFont="1" applyFill="1" applyBorder="1" applyAlignment="1"/>
    <xf numFmtId="4" fontId="4" fillId="0" borderId="4" xfId="0" applyNumberFormat="1" applyFont="1" applyBorder="1" applyAlignment="1"/>
    <xf numFmtId="166" fontId="2" fillId="2" borderId="4" xfId="0" applyNumberFormat="1" applyFont="1" applyFill="1" applyBorder="1" applyAlignment="1"/>
    <xf numFmtId="167" fontId="2" fillId="2" borderId="4" xfId="0" applyNumberFormat="1" applyFont="1" applyFill="1" applyBorder="1" applyAlignment="1"/>
    <xf numFmtId="0" fontId="6" fillId="2" borderId="4" xfId="0" applyNumberFormat="1" applyFont="1" applyFill="1" applyBorder="1" applyAlignment="1"/>
    <xf numFmtId="4" fontId="0" fillId="2" borderId="4" xfId="0" applyNumberFormat="1" applyFont="1" applyFill="1" applyBorder="1" applyAlignment="1"/>
    <xf numFmtId="10" fontId="3" fillId="9" borderId="15" xfId="0" applyNumberFormat="1" applyFont="1" applyFill="1" applyBorder="1" applyAlignment="1"/>
    <xf numFmtId="2" fontId="3" fillId="0" borderId="15" xfId="0" applyNumberFormat="1" applyFont="1" applyFill="1" applyBorder="1" applyAlignment="1"/>
    <xf numFmtId="165" fontId="3" fillId="0" borderId="15" xfId="0" applyNumberFormat="1" applyFont="1" applyFill="1" applyBorder="1" applyAlignment="1"/>
    <xf numFmtId="166" fontId="3" fillId="0" borderId="19" xfId="0" applyNumberFormat="1" applyFont="1" applyFill="1" applyBorder="1" applyAlignment="1"/>
    <xf numFmtId="166" fontId="21" fillId="2" borderId="15" xfId="0" applyNumberFormat="1" applyFont="1" applyFill="1" applyBorder="1" applyAlignment="1">
      <alignment horizontal="left"/>
    </xf>
    <xf numFmtId="43" fontId="3" fillId="5" borderId="15" xfId="1" applyFont="1" applyFill="1" applyBorder="1" applyAlignment="1"/>
    <xf numFmtId="166" fontId="3" fillId="16" borderId="15" xfId="0" applyNumberFormat="1" applyFont="1" applyFill="1" applyBorder="1" applyAlignment="1"/>
    <xf numFmtId="2" fontId="3" fillId="16" borderId="15" xfId="0" applyNumberFormat="1" applyFont="1" applyFill="1" applyBorder="1" applyAlignment="1"/>
    <xf numFmtId="165" fontId="3" fillId="16" borderId="15" xfId="0" applyNumberFormat="1" applyFont="1" applyFill="1" applyBorder="1" applyAlignment="1"/>
    <xf numFmtId="4" fontId="3" fillId="16" borderId="15" xfId="0" applyNumberFormat="1" applyFont="1" applyFill="1" applyBorder="1" applyAlignment="1"/>
    <xf numFmtId="166" fontId="5" fillId="2" borderId="15" xfId="0" applyNumberFormat="1" applyFont="1" applyFill="1" applyBorder="1" applyAlignment="1"/>
    <xf numFmtId="165" fontId="5" fillId="2" borderId="15" xfId="0" applyNumberFormat="1" applyFont="1" applyFill="1" applyBorder="1" applyAlignment="1"/>
    <xf numFmtId="166" fontId="5" fillId="2" borderId="19" xfId="0" applyNumberFormat="1" applyFont="1" applyFill="1" applyBorder="1" applyAlignment="1"/>
    <xf numFmtId="166" fontId="4" fillId="7" borderId="15" xfId="0" applyNumberFormat="1" applyFont="1" applyFill="1" applyBorder="1"/>
    <xf numFmtId="166" fontId="4" fillId="7" borderId="15" xfId="0" applyNumberFormat="1" applyFont="1" applyFill="1" applyBorder="1" applyAlignment="1">
      <alignment horizontal="left"/>
    </xf>
    <xf numFmtId="164" fontId="3" fillId="2" borderId="15" xfId="0" applyNumberFormat="1" applyFont="1" applyFill="1" applyBorder="1" applyAlignment="1"/>
    <xf numFmtId="43" fontId="1" fillId="3" borderId="15" xfId="1" applyFont="1" applyFill="1" applyBorder="1" applyAlignment="1">
      <alignment horizontal="center" vertical="top" wrapText="1"/>
    </xf>
    <xf numFmtId="43" fontId="4" fillId="4" borderId="15" xfId="1" applyFont="1" applyFill="1" applyBorder="1" applyAlignment="1">
      <alignment vertical="top" wrapText="1"/>
    </xf>
    <xf numFmtId="43" fontId="3" fillId="4" borderId="15" xfId="1" applyFont="1" applyFill="1" applyBorder="1" applyAlignment="1">
      <alignment vertical="top" wrapText="1"/>
    </xf>
    <xf numFmtId="43" fontId="3" fillId="4" borderId="15" xfId="1" applyFont="1" applyFill="1" applyBorder="1" applyAlignment="1"/>
    <xf numFmtId="43" fontId="3" fillId="17" borderId="15" xfId="1" applyFont="1" applyFill="1" applyBorder="1" applyAlignment="1"/>
    <xf numFmtId="43" fontId="3" fillId="5" borderId="15" xfId="1" applyFont="1" applyFill="1" applyBorder="1" applyAlignment="1">
      <alignment horizontal="left"/>
    </xf>
    <xf numFmtId="43" fontId="3" fillId="11" borderId="15" xfId="1" applyFont="1" applyFill="1" applyBorder="1" applyAlignment="1"/>
    <xf numFmtId="43" fontId="0" fillId="2" borderId="4" xfId="1" applyFont="1" applyFill="1" applyBorder="1" applyAlignment="1"/>
    <xf numFmtId="43" fontId="0" fillId="0" borderId="0" xfId="1" applyFont="1" applyAlignment="1"/>
    <xf numFmtId="165" fontId="3" fillId="0" borderId="23" xfId="0" applyNumberFormat="1" applyFont="1" applyFill="1" applyBorder="1" applyAlignment="1">
      <alignment horizontal="center" wrapText="1"/>
    </xf>
    <xf numFmtId="165" fontId="10" fillId="0" borderId="23" xfId="0" applyNumberFormat="1" applyFont="1" applyFill="1" applyBorder="1" applyAlignment="1">
      <alignment horizontal="center" wrapText="1"/>
    </xf>
    <xf numFmtId="165" fontId="16" fillId="0" borderId="23" xfId="0" applyNumberFormat="1" applyFont="1" applyFill="1" applyBorder="1" applyAlignment="1">
      <alignment horizontal="center" wrapText="1"/>
    </xf>
    <xf numFmtId="49" fontId="16" fillId="0" borderId="15" xfId="0" applyNumberFormat="1" applyFont="1" applyFill="1" applyBorder="1" applyAlignment="1">
      <alignment wrapText="1"/>
    </xf>
    <xf numFmtId="165" fontId="21" fillId="0" borderId="23" xfId="0" applyNumberFormat="1" applyFont="1" applyFill="1" applyBorder="1" applyAlignment="1">
      <alignment horizontal="center" wrapText="1"/>
    </xf>
    <xf numFmtId="49" fontId="21" fillId="0" borderId="15" xfId="0" applyNumberFormat="1" applyFont="1" applyFill="1" applyBorder="1" applyAlignment="1">
      <alignment wrapText="1"/>
    </xf>
    <xf numFmtId="165" fontId="3" fillId="0" borderId="23" xfId="0" applyNumberFormat="1" applyFont="1" applyFill="1" applyBorder="1" applyAlignment="1">
      <alignment horizontal="right" wrapText="1"/>
    </xf>
    <xf numFmtId="166" fontId="3" fillId="2" borderId="15" xfId="0" applyNumberFormat="1" applyFont="1" applyFill="1" applyBorder="1" applyAlignment="1">
      <alignment horizontal="left" wrapText="1"/>
    </xf>
    <xf numFmtId="166" fontId="16" fillId="13" borderId="15" xfId="0" applyNumberFormat="1" applyFont="1" applyFill="1" applyBorder="1" applyAlignment="1">
      <alignment horizontal="left"/>
    </xf>
    <xf numFmtId="2" fontId="3" fillId="2" borderId="15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/>
    <xf numFmtId="3" fontId="22" fillId="0" borderId="15" xfId="0" applyNumberFormat="1" applyFont="1" applyBorder="1" applyAlignment="1"/>
    <xf numFmtId="4" fontId="22" fillId="0" borderId="15" xfId="0" applyNumberFormat="1" applyFont="1" applyBorder="1" applyAlignment="1"/>
    <xf numFmtId="4" fontId="3" fillId="0" borderId="15" xfId="0" applyNumberFormat="1" applyFont="1" applyBorder="1" applyAlignment="1"/>
    <xf numFmtId="49" fontId="10" fillId="0" borderId="15" xfId="0" applyNumberFormat="1" applyFont="1" applyFill="1" applyBorder="1" applyAlignment="1">
      <alignment wrapText="1"/>
    </xf>
    <xf numFmtId="0" fontId="4" fillId="2" borderId="15" xfId="0" applyNumberFormat="1" applyFont="1" applyFill="1" applyBorder="1" applyAlignment="1"/>
    <xf numFmtId="166" fontId="4" fillId="2" borderId="15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/>
    <xf numFmtId="0" fontId="8" fillId="2" borderId="4" xfId="0" applyNumberFormat="1" applyFont="1" applyFill="1" applyBorder="1" applyAlignment="1"/>
    <xf numFmtId="0" fontId="8" fillId="2" borderId="5" xfId="0" applyNumberFormat="1" applyFont="1" applyFill="1" applyBorder="1" applyAlignment="1"/>
    <xf numFmtId="0" fontId="8" fillId="0" borderId="0" xfId="0" applyFont="1" applyAlignment="1"/>
    <xf numFmtId="0" fontId="3" fillId="0" borderId="15" xfId="0" applyFont="1" applyFill="1" applyBorder="1" applyAlignment="1"/>
    <xf numFmtId="43" fontId="3" fillId="0" borderId="15" xfId="1" applyFont="1" applyFill="1" applyBorder="1" applyAlignment="1">
      <alignment horizontal="right"/>
    </xf>
    <xf numFmtId="165" fontId="3" fillId="0" borderId="19" xfId="0" applyNumberFormat="1" applyFont="1" applyFill="1" applyBorder="1" applyAlignment="1"/>
    <xf numFmtId="166" fontId="3" fillId="2" borderId="15" xfId="0" applyNumberFormat="1" applyFont="1" applyFill="1" applyBorder="1" applyAlignment="1">
      <alignment horizontal="right"/>
    </xf>
    <xf numFmtId="166" fontId="16" fillId="0" borderId="15" xfId="0" applyNumberFormat="1" applyFont="1" applyBorder="1" applyAlignment="1"/>
    <xf numFmtId="1" fontId="3" fillId="0" borderId="15" xfId="0" applyNumberFormat="1" applyFont="1" applyFill="1" applyBorder="1" applyAlignment="1"/>
    <xf numFmtId="0" fontId="20" fillId="17" borderId="23" xfId="0" applyFont="1" applyFill="1" applyBorder="1" applyAlignment="1">
      <alignment horizontal="center" wrapText="1"/>
    </xf>
    <xf numFmtId="0" fontId="20" fillId="17" borderId="15" xfId="0" applyFont="1" applyFill="1" applyBorder="1" applyAlignment="1">
      <alignment horizontal="center" wrapText="1"/>
    </xf>
    <xf numFmtId="49" fontId="18" fillId="4" borderId="15" xfId="0" applyNumberFormat="1" applyFont="1" applyFill="1" applyBorder="1" applyAlignment="1">
      <alignment horizontal="center" vertical="top" wrapText="1"/>
    </xf>
    <xf numFmtId="49" fontId="18" fillId="4" borderId="19" xfId="0" applyNumberFormat="1" applyFont="1" applyFill="1" applyBorder="1" applyAlignment="1">
      <alignment horizontal="center" vertical="top" wrapText="1"/>
    </xf>
    <xf numFmtId="49" fontId="18" fillId="4" borderId="23" xfId="0" applyNumberFormat="1" applyFont="1" applyFill="1" applyBorder="1" applyAlignment="1">
      <alignment horizontal="center" vertical="top" wrapText="1"/>
    </xf>
    <xf numFmtId="49" fontId="11" fillId="2" borderId="20" xfId="0" applyNumberFormat="1" applyFont="1" applyFill="1" applyBorder="1" applyAlignment="1">
      <alignment horizontal="center"/>
    </xf>
    <xf numFmtId="0" fontId="11" fillId="2" borderId="21" xfId="0" applyNumberFormat="1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/>
    </xf>
    <xf numFmtId="166" fontId="4" fillId="17" borderId="23" xfId="0" applyNumberFormat="1" applyFont="1" applyFill="1" applyBorder="1" applyAlignment="1">
      <alignment horizontal="center" wrapText="1"/>
    </xf>
    <xf numFmtId="166" fontId="4" fillId="17" borderId="15" xfId="0" applyNumberFormat="1" applyFont="1" applyFill="1" applyBorder="1" applyAlignment="1">
      <alignment horizontal="center" wrapText="1"/>
    </xf>
    <xf numFmtId="49" fontId="18" fillId="12" borderId="23" xfId="0" applyNumberFormat="1" applyFont="1" applyFill="1" applyBorder="1" applyAlignment="1">
      <alignment horizontal="center" vertical="top" wrapText="1"/>
    </xf>
    <xf numFmtId="49" fontId="18" fillId="12" borderId="15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Border="1" applyAlignment="1"/>
    <xf numFmtId="166" fontId="3" fillId="2" borderId="26" xfId="0" applyNumberFormat="1" applyFont="1" applyFill="1" applyBorder="1" applyAlignment="1"/>
    <xf numFmtId="165" fontId="0" fillId="0" borderId="4" xfId="0" applyNumberFormat="1" applyFont="1" applyBorder="1" applyAlignment="1"/>
    <xf numFmtId="3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333373</xdr:colOff>
      <xdr:row>0</xdr:row>
      <xdr:rowOff>23816</xdr:rowOff>
    </xdr:from>
    <xdr:to>
      <xdr:col>12</xdr:col>
      <xdr:colOff>35719</xdr:colOff>
      <xdr:row>24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3" y="23816"/>
          <a:ext cx="7703346" cy="3976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14</xdr:col>
      <xdr:colOff>11906</xdr:colOff>
      <xdr:row>24</xdr:row>
      <xdr:rowOff>11906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0"/>
          <a:ext cx="9298782" cy="4012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59530</xdr:rowOff>
    </xdr:from>
    <xdr:to>
      <xdr:col>16</xdr:col>
      <xdr:colOff>11906</xdr:colOff>
      <xdr:row>22</xdr:row>
      <xdr:rowOff>23812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59530"/>
          <a:ext cx="9536908" cy="4155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5"/>
  <sheetViews>
    <sheetView showGridLines="0" tabSelected="1" view="pageBreakPreview" zoomScaleNormal="160" zoomScaleSheetLayoutView="100" workbookViewId="0">
      <pane ySplit="2" topLeftCell="A3" activePane="bottomLeft" state="frozen"/>
      <selection pane="bottomLeft" activeCell="A3" sqref="A3:C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18" customWidth="1"/>
    <col min="12" max="12" width="19.7109375" style="1" customWidth="1"/>
    <col min="13" max="13" width="17.7109375" style="171" customWidth="1"/>
    <col min="14" max="14" width="22.42578125" style="1" customWidth="1"/>
    <col min="15" max="15" width="19.42578125" style="1" customWidth="1"/>
    <col min="16" max="16" width="20.42578125" style="18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hidden="1" customWidth="1"/>
    <col min="22" max="22" width="12.140625" style="1" hidden="1" customWidth="1"/>
    <col min="23" max="23" width="15.42578125" style="1" hidden="1" customWidth="1"/>
    <col min="24" max="24" width="16.7109375" style="1" hidden="1" customWidth="1"/>
    <col min="25" max="25" width="15" style="1" customWidth="1"/>
    <col min="26" max="26" width="14.42578125" style="1" customWidth="1"/>
    <col min="27" max="27" width="14.28515625" style="1" customWidth="1"/>
    <col min="28" max="28" width="20.140625" style="18" customWidth="1"/>
    <col min="29" max="29" width="18.140625" style="18" customWidth="1"/>
    <col min="30" max="30" width="19" style="18" customWidth="1"/>
    <col min="31" max="31" width="21.85546875" style="1" customWidth="1"/>
    <col min="32" max="256" width="8.85546875" style="1" customWidth="1"/>
  </cols>
  <sheetData>
    <row r="1" spans="1:256" ht="39" customHeight="1" x14ac:dyDescent="0.7">
      <c r="A1" s="204" t="s">
        <v>216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6"/>
      <c r="AF1" s="211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ht="54" customHeight="1" x14ac:dyDescent="0.25">
      <c r="A2" s="106" t="s">
        <v>194</v>
      </c>
      <c r="B2" s="100" t="s">
        <v>0</v>
      </c>
      <c r="C2" s="100" t="s">
        <v>1</v>
      </c>
      <c r="D2" s="100" t="s">
        <v>2</v>
      </c>
      <c r="E2" s="100" t="s">
        <v>3</v>
      </c>
      <c r="F2" s="100" t="s">
        <v>4</v>
      </c>
      <c r="G2" s="100" t="s">
        <v>5</v>
      </c>
      <c r="H2" s="100" t="s">
        <v>6</v>
      </c>
      <c r="I2" s="100" t="s">
        <v>7</v>
      </c>
      <c r="J2" s="100" t="s">
        <v>8</v>
      </c>
      <c r="K2" s="100" t="s">
        <v>166</v>
      </c>
      <c r="L2" s="100" t="s">
        <v>9</v>
      </c>
      <c r="M2" s="163" t="s">
        <v>10</v>
      </c>
      <c r="N2" s="100" t="s">
        <v>11</v>
      </c>
      <c r="O2" s="100" t="s">
        <v>12</v>
      </c>
      <c r="P2" s="100" t="s">
        <v>217</v>
      </c>
      <c r="Q2" s="100" t="s">
        <v>13</v>
      </c>
      <c r="R2" s="100" t="s">
        <v>204</v>
      </c>
      <c r="S2" s="100" t="s">
        <v>13</v>
      </c>
      <c r="T2" s="100" t="s">
        <v>14</v>
      </c>
      <c r="U2" s="100" t="s">
        <v>15</v>
      </c>
      <c r="V2" s="100" t="s">
        <v>16</v>
      </c>
      <c r="W2" s="100" t="s">
        <v>17</v>
      </c>
      <c r="X2" s="100" t="s">
        <v>18</v>
      </c>
      <c r="Y2" s="100" t="s">
        <v>19</v>
      </c>
      <c r="Z2" s="100" t="s">
        <v>20</v>
      </c>
      <c r="AA2" s="100" t="s">
        <v>21</v>
      </c>
      <c r="AB2" s="100" t="s">
        <v>207</v>
      </c>
      <c r="AC2" s="100" t="s">
        <v>209</v>
      </c>
      <c r="AD2" s="100" t="s">
        <v>210</v>
      </c>
      <c r="AE2" s="107" t="s">
        <v>206</v>
      </c>
      <c r="AF2" s="5"/>
      <c r="AG2" s="5"/>
      <c r="AH2" s="5"/>
      <c r="AI2" s="5"/>
      <c r="AJ2" s="6"/>
      <c r="AK2" s="4"/>
      <c r="AL2" s="5"/>
      <c r="AM2" s="5"/>
      <c r="AN2" s="5"/>
      <c r="AO2" s="6"/>
      <c r="AP2" s="4"/>
      <c r="AQ2" s="5"/>
      <c r="AR2" s="5"/>
      <c r="AS2" s="5"/>
      <c r="AT2" s="6"/>
    </row>
    <row r="3" spans="1:256" ht="18" customHeight="1" x14ac:dyDescent="0.25">
      <c r="A3" s="203" t="s">
        <v>22</v>
      </c>
      <c r="B3" s="201"/>
      <c r="C3" s="201"/>
      <c r="D3" s="101"/>
      <c r="E3" s="101"/>
      <c r="F3" s="101"/>
      <c r="G3" s="101"/>
      <c r="H3" s="101"/>
      <c r="I3" s="101"/>
      <c r="J3" s="101"/>
      <c r="K3" s="101"/>
      <c r="L3" s="101"/>
      <c r="M3" s="164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8"/>
      <c r="AF3" s="5"/>
      <c r="AG3" s="5"/>
      <c r="AH3" s="5"/>
      <c r="AI3" s="5"/>
      <c r="AJ3" s="6"/>
      <c r="AK3" s="4"/>
      <c r="AL3" s="5"/>
      <c r="AM3" s="5"/>
      <c r="AN3" s="5"/>
      <c r="AO3" s="6"/>
      <c r="AP3" s="4"/>
      <c r="AQ3" s="5"/>
      <c r="AR3" s="5"/>
      <c r="AS3" s="5"/>
      <c r="AT3" s="6"/>
    </row>
    <row r="4" spans="1:256" ht="18" customHeight="1" x14ac:dyDescent="0.3">
      <c r="A4" s="172">
        <v>1</v>
      </c>
      <c r="B4" s="58" t="s">
        <v>23</v>
      </c>
      <c r="C4" s="58" t="s">
        <v>24</v>
      </c>
      <c r="D4" s="52">
        <v>5291402730.3999996</v>
      </c>
      <c r="E4" s="74"/>
      <c r="F4" s="53">
        <v>1885978038.3599999</v>
      </c>
      <c r="G4" s="53">
        <v>61103697.359999999</v>
      </c>
      <c r="H4" s="53"/>
      <c r="I4" s="53"/>
      <c r="J4" s="54">
        <v>7345220006.3900003</v>
      </c>
      <c r="K4" s="74">
        <v>115579310.02</v>
      </c>
      <c r="L4" s="54">
        <v>21290246.84</v>
      </c>
      <c r="M4" s="152">
        <v>408910046.32999998</v>
      </c>
      <c r="N4" s="21">
        <v>7419680205.8299999</v>
      </c>
      <c r="O4" s="21">
        <v>22995530.949999999</v>
      </c>
      <c r="P4" s="22">
        <v>6956610986.2299995</v>
      </c>
      <c r="Q4" s="23">
        <f t="shared" ref="Q4:Q19" si="0">(P4/$P$20)</f>
        <v>0.44961602384425747</v>
      </c>
      <c r="R4" s="22">
        <v>7396684674.8800001</v>
      </c>
      <c r="S4" s="23">
        <f t="shared" ref="S4:S19" si="1">(R4/$R$20)</f>
        <v>0.44866007920061829</v>
      </c>
      <c r="T4" s="24">
        <f t="shared" ref="T4:T17" si="2">((R4-P4)/P4)</f>
        <v>6.3259781166589271E-2</v>
      </c>
      <c r="U4" s="59">
        <f t="shared" ref="U4:U16" si="3">(L4/R4)</f>
        <v>2.8783499332213189E-3</v>
      </c>
      <c r="V4" s="25">
        <f t="shared" ref="V4:V18" si="4">M4/R4</f>
        <v>5.5282882034799453E-2</v>
      </c>
      <c r="W4" s="26">
        <f t="shared" ref="W4:W18" si="5">R4/AE4</f>
        <v>12258.880397599105</v>
      </c>
      <c r="X4" s="26">
        <f t="shared" ref="X4:X18" si="6">M4/AE4</f>
        <v>677.7062388991867</v>
      </c>
      <c r="Y4" s="53">
        <v>12148.57</v>
      </c>
      <c r="Z4" s="53">
        <v>12320.02</v>
      </c>
      <c r="AA4" s="149">
        <v>17150</v>
      </c>
      <c r="AB4" s="53">
        <v>602754.4</v>
      </c>
      <c r="AC4" s="53">
        <v>2320.79</v>
      </c>
      <c r="AD4" s="53">
        <v>1701.6</v>
      </c>
      <c r="AE4" s="150">
        <f>(AB4+AC4)-AD4</f>
        <v>603373.59000000008</v>
      </c>
      <c r="AF4" s="5"/>
      <c r="AG4" s="5"/>
      <c r="AH4" s="5"/>
      <c r="AI4" s="5"/>
      <c r="AJ4" s="6"/>
      <c r="AK4" s="4"/>
      <c r="AL4" s="5"/>
      <c r="AM4" s="5"/>
      <c r="AN4" s="5"/>
      <c r="AO4" s="6"/>
      <c r="AP4" s="4"/>
      <c r="AQ4" s="5"/>
      <c r="AR4" s="5"/>
      <c r="AS4" s="5"/>
      <c r="AT4" s="6"/>
    </row>
    <row r="5" spans="1:256" ht="18" customHeight="1" x14ac:dyDescent="0.3">
      <c r="A5" s="172">
        <v>2</v>
      </c>
      <c r="B5" s="57" t="s">
        <v>25</v>
      </c>
      <c r="C5" s="58" t="s">
        <v>26</v>
      </c>
      <c r="D5" s="52">
        <v>759947764.35000002</v>
      </c>
      <c r="E5" s="74"/>
      <c r="F5" s="53">
        <v>65582213.149999999</v>
      </c>
      <c r="G5" s="53"/>
      <c r="H5" s="53"/>
      <c r="I5" s="53"/>
      <c r="J5" s="54">
        <v>942917095</v>
      </c>
      <c r="K5" s="156">
        <v>14455287.060000001</v>
      </c>
      <c r="L5" s="54">
        <v>1330525.8</v>
      </c>
      <c r="M5" s="152">
        <v>13124761.26</v>
      </c>
      <c r="N5" s="21">
        <v>942917095</v>
      </c>
      <c r="O5" s="21">
        <v>1721689.2</v>
      </c>
      <c r="P5" s="22">
        <v>881655182.58000004</v>
      </c>
      <c r="Q5" s="23">
        <f t="shared" si="0"/>
        <v>5.6982674232892126E-2</v>
      </c>
      <c r="R5" s="22">
        <v>941195405.79999995</v>
      </c>
      <c r="S5" s="23">
        <f t="shared" si="1"/>
        <v>5.7090010439891682E-2</v>
      </c>
      <c r="T5" s="24">
        <f t="shared" si="2"/>
        <v>6.753232374335566E-2</v>
      </c>
      <c r="U5" s="59">
        <f t="shared" si="3"/>
        <v>1.4136552216477045E-3</v>
      </c>
      <c r="V5" s="25">
        <f t="shared" si="4"/>
        <v>1.3944778288461978E-2</v>
      </c>
      <c r="W5" s="26">
        <f t="shared" si="5"/>
        <v>1.9172219412170608</v>
      </c>
      <c r="X5" s="26">
        <f t="shared" si="6"/>
        <v>2.6735234900046596E-2</v>
      </c>
      <c r="Y5" s="53">
        <v>1.89</v>
      </c>
      <c r="Z5" s="53">
        <v>1.93</v>
      </c>
      <c r="AA5" s="155">
        <v>3688</v>
      </c>
      <c r="AB5" s="155">
        <v>490883608</v>
      </c>
      <c r="AC5" s="155">
        <v>32642</v>
      </c>
      <c r="AD5" s="155">
        <v>0</v>
      </c>
      <c r="AE5" s="150">
        <v>490916250</v>
      </c>
      <c r="AF5" s="5"/>
      <c r="AG5" s="5"/>
      <c r="AH5" s="5"/>
      <c r="AI5" s="5"/>
      <c r="AJ5" s="6"/>
      <c r="AK5" s="4"/>
      <c r="AL5" s="5"/>
      <c r="AM5" s="5"/>
      <c r="AN5" s="5"/>
      <c r="AO5" s="6"/>
      <c r="AP5" s="4"/>
      <c r="AQ5" s="5"/>
      <c r="AR5" s="5"/>
      <c r="AS5" s="5"/>
      <c r="AT5" s="6"/>
    </row>
    <row r="6" spans="1:256" ht="18" customHeight="1" x14ac:dyDescent="0.3">
      <c r="A6" s="172">
        <v>3</v>
      </c>
      <c r="B6" s="57" t="s">
        <v>27</v>
      </c>
      <c r="C6" s="58" t="s">
        <v>28</v>
      </c>
      <c r="D6" s="52">
        <v>143556512.90000001</v>
      </c>
      <c r="E6" s="74"/>
      <c r="F6" s="53">
        <v>128394819.40000001</v>
      </c>
      <c r="G6" s="53"/>
      <c r="H6" s="53"/>
      <c r="I6" s="53"/>
      <c r="J6" s="54">
        <v>271951332.30000001</v>
      </c>
      <c r="K6" s="54">
        <v>7822130.6299999999</v>
      </c>
      <c r="L6" s="54">
        <v>695639.05</v>
      </c>
      <c r="M6" s="152">
        <v>7125491.5800000001</v>
      </c>
      <c r="N6" s="21">
        <v>2779800687.1700001</v>
      </c>
      <c r="O6" s="21">
        <v>8567955.7100000009</v>
      </c>
      <c r="P6" s="22">
        <v>252978620.87</v>
      </c>
      <c r="Q6" s="23">
        <f t="shared" si="0"/>
        <v>1.6350381221304174E-2</v>
      </c>
      <c r="R6" s="22">
        <v>269412731.45999998</v>
      </c>
      <c r="S6" s="23">
        <f t="shared" si="1"/>
        <v>1.6341745355862355E-2</v>
      </c>
      <c r="T6" s="24">
        <f t="shared" si="2"/>
        <v>6.4962448342403972E-2</v>
      </c>
      <c r="U6" s="59">
        <f t="shared" si="3"/>
        <v>2.5820570773704599E-3</v>
      </c>
      <c r="V6" s="25">
        <f t="shared" si="4"/>
        <v>2.6448236285588938E-2</v>
      </c>
      <c r="W6" s="26">
        <f t="shared" si="5"/>
        <v>135.35498682687438</v>
      </c>
      <c r="X6" s="26">
        <f t="shared" si="6"/>
        <v>3.5799006740299517</v>
      </c>
      <c r="Y6" s="53">
        <v>135.35</v>
      </c>
      <c r="Z6" s="53">
        <v>135.35</v>
      </c>
      <c r="AA6" s="149">
        <v>2470</v>
      </c>
      <c r="AB6" s="149">
        <v>1990416</v>
      </c>
      <c r="AC6" s="149">
        <v>0</v>
      </c>
      <c r="AD6" s="149">
        <v>0</v>
      </c>
      <c r="AE6" s="195">
        <v>1990416</v>
      </c>
      <c r="AF6" s="5"/>
      <c r="AG6" s="5"/>
      <c r="AH6" s="5"/>
      <c r="AI6" s="5"/>
      <c r="AJ6" s="6"/>
      <c r="AK6" s="4"/>
      <c r="AL6" s="5"/>
      <c r="AM6" s="5"/>
      <c r="AN6" s="5"/>
      <c r="AO6" s="6"/>
      <c r="AP6" s="4"/>
      <c r="AQ6" s="5"/>
      <c r="AR6" s="5"/>
      <c r="AS6" s="5"/>
      <c r="AT6" s="6"/>
    </row>
    <row r="7" spans="1:256" s="64" customFormat="1" ht="18" customHeight="1" x14ac:dyDescent="0.3">
      <c r="A7" s="172">
        <v>4</v>
      </c>
      <c r="B7" s="58" t="s">
        <v>29</v>
      </c>
      <c r="C7" s="58" t="s">
        <v>30</v>
      </c>
      <c r="D7" s="52">
        <v>616746780.89999998</v>
      </c>
      <c r="E7" s="74"/>
      <c r="F7" s="53">
        <v>59085697.079999998</v>
      </c>
      <c r="G7" s="53">
        <v>10626933.800000001</v>
      </c>
      <c r="H7" s="53"/>
      <c r="I7" s="53"/>
      <c r="J7" s="54">
        <v>708507856.28999996</v>
      </c>
      <c r="K7" s="54">
        <v>17314651.359999999</v>
      </c>
      <c r="L7" s="54">
        <v>1116158.74</v>
      </c>
      <c r="M7" s="152">
        <v>16198492.619999999</v>
      </c>
      <c r="N7" s="21">
        <v>708507856.28999996</v>
      </c>
      <c r="O7" s="21">
        <v>1458696.66</v>
      </c>
      <c r="P7" s="22">
        <v>634462490.58000004</v>
      </c>
      <c r="Q7" s="23">
        <f t="shared" si="0"/>
        <v>4.1006246124378712E-2</v>
      </c>
      <c r="R7" s="22">
        <v>707049159.63</v>
      </c>
      <c r="S7" s="23">
        <f t="shared" si="1"/>
        <v>4.2887421311288067E-2</v>
      </c>
      <c r="T7" s="71">
        <f t="shared" si="2"/>
        <v>0.11440655693237932</v>
      </c>
      <c r="U7" s="59">
        <f t="shared" si="3"/>
        <v>1.5786154679599475E-3</v>
      </c>
      <c r="V7" s="72">
        <f t="shared" si="4"/>
        <v>2.2909994870055E-2</v>
      </c>
      <c r="W7" s="73">
        <f t="shared" si="5"/>
        <v>20.284784826944783</v>
      </c>
      <c r="X7" s="73">
        <f t="shared" si="6"/>
        <v>0.46472431632547445</v>
      </c>
      <c r="Y7" s="53">
        <v>19.989999999999998</v>
      </c>
      <c r="Z7" s="53">
        <v>20.37</v>
      </c>
      <c r="AA7" s="149">
        <v>8761</v>
      </c>
      <c r="AB7" s="149">
        <v>34856133.090000004</v>
      </c>
      <c r="AC7" s="149">
        <v>0</v>
      </c>
      <c r="AD7" s="149">
        <v>0</v>
      </c>
      <c r="AE7" s="150">
        <f>(AB7+AC7)-AD7</f>
        <v>34856133.090000004</v>
      </c>
      <c r="AF7" s="135"/>
      <c r="AG7" s="135"/>
      <c r="AH7" s="135"/>
      <c r="AI7" s="135"/>
      <c r="AJ7" s="136"/>
      <c r="AK7" s="134"/>
      <c r="AL7" s="135"/>
      <c r="AM7" s="135"/>
      <c r="AN7" s="135"/>
      <c r="AO7" s="136"/>
      <c r="AP7" s="134"/>
      <c r="AQ7" s="135"/>
      <c r="AR7" s="135"/>
      <c r="AS7" s="135"/>
      <c r="AT7" s="136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</row>
    <row r="8" spans="1:256" s="64" customFormat="1" ht="16.5" customHeight="1" x14ac:dyDescent="0.3">
      <c r="A8" s="172">
        <v>5</v>
      </c>
      <c r="B8" s="58" t="s">
        <v>31</v>
      </c>
      <c r="C8" s="58" t="s">
        <v>32</v>
      </c>
      <c r="D8" s="52">
        <v>363122303.56</v>
      </c>
      <c r="E8" s="74"/>
      <c r="F8" s="53">
        <v>46047260.270000003</v>
      </c>
      <c r="G8" s="53"/>
      <c r="H8" s="53"/>
      <c r="I8" s="53"/>
      <c r="J8" s="54">
        <v>409169563.82999998</v>
      </c>
      <c r="K8" s="54">
        <v>7604954.6100000003</v>
      </c>
      <c r="L8" s="54">
        <v>782243.41</v>
      </c>
      <c r="M8" s="152">
        <v>6822979.9500000002</v>
      </c>
      <c r="N8" s="21">
        <v>418119570</v>
      </c>
      <c r="O8" s="21">
        <v>8438118.3100000005</v>
      </c>
      <c r="P8" s="22">
        <v>372076349.05000001</v>
      </c>
      <c r="Q8" s="23">
        <f t="shared" si="0"/>
        <v>2.4047842973753727E-2</v>
      </c>
      <c r="R8" s="22">
        <v>409681451.69</v>
      </c>
      <c r="S8" s="23">
        <f t="shared" si="1"/>
        <v>2.485001330210709E-2</v>
      </c>
      <c r="T8" s="71">
        <f t="shared" si="2"/>
        <v>0.10106824240781445</v>
      </c>
      <c r="U8" s="59">
        <f t="shared" si="3"/>
        <v>1.9093942544216335E-3</v>
      </c>
      <c r="V8" s="72">
        <f t="shared" si="4"/>
        <v>1.6654354064247093E-2</v>
      </c>
      <c r="W8" s="73">
        <f t="shared" si="5"/>
        <v>193.42861429843168</v>
      </c>
      <c r="X8" s="73">
        <f t="shared" si="6"/>
        <v>3.2214286286827689</v>
      </c>
      <c r="Y8" s="53">
        <v>193.6114</v>
      </c>
      <c r="Z8" s="53">
        <v>197.5992</v>
      </c>
      <c r="AA8" s="149">
        <v>1798</v>
      </c>
      <c r="AB8" s="53">
        <v>2115704.19</v>
      </c>
      <c r="AC8" s="53">
        <v>13893.983</v>
      </c>
      <c r="AD8" s="53">
        <v>11600</v>
      </c>
      <c r="AE8" s="150">
        <f>(AB8+AC8)-AD8</f>
        <v>2117998.173</v>
      </c>
      <c r="AF8" s="135"/>
      <c r="AG8" s="135"/>
      <c r="AH8" s="135"/>
      <c r="AI8" s="135"/>
      <c r="AJ8" s="136"/>
      <c r="AK8" s="134"/>
      <c r="AL8" s="135"/>
      <c r="AM8" s="135"/>
      <c r="AN8" s="135"/>
      <c r="AO8" s="136"/>
      <c r="AP8" s="134"/>
      <c r="AQ8" s="135"/>
      <c r="AR8" s="135"/>
      <c r="AS8" s="135"/>
      <c r="AT8" s="136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</row>
    <row r="9" spans="1:256" ht="18" customHeight="1" x14ac:dyDescent="0.3">
      <c r="A9" s="173">
        <v>6</v>
      </c>
      <c r="B9" s="186" t="s">
        <v>33</v>
      </c>
      <c r="C9" s="186" t="s">
        <v>34</v>
      </c>
      <c r="D9" s="183">
        <v>1366796883</v>
      </c>
      <c r="E9" s="74"/>
      <c r="F9" s="53">
        <v>9483303</v>
      </c>
      <c r="G9" s="53"/>
      <c r="H9" s="53"/>
      <c r="I9" s="53"/>
      <c r="J9" s="183">
        <v>1376280186</v>
      </c>
      <c r="K9" s="74">
        <v>5924439</v>
      </c>
      <c r="L9" s="183">
        <v>3128802</v>
      </c>
      <c r="M9" s="152">
        <v>94555828</v>
      </c>
      <c r="N9" s="183">
        <v>1931933202</v>
      </c>
      <c r="O9" s="184">
        <v>51209600.530000001</v>
      </c>
      <c r="P9" s="22">
        <v>1803125429</v>
      </c>
      <c r="Q9" s="23">
        <f t="shared" si="0"/>
        <v>0.11653865473923845</v>
      </c>
      <c r="R9" s="22">
        <v>1880723602</v>
      </c>
      <c r="S9" s="23">
        <f t="shared" si="1"/>
        <v>0.11407889308752796</v>
      </c>
      <c r="T9" s="24">
        <f t="shared" si="2"/>
        <v>4.3035371667424917E-2</v>
      </c>
      <c r="U9" s="59">
        <f t="shared" si="3"/>
        <v>1.6636160660039401E-3</v>
      </c>
      <c r="V9" s="25">
        <f t="shared" si="4"/>
        <v>5.0276302110234268E-2</v>
      </c>
      <c r="W9" s="26">
        <f t="shared" si="5"/>
        <v>1.0187587848560651</v>
      </c>
      <c r="X9" s="26">
        <f t="shared" si="6"/>
        <v>5.1219424444878682E-2</v>
      </c>
      <c r="Y9" s="53">
        <v>1.02</v>
      </c>
      <c r="Z9" s="53">
        <v>1.04</v>
      </c>
      <c r="AA9" s="149">
        <v>2722</v>
      </c>
      <c r="AB9" s="149">
        <v>1854489416</v>
      </c>
      <c r="AC9" s="149">
        <v>344792</v>
      </c>
      <c r="AD9" s="149">
        <v>8741070</v>
      </c>
      <c r="AE9" s="150">
        <f>(AB9+AC9)-AD9</f>
        <v>1846093138</v>
      </c>
      <c r="AF9" s="5"/>
      <c r="AG9" s="5"/>
      <c r="AH9" s="5"/>
      <c r="AI9" s="5"/>
      <c r="AJ9" s="6"/>
      <c r="AK9" s="4"/>
      <c r="AL9" s="5"/>
      <c r="AM9" s="5"/>
      <c r="AN9" s="5"/>
      <c r="AO9" s="6"/>
      <c r="AP9" s="4"/>
      <c r="AQ9" s="5"/>
      <c r="AR9" s="5"/>
      <c r="AS9" s="5"/>
      <c r="AT9" s="6"/>
    </row>
    <row r="10" spans="1:256" ht="18" customHeight="1" x14ac:dyDescent="0.3">
      <c r="A10" s="172">
        <v>7</v>
      </c>
      <c r="B10" s="57" t="s">
        <v>35</v>
      </c>
      <c r="C10" s="58" t="s">
        <v>36</v>
      </c>
      <c r="D10" s="52">
        <v>2064450543.3099999</v>
      </c>
      <c r="E10" s="74"/>
      <c r="F10" s="53"/>
      <c r="G10" s="53">
        <v>87839649.670000002</v>
      </c>
      <c r="H10" s="53">
        <v>1374072.7</v>
      </c>
      <c r="I10" s="53"/>
      <c r="J10" s="54">
        <v>2152290192.98</v>
      </c>
      <c r="K10" s="54">
        <v>24815553.07</v>
      </c>
      <c r="L10" s="54">
        <v>5908644.9400000004</v>
      </c>
      <c r="M10" s="152">
        <v>110487929.28</v>
      </c>
      <c r="N10" s="21">
        <v>2498904004</v>
      </c>
      <c r="O10" s="21">
        <v>74198766</v>
      </c>
      <c r="P10" s="22">
        <v>2322042302</v>
      </c>
      <c r="Q10" s="23">
        <f t="shared" si="0"/>
        <v>0.1500770172559551</v>
      </c>
      <c r="R10" s="22">
        <v>2424705238</v>
      </c>
      <c r="S10" s="23">
        <f t="shared" si="1"/>
        <v>0.14707514135539149</v>
      </c>
      <c r="T10" s="24">
        <f t="shared" si="2"/>
        <v>4.4212345275353213E-2</v>
      </c>
      <c r="U10" s="59">
        <f t="shared" si="3"/>
        <v>2.4368508169156683E-3</v>
      </c>
      <c r="V10" s="25">
        <f t="shared" si="4"/>
        <v>4.5567571492168321E-2</v>
      </c>
      <c r="W10" s="26">
        <f t="shared" si="5"/>
        <v>22.091398863130436</v>
      </c>
      <c r="X10" s="26">
        <f t="shared" si="6"/>
        <v>1.006651397057702</v>
      </c>
      <c r="Y10" s="53">
        <v>21.980899999999998</v>
      </c>
      <c r="Z10" s="53">
        <v>22.643699999999999</v>
      </c>
      <c r="AA10" s="149">
        <v>714</v>
      </c>
      <c r="AB10" s="149">
        <v>110161623</v>
      </c>
      <c r="AC10" s="149">
        <v>298465</v>
      </c>
      <c r="AD10" s="149">
        <v>702202</v>
      </c>
      <c r="AE10" s="150">
        <v>109757886</v>
      </c>
      <c r="AF10" s="5"/>
      <c r="AG10" s="5"/>
      <c r="AH10" s="5"/>
      <c r="AI10" s="5"/>
      <c r="AJ10" s="6"/>
      <c r="AK10" s="4"/>
      <c r="AL10" s="5"/>
      <c r="AM10" s="5"/>
      <c r="AN10" s="5"/>
      <c r="AO10" s="6"/>
      <c r="AP10" s="4"/>
      <c r="AQ10" s="5"/>
      <c r="AR10" s="5"/>
      <c r="AS10" s="5"/>
      <c r="AT10" s="6"/>
    </row>
    <row r="11" spans="1:256" ht="15" customHeight="1" x14ac:dyDescent="0.3">
      <c r="A11" s="172">
        <v>8</v>
      </c>
      <c r="B11" s="58" t="s">
        <v>37</v>
      </c>
      <c r="C11" s="58" t="s">
        <v>38</v>
      </c>
      <c r="D11" s="52">
        <v>307984400.42000002</v>
      </c>
      <c r="E11" s="52"/>
      <c r="F11" s="53">
        <v>88631583.150000006</v>
      </c>
      <c r="G11" s="53"/>
      <c r="H11" s="53"/>
      <c r="I11" s="53"/>
      <c r="J11" s="54">
        <v>407748772.77999997</v>
      </c>
      <c r="K11" s="54">
        <v>901641.4</v>
      </c>
      <c r="L11" s="54">
        <v>690038.82</v>
      </c>
      <c r="M11" s="152">
        <v>18475693.920000002</v>
      </c>
      <c r="N11" s="21">
        <v>411595551.25999999</v>
      </c>
      <c r="O11" s="21">
        <v>3846778.47</v>
      </c>
      <c r="P11" s="22">
        <v>372413975.16000003</v>
      </c>
      <c r="Q11" s="23">
        <f t="shared" si="0"/>
        <v>2.4069664246989312E-2</v>
      </c>
      <c r="R11" s="22">
        <v>407748772.77999997</v>
      </c>
      <c r="S11" s="23">
        <f t="shared" si="1"/>
        <v>2.4732782960279108E-2</v>
      </c>
      <c r="T11" s="24">
        <f t="shared" si="2"/>
        <v>9.4880428707915895E-2</v>
      </c>
      <c r="U11" s="59">
        <f t="shared" si="3"/>
        <v>1.6923136648465378E-3</v>
      </c>
      <c r="V11" s="25">
        <f t="shared" si="4"/>
        <v>4.5311464198982458E-2</v>
      </c>
      <c r="W11" s="26">
        <f t="shared" si="5"/>
        <v>167.81739304618603</v>
      </c>
      <c r="X11" s="26">
        <f t="shared" si="6"/>
        <v>7.6040517969788262</v>
      </c>
      <c r="Y11" s="53">
        <v>167.82</v>
      </c>
      <c r="Z11" s="53">
        <v>170.05</v>
      </c>
      <c r="AA11" s="149">
        <v>1445</v>
      </c>
      <c r="AB11" s="149">
        <v>2433412</v>
      </c>
      <c r="AC11" s="149">
        <v>11394</v>
      </c>
      <c r="AD11" s="149">
        <v>15089</v>
      </c>
      <c r="AE11" s="150">
        <v>2429717</v>
      </c>
      <c r="AF11" s="5"/>
      <c r="AG11" s="5"/>
      <c r="AH11" s="5"/>
      <c r="AI11" s="5"/>
      <c r="AJ11" s="6"/>
      <c r="AK11" s="4"/>
      <c r="AL11" s="5"/>
      <c r="AM11" s="5"/>
      <c r="AN11" s="5"/>
      <c r="AO11" s="6"/>
      <c r="AP11" s="4"/>
      <c r="AQ11" s="5"/>
      <c r="AR11" s="5"/>
      <c r="AS11" s="5"/>
      <c r="AT11" s="6"/>
    </row>
    <row r="12" spans="1:256" ht="16.5" customHeight="1" x14ac:dyDescent="0.3">
      <c r="A12" s="173">
        <v>9</v>
      </c>
      <c r="B12" s="58" t="s">
        <v>39</v>
      </c>
      <c r="C12" s="58" t="s">
        <v>40</v>
      </c>
      <c r="D12" s="185">
        <v>229270402.80000001</v>
      </c>
      <c r="E12" s="52"/>
      <c r="F12" s="53">
        <v>38912928.420000002</v>
      </c>
      <c r="G12" s="53"/>
      <c r="H12" s="53"/>
      <c r="I12" s="53"/>
      <c r="J12" s="54">
        <v>268183331.22</v>
      </c>
      <c r="K12" s="54">
        <v>7942653.96</v>
      </c>
      <c r="L12" s="54">
        <v>500698.18</v>
      </c>
      <c r="M12" s="152">
        <v>25093021.030000001</v>
      </c>
      <c r="N12" s="21">
        <v>288226334.04000002</v>
      </c>
      <c r="O12" s="21">
        <v>1826898.32</v>
      </c>
      <c r="P12" s="22">
        <v>250466534.05000001</v>
      </c>
      <c r="Q12" s="23">
        <f t="shared" si="0"/>
        <v>1.6188021346676188E-2</v>
      </c>
      <c r="R12" s="22">
        <v>286399435.72000003</v>
      </c>
      <c r="S12" s="23">
        <f t="shared" si="1"/>
        <v>1.7372106445139524E-2</v>
      </c>
      <c r="T12" s="24">
        <f t="shared" si="2"/>
        <v>0.14346388353354553</v>
      </c>
      <c r="U12" s="59">
        <f t="shared" si="3"/>
        <v>1.748251279690056E-3</v>
      </c>
      <c r="V12" s="25">
        <f t="shared" si="4"/>
        <v>8.7615469516959282E-2</v>
      </c>
      <c r="W12" s="26">
        <f t="shared" si="5"/>
        <v>13.348364409871357</v>
      </c>
      <c r="X12" s="26">
        <f t="shared" si="6"/>
        <v>1.169523215054348</v>
      </c>
      <c r="Y12" s="53">
        <v>13.78</v>
      </c>
      <c r="Z12" s="53">
        <v>13.85</v>
      </c>
      <c r="AA12" s="27">
        <v>161</v>
      </c>
      <c r="AB12" s="27">
        <v>20566819.43</v>
      </c>
      <c r="AC12" s="20">
        <v>990564.56</v>
      </c>
      <c r="AD12" s="20">
        <v>101614.06</v>
      </c>
      <c r="AE12" s="150">
        <v>21455769.93</v>
      </c>
      <c r="AF12" s="5"/>
      <c r="AG12" s="5"/>
      <c r="AH12" s="5"/>
      <c r="AI12" s="5"/>
      <c r="AJ12" s="6"/>
      <c r="AK12" s="4"/>
      <c r="AL12" s="5"/>
      <c r="AM12" s="5"/>
      <c r="AN12" s="5"/>
      <c r="AO12" s="6"/>
      <c r="AP12" s="4"/>
      <c r="AQ12" s="5"/>
      <c r="AR12" s="5"/>
      <c r="AS12" s="5"/>
      <c r="AT12" s="6"/>
    </row>
    <row r="13" spans="1:256" ht="16.5" customHeight="1" x14ac:dyDescent="0.3">
      <c r="A13" s="172">
        <v>10</v>
      </c>
      <c r="B13" s="58" t="s">
        <v>23</v>
      </c>
      <c r="C13" s="57" t="s">
        <v>41</v>
      </c>
      <c r="D13" s="52">
        <v>283099623.05000001</v>
      </c>
      <c r="E13" s="52"/>
      <c r="F13" s="53">
        <v>86125202.200000003</v>
      </c>
      <c r="G13" s="53"/>
      <c r="H13" s="53"/>
      <c r="I13" s="53"/>
      <c r="J13" s="54">
        <v>376253636.39999998</v>
      </c>
      <c r="K13" s="74">
        <v>6635199.9199999999</v>
      </c>
      <c r="L13" s="54">
        <v>2338153.7000000002</v>
      </c>
      <c r="M13" s="152">
        <v>29503049.989999998</v>
      </c>
      <c r="N13" s="21">
        <v>379818094.79000002</v>
      </c>
      <c r="O13" s="21">
        <v>7616789.7599999998</v>
      </c>
      <c r="P13" s="22">
        <v>344292010.95999998</v>
      </c>
      <c r="Q13" s="23">
        <f t="shared" si="0"/>
        <v>2.2252100241854852E-2</v>
      </c>
      <c r="R13" s="22">
        <v>372201305.02999997</v>
      </c>
      <c r="S13" s="23">
        <f t="shared" si="1"/>
        <v>2.2576583203615132E-2</v>
      </c>
      <c r="T13" s="24">
        <f t="shared" si="2"/>
        <v>8.1062857056077631E-2</v>
      </c>
      <c r="U13" s="59">
        <f t="shared" si="3"/>
        <v>6.2819599727398636E-3</v>
      </c>
      <c r="V13" s="25">
        <f t="shared" si="4"/>
        <v>7.926637975549819E-2</v>
      </c>
      <c r="W13" s="26">
        <f t="shared" si="5"/>
        <v>3290.6805198054594</v>
      </c>
      <c r="X13" s="26">
        <f t="shared" si="6"/>
        <v>260.84033173691978</v>
      </c>
      <c r="Y13" s="53">
        <v>3258.86</v>
      </c>
      <c r="Z13" s="53">
        <v>3308.27</v>
      </c>
      <c r="AA13" s="149">
        <v>21</v>
      </c>
      <c r="AB13" s="149">
        <v>113107.7</v>
      </c>
      <c r="AC13" s="149">
        <v>0</v>
      </c>
      <c r="AD13" s="149">
        <v>0</v>
      </c>
      <c r="AE13" s="150">
        <v>113107.7</v>
      </c>
      <c r="AF13" s="5"/>
      <c r="AG13" s="5"/>
      <c r="AH13" s="5"/>
      <c r="AI13" s="5"/>
      <c r="AJ13" s="6"/>
      <c r="AK13" s="4"/>
      <c r="AL13" s="5"/>
      <c r="AM13" s="5"/>
      <c r="AN13" s="5"/>
      <c r="AO13" s="6"/>
      <c r="AP13" s="4"/>
      <c r="AQ13" s="5"/>
      <c r="AR13" s="5"/>
      <c r="AS13" s="5"/>
      <c r="AT13" s="6"/>
    </row>
    <row r="14" spans="1:256" ht="16.5" customHeight="1" x14ac:dyDescent="0.3">
      <c r="A14" s="172">
        <v>11</v>
      </c>
      <c r="B14" s="60" t="s">
        <v>42</v>
      </c>
      <c r="C14" s="60" t="s">
        <v>43</v>
      </c>
      <c r="D14" s="52">
        <v>219800206.41</v>
      </c>
      <c r="E14" s="74"/>
      <c r="F14" s="53"/>
      <c r="G14" s="53"/>
      <c r="H14" s="53"/>
      <c r="I14" s="53"/>
      <c r="J14" s="54">
        <v>219800206.41</v>
      </c>
      <c r="K14" s="54">
        <v>646301.67000000004</v>
      </c>
      <c r="L14" s="54">
        <v>505177.23</v>
      </c>
      <c r="M14" s="152">
        <v>141124.44</v>
      </c>
      <c r="N14" s="21">
        <v>263315094.71000001</v>
      </c>
      <c r="O14" s="21">
        <v>4082195.82</v>
      </c>
      <c r="P14" s="22">
        <v>243081088.03999999</v>
      </c>
      <c r="Q14" s="23">
        <f t="shared" si="0"/>
        <v>1.5710689083034381E-2</v>
      </c>
      <c r="R14" s="22">
        <v>259232898.88</v>
      </c>
      <c r="S14" s="23">
        <f t="shared" si="1"/>
        <v>1.5724268108643361E-2</v>
      </c>
      <c r="T14" s="24">
        <f t="shared" si="2"/>
        <v>6.6446184564313601E-2</v>
      </c>
      <c r="U14" s="59">
        <f t="shared" si="3"/>
        <v>1.9487388837704919E-3</v>
      </c>
      <c r="V14" s="25">
        <f t="shared" si="4"/>
        <v>5.4439247722692442E-4</v>
      </c>
      <c r="W14" s="26">
        <f t="shared" si="5"/>
        <v>150.69451816061107</v>
      </c>
      <c r="X14" s="26">
        <f t="shared" si="6"/>
        <v>8.20369620459728E-2</v>
      </c>
      <c r="Y14" s="53">
        <v>149.19</v>
      </c>
      <c r="Z14" s="53">
        <v>152.19999999999999</v>
      </c>
      <c r="AA14" s="149">
        <v>585</v>
      </c>
      <c r="AB14" s="149">
        <v>1698709.48</v>
      </c>
      <c r="AC14" s="149">
        <v>42979.14</v>
      </c>
      <c r="AD14" s="149">
        <v>21434.28</v>
      </c>
      <c r="AE14" s="150">
        <v>1720254.34</v>
      </c>
      <c r="AF14" s="5"/>
      <c r="AG14" s="5"/>
      <c r="AH14" s="5"/>
      <c r="AI14" s="5"/>
      <c r="AJ14" s="6"/>
      <c r="AK14" s="4"/>
      <c r="AL14" s="5"/>
      <c r="AM14" s="5"/>
      <c r="AN14" s="5"/>
      <c r="AO14" s="6"/>
      <c r="AP14" s="4"/>
      <c r="AQ14" s="5"/>
      <c r="AR14" s="5"/>
      <c r="AS14" s="5"/>
      <c r="AT14" s="6"/>
    </row>
    <row r="15" spans="1:256" ht="16.5" customHeight="1" x14ac:dyDescent="0.3">
      <c r="A15" s="172">
        <v>12</v>
      </c>
      <c r="B15" s="58" t="s">
        <v>44</v>
      </c>
      <c r="C15" s="57" t="s">
        <v>45</v>
      </c>
      <c r="D15" s="52">
        <v>271041250.5</v>
      </c>
      <c r="E15" s="74"/>
      <c r="F15" s="53">
        <v>67127980.390000001</v>
      </c>
      <c r="G15" s="53"/>
      <c r="H15" s="53"/>
      <c r="I15" s="53"/>
      <c r="J15" s="54">
        <v>338169230.88999999</v>
      </c>
      <c r="K15" s="54">
        <v>13072816.26</v>
      </c>
      <c r="L15" s="54">
        <v>697810.7</v>
      </c>
      <c r="M15" s="152">
        <v>12024578.060000001</v>
      </c>
      <c r="N15" s="21">
        <v>339150392.68000001</v>
      </c>
      <c r="O15" s="21">
        <v>3842540.36</v>
      </c>
      <c r="P15" s="22">
        <v>308731351.25</v>
      </c>
      <c r="Q15" s="23">
        <f t="shared" si="0"/>
        <v>1.9953762379390359E-2</v>
      </c>
      <c r="R15" s="22">
        <v>335307852.31999999</v>
      </c>
      <c r="S15" s="23">
        <f t="shared" si="1"/>
        <v>2.0338740150623098E-2</v>
      </c>
      <c r="T15" s="24">
        <f t="shared" si="2"/>
        <v>8.6082935738130653E-2</v>
      </c>
      <c r="U15" s="59">
        <f t="shared" si="3"/>
        <v>2.0811045586073733E-3</v>
      </c>
      <c r="V15" s="25">
        <f t="shared" si="4"/>
        <v>3.5861307681289797E-2</v>
      </c>
      <c r="W15" s="26">
        <f t="shared" si="5"/>
        <v>1.3250468707884739</v>
      </c>
      <c r="X15" s="26">
        <f t="shared" si="6"/>
        <v>4.7517913525475707E-2</v>
      </c>
      <c r="Y15" s="53">
        <v>1.31</v>
      </c>
      <c r="Z15" s="53">
        <v>1.35</v>
      </c>
      <c r="AA15" s="149">
        <v>96</v>
      </c>
      <c r="AB15" s="149">
        <v>253057125.25999999</v>
      </c>
      <c r="AC15" s="149">
        <v>19132.53</v>
      </c>
      <c r="AD15" s="149">
        <v>22679.3</v>
      </c>
      <c r="AE15" s="150">
        <v>253053578.49000001</v>
      </c>
      <c r="AF15" s="5"/>
      <c r="AG15" s="5"/>
      <c r="AH15" s="5"/>
      <c r="AI15" s="5"/>
      <c r="AJ15" s="6"/>
      <c r="AK15" s="4"/>
      <c r="AL15" s="5"/>
      <c r="AM15" s="5"/>
      <c r="AN15" s="5"/>
      <c r="AO15" s="6"/>
      <c r="AP15" s="4"/>
      <c r="AQ15" s="5"/>
      <c r="AR15" s="5"/>
      <c r="AS15" s="5"/>
      <c r="AT15" s="6"/>
    </row>
    <row r="16" spans="1:256" ht="16.5" customHeight="1" x14ac:dyDescent="0.3">
      <c r="A16" s="172">
        <v>13</v>
      </c>
      <c r="B16" s="60" t="s">
        <v>46</v>
      </c>
      <c r="C16" s="60" t="s">
        <v>47</v>
      </c>
      <c r="D16" s="52">
        <v>234890475.59999999</v>
      </c>
      <c r="E16" s="74"/>
      <c r="F16" s="53">
        <v>57884215.600000001</v>
      </c>
      <c r="G16" s="53">
        <v>6925494.2800000003</v>
      </c>
      <c r="H16" s="53"/>
      <c r="I16" s="53"/>
      <c r="J16" s="54">
        <v>299700185.5</v>
      </c>
      <c r="K16" s="54">
        <v>11547050.789999999</v>
      </c>
      <c r="L16" s="54">
        <v>1080313.1399999999</v>
      </c>
      <c r="M16" s="152">
        <v>10466737.65</v>
      </c>
      <c r="N16" s="21">
        <v>307246744.38999999</v>
      </c>
      <c r="O16" s="21">
        <v>2489362.1</v>
      </c>
      <c r="P16" s="22">
        <v>277645097.94</v>
      </c>
      <c r="Q16" s="23">
        <f t="shared" si="0"/>
        <v>1.794461199896466E-2</v>
      </c>
      <c r="R16" s="22">
        <v>304757382.27999997</v>
      </c>
      <c r="S16" s="23">
        <f t="shared" si="1"/>
        <v>1.8485642863089357E-2</v>
      </c>
      <c r="T16" s="24">
        <f t="shared" si="2"/>
        <v>9.7650866307962061E-2</v>
      </c>
      <c r="U16" s="59">
        <f t="shared" si="3"/>
        <v>3.5448300937545381E-3</v>
      </c>
      <c r="V16" s="25">
        <f t="shared" si="4"/>
        <v>3.434449256551083E-2</v>
      </c>
      <c r="W16" s="26">
        <f t="shared" si="5"/>
        <v>1.5497942016216886</v>
      </c>
      <c r="X16" s="26">
        <f t="shared" si="6"/>
        <v>5.3226895435667873E-2</v>
      </c>
      <c r="Y16" s="53">
        <v>1.5498000000000001</v>
      </c>
      <c r="Z16" s="53">
        <v>1.5625</v>
      </c>
      <c r="AA16" s="149">
        <v>11</v>
      </c>
      <c r="AB16" s="149">
        <v>196643775</v>
      </c>
      <c r="AC16" s="149">
        <v>0</v>
      </c>
      <c r="AD16" s="149">
        <v>0</v>
      </c>
      <c r="AE16" s="150">
        <v>196643775</v>
      </c>
      <c r="AF16" s="5"/>
      <c r="AG16" s="5"/>
      <c r="AH16" s="5"/>
      <c r="AI16" s="5"/>
      <c r="AJ16" s="6"/>
      <c r="AK16" s="4"/>
      <c r="AL16" s="5"/>
      <c r="AM16" s="5"/>
      <c r="AN16" s="5"/>
      <c r="AO16" s="6"/>
      <c r="AP16" s="4"/>
      <c r="AQ16" s="5"/>
      <c r="AR16" s="5"/>
      <c r="AS16" s="5"/>
      <c r="AT16" s="6"/>
    </row>
    <row r="17" spans="1:256" ht="15.95" customHeight="1" x14ac:dyDescent="0.3">
      <c r="A17" s="172">
        <v>14</v>
      </c>
      <c r="B17" s="76" t="s">
        <v>48</v>
      </c>
      <c r="C17" s="76" t="s">
        <v>49</v>
      </c>
      <c r="D17" s="157">
        <v>3621932.74</v>
      </c>
      <c r="E17" s="157"/>
      <c r="F17" s="20"/>
      <c r="G17" s="157"/>
      <c r="H17" s="157"/>
      <c r="I17" s="157">
        <v>1882545.57</v>
      </c>
      <c r="J17" s="157">
        <v>3621932.74</v>
      </c>
      <c r="K17" s="157">
        <v>0</v>
      </c>
      <c r="L17" s="157">
        <v>0</v>
      </c>
      <c r="M17" s="182">
        <v>0</v>
      </c>
      <c r="N17" s="157">
        <v>5504478.3099999996</v>
      </c>
      <c r="O17" s="157">
        <v>0</v>
      </c>
      <c r="P17" s="22">
        <v>5504478.3099999996</v>
      </c>
      <c r="Q17" s="23">
        <f t="shared" si="0"/>
        <v>3.557625481686425E-4</v>
      </c>
      <c r="R17" s="30">
        <v>5504478.3099999996</v>
      </c>
      <c r="S17" s="23">
        <f t="shared" si="1"/>
        <v>3.3388467713242777E-4</v>
      </c>
      <c r="T17" s="24">
        <f t="shared" si="2"/>
        <v>0</v>
      </c>
      <c r="U17" s="59">
        <f>(L17/R17)</f>
        <v>0</v>
      </c>
      <c r="V17" s="32">
        <f t="shared" si="4"/>
        <v>0</v>
      </c>
      <c r="W17" s="33">
        <f t="shared" ref="W17" si="7">R17/AB17</f>
        <v>1.3927630965032134</v>
      </c>
      <c r="X17" s="33">
        <f t="shared" ref="X17" si="8">M17/AB17</f>
        <v>0</v>
      </c>
      <c r="Y17" s="157">
        <v>1.39</v>
      </c>
      <c r="Z17" s="157">
        <v>1.45</v>
      </c>
      <c r="AA17" s="158">
        <v>2420</v>
      </c>
      <c r="AB17" s="157">
        <v>3952200</v>
      </c>
      <c r="AC17" s="158">
        <v>0</v>
      </c>
      <c r="AD17" s="158">
        <v>0</v>
      </c>
      <c r="AE17" s="159">
        <v>3952200</v>
      </c>
      <c r="AF17" s="5"/>
      <c r="AG17" s="5"/>
      <c r="AH17" s="5"/>
      <c r="AI17" s="5"/>
      <c r="AJ17" s="6"/>
      <c r="AK17" s="4"/>
      <c r="AL17" s="5"/>
      <c r="AM17" s="5"/>
      <c r="AN17" s="5"/>
      <c r="AO17" s="6"/>
      <c r="AP17" s="4"/>
      <c r="AQ17" s="5"/>
      <c r="AR17" s="5"/>
      <c r="AS17" s="5"/>
      <c r="AT17" s="6"/>
    </row>
    <row r="18" spans="1:256" ht="16.5" customHeight="1" x14ac:dyDescent="0.3">
      <c r="A18" s="172">
        <v>15</v>
      </c>
      <c r="B18" s="58" t="s">
        <v>50</v>
      </c>
      <c r="C18" s="58" t="s">
        <v>51</v>
      </c>
      <c r="D18" s="52">
        <v>358964038.80000001</v>
      </c>
      <c r="E18" s="74"/>
      <c r="F18" s="53">
        <v>63194966.079999998</v>
      </c>
      <c r="G18" s="53">
        <v>38620783.840000004</v>
      </c>
      <c r="H18" s="53"/>
      <c r="I18" s="53"/>
      <c r="J18" s="54">
        <v>460779788.72000003</v>
      </c>
      <c r="K18" s="54">
        <v>-606540.68999999994</v>
      </c>
      <c r="L18" s="54">
        <v>3866237.31</v>
      </c>
      <c r="M18" s="152">
        <v>-4472778</v>
      </c>
      <c r="N18" s="21">
        <v>464789762.39999998</v>
      </c>
      <c r="O18" s="21">
        <v>3866237.31</v>
      </c>
      <c r="P18" s="22">
        <v>423708463.56999999</v>
      </c>
      <c r="Q18" s="23">
        <f t="shared" si="0"/>
        <v>2.7384902653978055E-2</v>
      </c>
      <c r="R18" s="22">
        <v>460923525.08999997</v>
      </c>
      <c r="S18" s="23">
        <f t="shared" si="1"/>
        <v>2.7958199431512541E-2</v>
      </c>
      <c r="T18" s="24">
        <f>((R18-P18)/P18)</f>
        <v>8.7831763393255324E-2</v>
      </c>
      <c r="U18" s="59">
        <f>(L18/R18)</f>
        <v>8.3880233911798677E-3</v>
      </c>
      <c r="V18" s="25">
        <f t="shared" si="4"/>
        <v>-9.7039481747577209E-3</v>
      </c>
      <c r="W18" s="26">
        <f t="shared" si="5"/>
        <v>150.38633697069048</v>
      </c>
      <c r="X18" s="26">
        <f t="shared" si="6"/>
        <v>-1.4593412201552316</v>
      </c>
      <c r="Y18" s="53">
        <v>150.62</v>
      </c>
      <c r="Z18" s="53">
        <v>152.37</v>
      </c>
      <c r="AA18" s="149">
        <v>153</v>
      </c>
      <c r="AB18" s="149">
        <v>3064503.39</v>
      </c>
      <c r="AC18" s="149">
        <v>216063.16</v>
      </c>
      <c r="AD18" s="149">
        <v>215637.02</v>
      </c>
      <c r="AE18" s="150">
        <v>3064929.53</v>
      </c>
      <c r="AF18" s="5"/>
      <c r="AG18" s="5"/>
      <c r="AH18" s="5"/>
      <c r="AI18" s="5"/>
      <c r="AJ18" s="6"/>
      <c r="AK18" s="4"/>
      <c r="AL18" s="5"/>
      <c r="AM18" s="5"/>
      <c r="AN18" s="5"/>
      <c r="AO18" s="6"/>
      <c r="AP18" s="4"/>
      <c r="AQ18" s="5"/>
      <c r="AR18" s="5"/>
      <c r="AS18" s="5"/>
      <c r="AT18" s="6"/>
    </row>
    <row r="19" spans="1:256" ht="16.5" customHeight="1" x14ac:dyDescent="0.3">
      <c r="A19" s="174">
        <v>16</v>
      </c>
      <c r="B19" s="175" t="s">
        <v>171</v>
      </c>
      <c r="C19" s="175" t="s">
        <v>172</v>
      </c>
      <c r="D19" s="52">
        <v>18552229.699999999</v>
      </c>
      <c r="E19" s="74"/>
      <c r="F19" s="53">
        <v>5620214.3799999999</v>
      </c>
      <c r="G19" s="53"/>
      <c r="H19" s="53"/>
      <c r="I19" s="53"/>
      <c r="J19" s="54">
        <v>24172444.079999998</v>
      </c>
      <c r="K19" s="54">
        <v>29078.17</v>
      </c>
      <c r="L19" s="54">
        <v>26022.3</v>
      </c>
      <c r="M19" s="152">
        <v>3055.87</v>
      </c>
      <c r="N19" s="21">
        <v>25103236.460000001</v>
      </c>
      <c r="O19" s="21">
        <v>464857</v>
      </c>
      <c r="P19" s="22">
        <v>23543407.09</v>
      </c>
      <c r="Q19" s="23">
        <f t="shared" si="0"/>
        <v>1.5216451091638664E-3</v>
      </c>
      <c r="R19" s="22">
        <v>24638379.460000001</v>
      </c>
      <c r="S19" s="23">
        <f t="shared" si="1"/>
        <v>1.4944881072786605E-3</v>
      </c>
      <c r="T19" s="24">
        <f>((R19-P19)/P19)</f>
        <v>4.6508662311033462E-2</v>
      </c>
      <c r="U19" s="102">
        <f>(L18/R19)</f>
        <v>0.15691930211062671</v>
      </c>
      <c r="V19" s="103" t="e">
        <v>#DIV/0!</v>
      </c>
      <c r="W19" s="104" t="e">
        <v>#DIV/0!</v>
      </c>
      <c r="X19" s="104" t="e">
        <v>#DIV/0!</v>
      </c>
      <c r="Y19" s="53">
        <v>99.77</v>
      </c>
      <c r="Z19" s="53">
        <v>102.89</v>
      </c>
      <c r="AA19" s="149">
        <v>3</v>
      </c>
      <c r="AB19" s="149">
        <v>253000</v>
      </c>
      <c r="AC19" s="149">
        <v>0</v>
      </c>
      <c r="AD19" s="149">
        <v>0</v>
      </c>
      <c r="AE19" s="150">
        <v>253000</v>
      </c>
      <c r="AF19" s="82"/>
      <c r="AG19" s="82"/>
      <c r="AH19" s="82"/>
      <c r="AI19" s="82"/>
      <c r="AJ19" s="83"/>
      <c r="AK19" s="82"/>
      <c r="AL19" s="82"/>
      <c r="AM19" s="82"/>
      <c r="AN19" s="82"/>
      <c r="AO19" s="83"/>
      <c r="AP19" s="82"/>
      <c r="AQ19" s="82"/>
      <c r="AR19" s="82"/>
      <c r="AS19" s="82"/>
      <c r="AT19" s="83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</row>
    <row r="20" spans="1:256" ht="16.5" customHeight="1" x14ac:dyDescent="0.3">
      <c r="A20" s="112"/>
      <c r="B20" s="34"/>
      <c r="C20" s="35" t="s">
        <v>52</v>
      </c>
      <c r="D20" s="36">
        <f>SUM(D4:D19)</f>
        <v>12533248078.439999</v>
      </c>
      <c r="E20" s="36"/>
      <c r="F20" s="36">
        <f t="shared" ref="F20:H20" si="9">SUM(F4:F19)</f>
        <v>2602068421.48</v>
      </c>
      <c r="G20" s="36">
        <f t="shared" si="9"/>
        <v>205116558.94999999</v>
      </c>
      <c r="H20" s="36">
        <f t="shared" si="9"/>
        <v>1374072.7</v>
      </c>
      <c r="I20" s="36"/>
      <c r="J20" s="36">
        <f t="shared" ref="J20" si="10">SUM(J4:J19)</f>
        <v>15604765761.529997</v>
      </c>
      <c r="K20" s="36">
        <f t="shared" ref="K20" si="11">SUM(K4:K19)</f>
        <v>233684527.22999996</v>
      </c>
      <c r="L20" s="36">
        <f t="shared" ref="L20" si="12">SUM(L4:L19)</f>
        <v>43956712.160000004</v>
      </c>
      <c r="M20" s="36">
        <f t="shared" ref="M20" si="13">SUM(M4:M19)</f>
        <v>748460011.9799999</v>
      </c>
      <c r="N20" s="36">
        <f t="shared" ref="N20:O20" si="14">SUM(N4:N19)</f>
        <v>19184612309.330002</v>
      </c>
      <c r="O20" s="36">
        <f t="shared" si="14"/>
        <v>196626016.5</v>
      </c>
      <c r="P20" s="161">
        <f>SUM(P4:P19)</f>
        <v>15472337766.679998</v>
      </c>
      <c r="Q20" s="88">
        <f>(P20/$P$150)</f>
        <v>1.095206341272713E-2</v>
      </c>
      <c r="R20" s="161">
        <f>SUM(R4:R19)</f>
        <v>16486166293.329998</v>
      </c>
      <c r="S20" s="88">
        <f>(R20/$R$150)</f>
        <v>1.1711101750494946E-2</v>
      </c>
      <c r="T20" s="38">
        <f>((R20-P20)/P20)</f>
        <v>6.5525232317077547E-2</v>
      </c>
      <c r="U20" s="51"/>
      <c r="V20" s="39"/>
      <c r="W20" s="40"/>
      <c r="X20" s="40"/>
      <c r="Y20" s="36"/>
      <c r="Z20" s="36"/>
      <c r="AA20" s="41">
        <f>SUM(AA4:AA19)</f>
        <v>42198</v>
      </c>
      <c r="AB20" s="41"/>
      <c r="AC20" s="41"/>
      <c r="AD20" s="41"/>
      <c r="AE20" s="113"/>
      <c r="AF20" s="5"/>
      <c r="AG20" s="5"/>
      <c r="AH20" s="5"/>
      <c r="AI20" s="5"/>
      <c r="AJ20" s="6"/>
      <c r="AK20" s="4"/>
      <c r="AL20" s="5"/>
      <c r="AM20" s="5"/>
      <c r="AN20" s="5"/>
      <c r="AO20" s="6"/>
      <c r="AP20" s="4"/>
      <c r="AQ20" s="5"/>
      <c r="AR20" s="5"/>
      <c r="AS20" s="5"/>
      <c r="AT20" s="6"/>
    </row>
    <row r="21" spans="1:256" ht="15.75" customHeight="1" x14ac:dyDescent="0.3">
      <c r="A21" s="203" t="s">
        <v>53</v>
      </c>
      <c r="B21" s="201"/>
      <c r="C21" s="201"/>
      <c r="D21" s="42"/>
      <c r="E21" s="42"/>
      <c r="F21" s="42"/>
      <c r="G21" s="42"/>
      <c r="H21" s="42"/>
      <c r="I21" s="42"/>
      <c r="J21" s="42"/>
      <c r="K21" s="42"/>
      <c r="L21" s="42"/>
      <c r="M21" s="165"/>
      <c r="N21" s="42"/>
      <c r="O21" s="42"/>
      <c r="P21" s="42"/>
      <c r="Q21" s="42"/>
      <c r="R21" s="42"/>
      <c r="S21" s="42"/>
      <c r="T21" s="24"/>
      <c r="U21" s="24"/>
      <c r="V21" s="42"/>
      <c r="W21" s="42"/>
      <c r="X21" s="42"/>
      <c r="Y21" s="42"/>
      <c r="Z21" s="42"/>
      <c r="AA21" s="42"/>
      <c r="AB21" s="42"/>
      <c r="AC21" s="42"/>
      <c r="AD21" s="42"/>
      <c r="AE21" s="114"/>
      <c r="AF21" s="5"/>
      <c r="AG21" s="5"/>
      <c r="AH21" s="5"/>
      <c r="AI21" s="5"/>
      <c r="AJ21" s="6"/>
      <c r="AK21" s="4"/>
      <c r="AL21" s="5"/>
      <c r="AM21" s="5"/>
      <c r="AN21" s="5"/>
      <c r="AO21" s="6"/>
      <c r="AP21" s="4"/>
      <c r="AQ21" s="5"/>
      <c r="AR21" s="5"/>
      <c r="AS21" s="5"/>
      <c r="AT21" s="6"/>
    </row>
    <row r="22" spans="1:256" ht="18" customHeight="1" x14ac:dyDescent="0.3">
      <c r="A22" s="172">
        <v>17</v>
      </c>
      <c r="B22" s="58" t="s">
        <v>23</v>
      </c>
      <c r="C22" s="58" t="s">
        <v>54</v>
      </c>
      <c r="D22" s="53"/>
      <c r="E22" s="53"/>
      <c r="F22" s="53">
        <v>225678111176.95001</v>
      </c>
      <c r="G22" s="53"/>
      <c r="H22" s="53"/>
      <c r="I22" s="53"/>
      <c r="J22" s="53">
        <v>225678111176.95001</v>
      </c>
      <c r="K22" s="53">
        <v>1087194601.04</v>
      </c>
      <c r="L22" s="53">
        <v>400827150.04000002</v>
      </c>
      <c r="M22" s="152">
        <v>686367451</v>
      </c>
      <c r="N22" s="20">
        <v>226867957038.91</v>
      </c>
      <c r="O22" s="20">
        <v>505153142.62</v>
      </c>
      <c r="P22" s="30">
        <v>242187695569.09</v>
      </c>
      <c r="Q22" s="23">
        <f t="shared" ref="Q22:Q50" si="15">(P22/$P$51)</f>
        <v>0.39085902968163849</v>
      </c>
      <c r="R22" s="30">
        <v>226362803896.29001</v>
      </c>
      <c r="S22" s="23">
        <f t="shared" ref="S22:S50" si="16">(R22/$R$51)</f>
        <v>0.37337668770875226</v>
      </c>
      <c r="T22" s="24">
        <f t="shared" ref="T22:T51" si="17">((R22-P22)/P22)</f>
        <v>-6.5341435433434514E-2</v>
      </c>
      <c r="U22" s="59">
        <f t="shared" ref="U22:U50" si="18">(L22/R22)</f>
        <v>1.7707288615475989E-3</v>
      </c>
      <c r="V22" s="25">
        <f t="shared" ref="V22:V50" si="19">M22/R22</f>
        <v>3.0321565168209565E-3</v>
      </c>
      <c r="W22" s="26">
        <f t="shared" ref="W22:W50" si="20">R22/AE22</f>
        <v>100.00000000012811</v>
      </c>
      <c r="X22" s="26">
        <f t="shared" ref="X22:X50" si="21">M22/AE22</f>
        <v>0.30321565168248416</v>
      </c>
      <c r="Y22" s="20">
        <v>100</v>
      </c>
      <c r="Z22" s="20">
        <v>100</v>
      </c>
      <c r="AA22" s="149">
        <v>496500</v>
      </c>
      <c r="AB22" s="149">
        <v>2421876955.6900001</v>
      </c>
      <c r="AC22" s="149">
        <v>141079287.34999999</v>
      </c>
      <c r="AD22" s="149">
        <v>299328204.07999998</v>
      </c>
      <c r="AE22" s="150">
        <v>2263628038.96</v>
      </c>
      <c r="AF22" s="5"/>
      <c r="AG22" s="5"/>
      <c r="AH22" s="5"/>
      <c r="AI22" s="5"/>
      <c r="AJ22" s="6"/>
      <c r="AK22" s="4"/>
      <c r="AL22" s="5"/>
      <c r="AM22" s="5"/>
      <c r="AN22" s="5"/>
      <c r="AO22" s="6"/>
      <c r="AP22" s="4"/>
      <c r="AQ22" s="5"/>
      <c r="AR22" s="5"/>
      <c r="AS22" s="5"/>
      <c r="AT22" s="6"/>
    </row>
    <row r="23" spans="1:256" ht="18" customHeight="1" x14ac:dyDescent="0.3">
      <c r="A23" s="172">
        <v>18</v>
      </c>
      <c r="B23" s="58" t="s">
        <v>55</v>
      </c>
      <c r="C23" s="58" t="s">
        <v>56</v>
      </c>
      <c r="D23" s="53"/>
      <c r="E23" s="53"/>
      <c r="F23" s="53">
        <v>172188954907.23001</v>
      </c>
      <c r="G23" s="53">
        <v>1983339613.8</v>
      </c>
      <c r="H23" s="53"/>
      <c r="I23" s="53"/>
      <c r="J23" s="53">
        <v>173232033435.82001</v>
      </c>
      <c r="K23" s="53">
        <v>1592281148.1800001</v>
      </c>
      <c r="L23" s="53">
        <v>240173918.21000001</v>
      </c>
      <c r="M23" s="152">
        <v>1352107229.97</v>
      </c>
      <c r="N23" s="20">
        <v>174202888622.13</v>
      </c>
      <c r="O23" s="20">
        <v>970855186.30999994</v>
      </c>
      <c r="P23" s="30">
        <v>174720462887.45999</v>
      </c>
      <c r="Q23" s="23">
        <f t="shared" si="15"/>
        <v>0.28197580570412439</v>
      </c>
      <c r="R23" s="30">
        <v>173232033435.82001</v>
      </c>
      <c r="S23" s="23">
        <f t="shared" si="16"/>
        <v>0.28573953730910817</v>
      </c>
      <c r="T23" s="24">
        <f t="shared" si="17"/>
        <v>-8.5189188893043596E-3</v>
      </c>
      <c r="U23" s="59">
        <f t="shared" si="18"/>
        <v>1.3864290191974282E-3</v>
      </c>
      <c r="V23" s="25">
        <f t="shared" si="19"/>
        <v>7.8051801572307728E-3</v>
      </c>
      <c r="W23" s="26">
        <f t="shared" si="20"/>
        <v>100.02603381767112</v>
      </c>
      <c r="X23" s="26">
        <f t="shared" si="21"/>
        <v>0.78072121436018083</v>
      </c>
      <c r="Y23" s="20">
        <v>100</v>
      </c>
      <c r="Z23" s="20">
        <v>100</v>
      </c>
      <c r="AA23" s="149">
        <v>23263</v>
      </c>
      <c r="AB23" s="149">
        <v>1746697476</v>
      </c>
      <c r="AC23" s="149">
        <v>131504816</v>
      </c>
      <c r="AD23" s="149">
        <v>146332829.38</v>
      </c>
      <c r="AE23" s="150">
        <f>(AB23+AC23)-AD23</f>
        <v>1731869462.6199999</v>
      </c>
      <c r="AF23" s="5"/>
      <c r="AG23" s="5"/>
      <c r="AH23" s="5"/>
      <c r="AI23" s="5"/>
      <c r="AJ23" s="6"/>
      <c r="AK23" s="4"/>
      <c r="AL23" s="5"/>
      <c r="AM23" s="5"/>
      <c r="AN23" s="5"/>
      <c r="AO23" s="6"/>
      <c r="AP23" s="4"/>
      <c r="AQ23" s="5"/>
      <c r="AR23" s="5"/>
      <c r="AS23" s="5"/>
      <c r="AT23" s="6"/>
    </row>
    <row r="24" spans="1:256" ht="18" customHeight="1" x14ac:dyDescent="0.3">
      <c r="A24" s="172">
        <v>19</v>
      </c>
      <c r="B24" s="58" t="s">
        <v>33</v>
      </c>
      <c r="C24" s="58" t="s">
        <v>57</v>
      </c>
      <c r="D24" s="53"/>
      <c r="E24" s="53"/>
      <c r="F24" s="53">
        <v>8629918198</v>
      </c>
      <c r="G24" s="53"/>
      <c r="H24" s="53"/>
      <c r="I24" s="53"/>
      <c r="J24" s="53">
        <v>8629918198</v>
      </c>
      <c r="K24" s="53">
        <v>114428915</v>
      </c>
      <c r="L24" s="53">
        <v>23772557</v>
      </c>
      <c r="M24" s="152">
        <v>90656357</v>
      </c>
      <c r="N24" s="20">
        <v>20729177820.560001</v>
      </c>
      <c r="O24" s="20">
        <v>130294341.29000001</v>
      </c>
      <c r="P24" s="30">
        <v>21280431793</v>
      </c>
      <c r="Q24" s="23">
        <f t="shared" si="15"/>
        <v>3.434381297643363E-2</v>
      </c>
      <c r="R24" s="30">
        <v>20598883479</v>
      </c>
      <c r="S24" s="23">
        <f t="shared" si="16"/>
        <v>3.3977061387750432E-2</v>
      </c>
      <c r="T24" s="24">
        <f t="shared" si="17"/>
        <v>-3.2026996474018396E-2</v>
      </c>
      <c r="U24" s="59">
        <f t="shared" si="18"/>
        <v>1.1540701720185696E-3</v>
      </c>
      <c r="V24" s="25">
        <f t="shared" si="19"/>
        <v>4.4010325653048958E-3</v>
      </c>
      <c r="W24" s="26">
        <f t="shared" si="20"/>
        <v>1.0276093040067347</v>
      </c>
      <c r="X24" s="26">
        <f t="shared" si="21"/>
        <v>4.5225420113439371E-3</v>
      </c>
      <c r="Y24" s="20">
        <v>1</v>
      </c>
      <c r="Z24" s="20">
        <v>1</v>
      </c>
      <c r="AA24" s="149">
        <v>3780</v>
      </c>
      <c r="AB24" s="149">
        <v>20694643889</v>
      </c>
      <c r="AC24" s="149">
        <v>1872238049</v>
      </c>
      <c r="AD24" s="149">
        <v>2521439182</v>
      </c>
      <c r="AE24" s="150">
        <v>20045442756</v>
      </c>
      <c r="AF24" s="5"/>
      <c r="AG24" s="5"/>
      <c r="AH24" s="5"/>
      <c r="AI24" s="5"/>
      <c r="AJ24" s="6"/>
      <c r="AK24" s="4"/>
      <c r="AL24" s="5"/>
      <c r="AM24" s="5"/>
      <c r="AN24" s="5"/>
      <c r="AO24" s="6"/>
      <c r="AP24" s="4"/>
      <c r="AQ24" s="5"/>
      <c r="AR24" s="5"/>
      <c r="AS24" s="5"/>
      <c r="AT24" s="6"/>
    </row>
    <row r="25" spans="1:256" ht="18" customHeight="1" x14ac:dyDescent="0.3">
      <c r="A25" s="172">
        <v>20</v>
      </c>
      <c r="B25" s="58" t="s">
        <v>58</v>
      </c>
      <c r="C25" s="58" t="s">
        <v>59</v>
      </c>
      <c r="D25" s="53"/>
      <c r="E25" s="53"/>
      <c r="F25" s="53">
        <v>985688343.38</v>
      </c>
      <c r="G25" s="53"/>
      <c r="H25" s="53"/>
      <c r="I25" s="53"/>
      <c r="J25" s="53">
        <v>992362080.75999999</v>
      </c>
      <c r="K25" s="53">
        <v>8366551.3399999999</v>
      </c>
      <c r="L25" s="53">
        <v>1817327.64</v>
      </c>
      <c r="M25" s="152">
        <v>6393889.1200000001</v>
      </c>
      <c r="N25" s="20">
        <v>992362080.75999999</v>
      </c>
      <c r="O25" s="20">
        <v>28832835</v>
      </c>
      <c r="P25" s="30">
        <v>959717122.69000006</v>
      </c>
      <c r="Q25" s="23">
        <f t="shared" si="15"/>
        <v>1.5488569824409471E-3</v>
      </c>
      <c r="R25" s="30">
        <v>963529245</v>
      </c>
      <c r="S25" s="23">
        <f t="shared" si="16"/>
        <v>1.5893042134848337E-3</v>
      </c>
      <c r="T25" s="24">
        <f t="shared" si="17"/>
        <v>3.9721311831083204E-3</v>
      </c>
      <c r="U25" s="59">
        <f t="shared" si="18"/>
        <v>1.8861157037324797E-3</v>
      </c>
      <c r="V25" s="25">
        <f t="shared" si="19"/>
        <v>6.635905607618584E-3</v>
      </c>
      <c r="W25" s="26">
        <f t="shared" si="20"/>
        <v>101.1944237584768</v>
      </c>
      <c r="X25" s="26">
        <f t="shared" si="21"/>
        <v>0.67151664407860734</v>
      </c>
      <c r="Y25" s="20">
        <v>100</v>
      </c>
      <c r="Z25" s="20">
        <v>100</v>
      </c>
      <c r="AA25" s="149">
        <v>827</v>
      </c>
      <c r="AB25" s="149">
        <v>9360963.1500000004</v>
      </c>
      <c r="AC25" s="149">
        <v>519216.12</v>
      </c>
      <c r="AD25" s="149">
        <v>358614.65</v>
      </c>
      <c r="AE25" s="150">
        <v>9521564.6199999992</v>
      </c>
      <c r="AF25" s="5"/>
      <c r="AG25" s="5"/>
      <c r="AH25" s="5"/>
      <c r="AI25" s="5"/>
      <c r="AJ25" s="6"/>
      <c r="AK25" s="4"/>
      <c r="AL25" s="5"/>
      <c r="AM25" s="5"/>
      <c r="AN25" s="5"/>
      <c r="AO25" s="6"/>
      <c r="AP25" s="4"/>
      <c r="AQ25" s="5"/>
      <c r="AR25" s="5"/>
      <c r="AS25" s="5"/>
      <c r="AT25" s="6"/>
    </row>
    <row r="26" spans="1:256" ht="18" customHeight="1" x14ac:dyDescent="0.3">
      <c r="A26" s="172">
        <v>21</v>
      </c>
      <c r="B26" s="57" t="s">
        <v>35</v>
      </c>
      <c r="C26" s="58" t="s">
        <v>60</v>
      </c>
      <c r="D26" s="53"/>
      <c r="E26" s="53"/>
      <c r="F26" s="53">
        <v>24158845993.169998</v>
      </c>
      <c r="G26" s="53"/>
      <c r="H26" s="53"/>
      <c r="I26" s="138"/>
      <c r="J26" s="53">
        <v>24158845993.169998</v>
      </c>
      <c r="K26" s="53">
        <v>447800532.37</v>
      </c>
      <c r="L26" s="53">
        <v>126005294.04000001</v>
      </c>
      <c r="M26" s="152">
        <v>321795238.32999998</v>
      </c>
      <c r="N26" s="20">
        <v>70710339575</v>
      </c>
      <c r="O26" s="20">
        <v>1152982900</v>
      </c>
      <c r="P26" s="30">
        <v>70273699115</v>
      </c>
      <c r="Q26" s="23">
        <f t="shared" si="15"/>
        <v>0.11341249101729303</v>
      </c>
      <c r="R26" s="30">
        <v>69557356675</v>
      </c>
      <c r="S26" s="23">
        <f t="shared" si="16"/>
        <v>0.11473216886369123</v>
      </c>
      <c r="T26" s="24">
        <f t="shared" si="17"/>
        <v>-1.0193606555814505E-2</v>
      </c>
      <c r="U26" s="59">
        <f t="shared" si="18"/>
        <v>1.8115308008144634E-3</v>
      </c>
      <c r="V26" s="25">
        <f t="shared" si="19"/>
        <v>4.626329316014078E-3</v>
      </c>
      <c r="W26" s="26">
        <f t="shared" si="20"/>
        <v>1.0000000000143767</v>
      </c>
      <c r="X26" s="26">
        <f t="shared" si="21"/>
        <v>4.626329316080589E-3</v>
      </c>
      <c r="Y26" s="20">
        <v>1</v>
      </c>
      <c r="Z26" s="20">
        <v>1</v>
      </c>
      <c r="AA26" s="149">
        <v>26355</v>
      </c>
      <c r="AB26" s="149">
        <v>70273699115</v>
      </c>
      <c r="AC26" s="149">
        <v>6298879597</v>
      </c>
      <c r="AD26" s="149">
        <v>7015222038</v>
      </c>
      <c r="AE26" s="150">
        <f>(AB26+AC26)-AD26</f>
        <v>69557356674</v>
      </c>
      <c r="AF26" s="5"/>
      <c r="AG26" s="5"/>
      <c r="AH26" s="5"/>
      <c r="AI26" s="5"/>
      <c r="AJ26" s="6"/>
      <c r="AK26" s="4"/>
      <c r="AL26" s="5"/>
      <c r="AM26" s="5"/>
      <c r="AN26" s="5"/>
      <c r="AO26" s="6"/>
      <c r="AP26" s="4"/>
      <c r="AQ26" s="5"/>
      <c r="AR26" s="5"/>
      <c r="AS26" s="5"/>
      <c r="AT26" s="6"/>
    </row>
    <row r="27" spans="1:256" ht="18" customHeight="1" x14ac:dyDescent="0.3">
      <c r="A27" s="172">
        <v>22</v>
      </c>
      <c r="B27" s="58" t="s">
        <v>39</v>
      </c>
      <c r="C27" s="58" t="s">
        <v>61</v>
      </c>
      <c r="D27" s="53"/>
      <c r="E27" s="53"/>
      <c r="F27" s="194">
        <v>1419130165.05</v>
      </c>
      <c r="G27" s="53"/>
      <c r="H27" s="53"/>
      <c r="I27" s="53"/>
      <c r="J27" s="53">
        <v>2072740028.0599999</v>
      </c>
      <c r="K27" s="53">
        <v>14129593.529999999</v>
      </c>
      <c r="L27" s="53">
        <v>3177692.41</v>
      </c>
      <c r="M27" s="152">
        <v>10951901.119999999</v>
      </c>
      <c r="N27" s="20">
        <v>2094858622.3</v>
      </c>
      <c r="O27" s="20">
        <v>10944112.689999999</v>
      </c>
      <c r="P27" s="30">
        <v>2021466763.22</v>
      </c>
      <c r="Q27" s="23">
        <f t="shared" si="15"/>
        <v>3.2623810047379301E-3</v>
      </c>
      <c r="R27" s="30">
        <v>2083914509.6099999</v>
      </c>
      <c r="S27" s="23">
        <f t="shared" si="16"/>
        <v>3.4373363630134067E-3</v>
      </c>
      <c r="T27" s="24">
        <f t="shared" si="17"/>
        <v>3.0892294410285865E-2</v>
      </c>
      <c r="U27" s="59">
        <f t="shared" si="18"/>
        <v>1.5248669728753406E-3</v>
      </c>
      <c r="V27" s="25">
        <f t="shared" si="19"/>
        <v>5.2554464540148643E-3</v>
      </c>
      <c r="W27" s="26">
        <f t="shared" si="20"/>
        <v>10.00000800326178</v>
      </c>
      <c r="X27" s="26">
        <f t="shared" si="21"/>
        <v>5.2554506600862382E-2</v>
      </c>
      <c r="Y27" s="20">
        <v>10</v>
      </c>
      <c r="Z27" s="20">
        <v>10</v>
      </c>
      <c r="AA27" s="149">
        <v>1397</v>
      </c>
      <c r="AB27" s="149">
        <v>202146676.31999999</v>
      </c>
      <c r="AC27" s="149">
        <v>22473862.219999999</v>
      </c>
      <c r="AD27" s="149">
        <v>16229254.359999999</v>
      </c>
      <c r="AE27" s="150">
        <v>208391284.18000001</v>
      </c>
      <c r="AF27" s="5"/>
      <c r="AG27" s="5"/>
      <c r="AH27" s="5"/>
      <c r="AI27" s="5"/>
      <c r="AJ27" s="6"/>
      <c r="AK27" s="4"/>
      <c r="AL27" s="5"/>
      <c r="AM27" s="5"/>
      <c r="AN27" s="5"/>
      <c r="AO27" s="6"/>
      <c r="AP27" s="4"/>
      <c r="AQ27" s="5"/>
      <c r="AR27" s="5"/>
      <c r="AS27" s="5"/>
      <c r="AT27" s="6"/>
    </row>
    <row r="28" spans="1:256" ht="18" customHeight="1" x14ac:dyDescent="0.3">
      <c r="A28" s="172">
        <v>23</v>
      </c>
      <c r="B28" s="58" t="s">
        <v>201</v>
      </c>
      <c r="C28" s="58" t="s">
        <v>62</v>
      </c>
      <c r="D28" s="53"/>
      <c r="E28" s="53"/>
      <c r="F28" s="53">
        <v>13248607243.77</v>
      </c>
      <c r="G28" s="53"/>
      <c r="H28" s="53"/>
      <c r="I28" s="53"/>
      <c r="J28" s="53">
        <v>13248607243.77</v>
      </c>
      <c r="K28" s="53">
        <v>216162133.50999999</v>
      </c>
      <c r="L28" s="53">
        <v>39283840.170000002</v>
      </c>
      <c r="M28" s="152">
        <v>176878293.34999999</v>
      </c>
      <c r="N28" s="20">
        <v>34058278415.389999</v>
      </c>
      <c r="O28" s="20">
        <v>249505803.97</v>
      </c>
      <c r="P28" s="30">
        <v>32339720108.25</v>
      </c>
      <c r="Q28" s="23">
        <f t="shared" si="15"/>
        <v>5.2192047130984076E-2</v>
      </c>
      <c r="R28" s="30">
        <v>33808772611.419998</v>
      </c>
      <c r="S28" s="23">
        <f t="shared" si="16"/>
        <v>5.5766262459506818E-2</v>
      </c>
      <c r="T28" s="24">
        <f t="shared" si="17"/>
        <v>4.5425640613235757E-2</v>
      </c>
      <c r="U28" s="59">
        <f>(L28/R28)</f>
        <v>1.1619422160487017E-3</v>
      </c>
      <c r="V28" s="25">
        <f t="shared" si="19"/>
        <v>5.231727734778922E-3</v>
      </c>
      <c r="W28" s="26">
        <f t="shared" si="20"/>
        <v>1.0052147745951663</v>
      </c>
      <c r="X28" s="26">
        <f t="shared" si="21"/>
        <v>5.2590100156590745E-3</v>
      </c>
      <c r="Y28" s="20">
        <v>1</v>
      </c>
      <c r="Z28" s="20">
        <v>1</v>
      </c>
      <c r="AA28" s="27">
        <v>20218</v>
      </c>
      <c r="AB28" s="20">
        <v>31787394767.560001</v>
      </c>
      <c r="AC28" s="20">
        <v>7448835207.0600004</v>
      </c>
      <c r="AD28" s="20">
        <v>5602847869.75</v>
      </c>
      <c r="AE28" s="150">
        <v>33633382104.869999</v>
      </c>
      <c r="AF28" s="5"/>
      <c r="AG28" s="5"/>
      <c r="AH28" s="5"/>
      <c r="AI28" s="5"/>
      <c r="AJ28" s="6"/>
      <c r="AK28" s="4"/>
      <c r="AL28" s="5"/>
      <c r="AM28" s="5"/>
      <c r="AN28" s="5"/>
      <c r="AO28" s="6"/>
      <c r="AP28" s="4"/>
      <c r="AQ28" s="5"/>
      <c r="AR28" s="5"/>
      <c r="AS28" s="5"/>
      <c r="AT28" s="6"/>
    </row>
    <row r="29" spans="1:256" ht="16.5" customHeight="1" x14ac:dyDescent="0.3">
      <c r="A29" s="172">
        <v>24</v>
      </c>
      <c r="B29" s="58" t="s">
        <v>63</v>
      </c>
      <c r="C29" s="58" t="s">
        <v>64</v>
      </c>
      <c r="D29" s="53"/>
      <c r="E29" s="53"/>
      <c r="F29" s="53">
        <v>1333582937.3</v>
      </c>
      <c r="G29" s="53"/>
      <c r="H29" s="53"/>
      <c r="I29" s="53"/>
      <c r="J29" s="53">
        <v>1333582937.3</v>
      </c>
      <c r="K29" s="53">
        <v>13234299.880000001</v>
      </c>
      <c r="L29" s="53">
        <v>3582250.8</v>
      </c>
      <c r="M29" s="152">
        <v>9652049.0800000001</v>
      </c>
      <c r="N29" s="20">
        <v>2321822450.9699998</v>
      </c>
      <c r="O29" s="20">
        <v>14287410.68</v>
      </c>
      <c r="P29" s="30">
        <v>2320971090.79</v>
      </c>
      <c r="Q29" s="23">
        <f t="shared" si="15"/>
        <v>3.7457415263547947E-3</v>
      </c>
      <c r="R29" s="30">
        <v>2321695617.77</v>
      </c>
      <c r="S29" s="23">
        <f t="shared" si="16"/>
        <v>3.8295471018641833E-3</v>
      </c>
      <c r="T29" s="24">
        <f t="shared" si="17"/>
        <v>3.1216544784855912E-4</v>
      </c>
      <c r="U29" s="59">
        <f t="shared" si="18"/>
        <v>1.5429459282180879E-3</v>
      </c>
      <c r="V29" s="25">
        <f t="shared" si="19"/>
        <v>4.157327517924525E-3</v>
      </c>
      <c r="W29" s="26">
        <f t="shared" si="20"/>
        <v>100.00000076538888</v>
      </c>
      <c r="X29" s="26">
        <f t="shared" si="21"/>
        <v>0.41573275497442475</v>
      </c>
      <c r="Y29" s="20">
        <v>100</v>
      </c>
      <c r="Z29" s="20">
        <v>100</v>
      </c>
      <c r="AA29" s="149">
        <v>539</v>
      </c>
      <c r="AB29" s="149">
        <v>23209711</v>
      </c>
      <c r="AC29" s="149">
        <v>1029496</v>
      </c>
      <c r="AD29" s="149">
        <v>1022251</v>
      </c>
      <c r="AE29" s="150">
        <v>23216956</v>
      </c>
      <c r="AF29" s="5"/>
      <c r="AG29" s="5"/>
      <c r="AH29" s="5"/>
      <c r="AI29" s="5"/>
      <c r="AJ29" s="6"/>
      <c r="AK29" s="4"/>
      <c r="AL29" s="5"/>
      <c r="AM29" s="5"/>
      <c r="AN29" s="5"/>
      <c r="AO29" s="6"/>
      <c r="AP29" s="4"/>
      <c r="AQ29" s="5"/>
      <c r="AR29" s="5"/>
      <c r="AS29" s="5"/>
      <c r="AT29" s="6"/>
    </row>
    <row r="30" spans="1:256" ht="18" customHeight="1" x14ac:dyDescent="0.3">
      <c r="A30" s="172">
        <v>25</v>
      </c>
      <c r="B30" s="58" t="s">
        <v>65</v>
      </c>
      <c r="C30" s="58" t="s">
        <v>66</v>
      </c>
      <c r="D30" s="53"/>
      <c r="E30" s="53"/>
      <c r="F30" s="53">
        <v>2890332906.8600001</v>
      </c>
      <c r="G30" s="53"/>
      <c r="H30" s="53"/>
      <c r="I30" s="53"/>
      <c r="J30" s="53">
        <v>2890332906.8600001</v>
      </c>
      <c r="K30" s="53">
        <v>32018184.91</v>
      </c>
      <c r="L30" s="53">
        <v>4405839.6900000004</v>
      </c>
      <c r="M30" s="152">
        <v>27612345.219999999</v>
      </c>
      <c r="N30" s="20">
        <v>5106465381.4700003</v>
      </c>
      <c r="O30" s="20">
        <v>57826881.469999999</v>
      </c>
      <c r="P30" s="30">
        <v>5104117500</v>
      </c>
      <c r="Q30" s="23">
        <f t="shared" si="15"/>
        <v>8.2373731198162811E-3</v>
      </c>
      <c r="R30" s="30">
        <v>5048638500</v>
      </c>
      <c r="S30" s="23">
        <f t="shared" si="16"/>
        <v>8.3275338886177244E-3</v>
      </c>
      <c r="T30" s="24">
        <f t="shared" si="17"/>
        <v>-1.086945980377607E-2</v>
      </c>
      <c r="U30" s="59">
        <f t="shared" si="18"/>
        <v>8.7267878062570741E-4</v>
      </c>
      <c r="V30" s="25">
        <f t="shared" si="19"/>
        <v>5.4692656683579142E-3</v>
      </c>
      <c r="W30" s="26">
        <f t="shared" si="20"/>
        <v>100</v>
      </c>
      <c r="X30" s="26">
        <f t="shared" si="21"/>
        <v>0.54692656683579144</v>
      </c>
      <c r="Y30" s="20">
        <v>100</v>
      </c>
      <c r="Z30" s="20">
        <v>100</v>
      </c>
      <c r="AA30" s="149">
        <v>5694</v>
      </c>
      <c r="AB30" s="149">
        <v>51041175</v>
      </c>
      <c r="AC30" s="149">
        <v>5530542</v>
      </c>
      <c r="AD30" s="149">
        <v>6085332</v>
      </c>
      <c r="AE30" s="150">
        <v>50486385</v>
      </c>
      <c r="AF30" s="5"/>
      <c r="AG30" s="5"/>
      <c r="AH30" s="5"/>
      <c r="AI30" s="5"/>
      <c r="AJ30" s="6"/>
      <c r="AK30" s="4"/>
      <c r="AL30" s="5"/>
      <c r="AM30" s="5"/>
      <c r="AN30" s="5"/>
      <c r="AO30" s="6"/>
      <c r="AP30" s="4"/>
      <c r="AQ30" s="5"/>
      <c r="AR30" s="5"/>
      <c r="AS30" s="5"/>
      <c r="AT30" s="6"/>
    </row>
    <row r="31" spans="1:256" ht="18" customHeight="1" x14ac:dyDescent="0.3">
      <c r="A31" s="172">
        <v>26</v>
      </c>
      <c r="B31" s="57" t="s">
        <v>46</v>
      </c>
      <c r="C31" s="57" t="s">
        <v>67</v>
      </c>
      <c r="D31" s="53"/>
      <c r="E31" s="53"/>
      <c r="F31" s="53">
        <v>687229091.39999998</v>
      </c>
      <c r="G31" s="53"/>
      <c r="H31" s="53"/>
      <c r="I31" s="53"/>
      <c r="J31" s="53">
        <v>687229091.39999998</v>
      </c>
      <c r="K31" s="53">
        <v>4790855.99</v>
      </c>
      <c r="L31" s="53">
        <v>726036.75</v>
      </c>
      <c r="M31" s="152">
        <v>4064819.24</v>
      </c>
      <c r="N31" s="20">
        <v>709591219.63999999</v>
      </c>
      <c r="O31" s="20">
        <v>2223384.96</v>
      </c>
      <c r="P31" s="30">
        <v>809321967.14999998</v>
      </c>
      <c r="Q31" s="23">
        <f t="shared" si="15"/>
        <v>1.3061390176613773E-3</v>
      </c>
      <c r="R31" s="30">
        <v>707367834.69000006</v>
      </c>
      <c r="S31" s="23">
        <f t="shared" si="16"/>
        <v>1.1667758773180365E-3</v>
      </c>
      <c r="T31" s="24">
        <f t="shared" si="17"/>
        <v>-0.12597474997376873</v>
      </c>
      <c r="U31" s="59">
        <f t="shared" si="18"/>
        <v>1.0263920896518874E-3</v>
      </c>
      <c r="V31" s="25">
        <f t="shared" si="19"/>
        <v>5.7464010104182704E-3</v>
      </c>
      <c r="W31" s="26">
        <f t="shared" si="20"/>
        <v>10.030013631031172</v>
      </c>
      <c r="X31" s="26">
        <f t="shared" si="21"/>
        <v>5.7636480463866546E-2</v>
      </c>
      <c r="Y31" s="20">
        <v>10</v>
      </c>
      <c r="Z31" s="20">
        <v>10</v>
      </c>
      <c r="AA31" s="149">
        <v>485</v>
      </c>
      <c r="AB31" s="149">
        <v>80749484</v>
      </c>
      <c r="AC31" s="149">
        <v>7367739</v>
      </c>
      <c r="AD31" s="149">
        <v>17592111</v>
      </c>
      <c r="AE31" s="150">
        <v>70525112</v>
      </c>
      <c r="AF31" s="5"/>
      <c r="AG31" s="5"/>
      <c r="AH31" s="5"/>
      <c r="AI31" s="5"/>
      <c r="AJ31" s="6"/>
      <c r="AK31" s="4"/>
      <c r="AL31" s="5"/>
      <c r="AM31" s="5"/>
      <c r="AN31" s="5"/>
      <c r="AO31" s="6"/>
      <c r="AP31" s="4"/>
      <c r="AQ31" s="5"/>
      <c r="AR31" s="5"/>
      <c r="AS31" s="5"/>
      <c r="AT31" s="6"/>
    </row>
    <row r="32" spans="1:256" ht="18" customHeight="1" x14ac:dyDescent="0.3">
      <c r="A32" s="172">
        <v>27</v>
      </c>
      <c r="B32" s="57" t="s">
        <v>29</v>
      </c>
      <c r="C32" s="57" t="s">
        <v>68</v>
      </c>
      <c r="D32" s="53"/>
      <c r="E32" s="53"/>
      <c r="F32" s="53">
        <v>2167184820.9899998</v>
      </c>
      <c r="G32" s="53"/>
      <c r="H32" s="53"/>
      <c r="I32" s="53"/>
      <c r="J32" s="53">
        <v>2189587964.6100001</v>
      </c>
      <c r="K32" s="53">
        <v>12487807.84</v>
      </c>
      <c r="L32" s="53">
        <v>3566485.61</v>
      </c>
      <c r="M32" s="152">
        <v>8921322.2300000004</v>
      </c>
      <c r="N32" s="20">
        <v>2189587964.6100001</v>
      </c>
      <c r="O32" s="20">
        <v>10204327.609999999</v>
      </c>
      <c r="P32" s="30">
        <v>1779052654.79</v>
      </c>
      <c r="Q32" s="23">
        <f t="shared" si="15"/>
        <v>2.8711565745312365E-3</v>
      </c>
      <c r="R32" s="30">
        <v>2179383637</v>
      </c>
      <c r="S32" s="23">
        <f t="shared" si="16"/>
        <v>3.5948089952204838E-3</v>
      </c>
      <c r="T32" s="24">
        <f t="shared" si="17"/>
        <v>0.22502480808093633</v>
      </c>
      <c r="U32" s="59">
        <f t="shared" si="18"/>
        <v>1.6364652599252308E-3</v>
      </c>
      <c r="V32" s="25">
        <f t="shared" si="19"/>
        <v>4.0935070258123632E-3</v>
      </c>
      <c r="W32" s="26">
        <f t="shared" si="20"/>
        <v>100</v>
      </c>
      <c r="X32" s="26">
        <f t="shared" si="21"/>
        <v>0.40935070258123629</v>
      </c>
      <c r="Y32" s="20">
        <v>100</v>
      </c>
      <c r="Z32" s="20">
        <v>100</v>
      </c>
      <c r="AA32" s="149">
        <v>1361</v>
      </c>
      <c r="AB32" s="149">
        <v>17790526.550000001</v>
      </c>
      <c r="AC32" s="149">
        <v>5412154.4299999997</v>
      </c>
      <c r="AD32" s="149">
        <v>1408844.61</v>
      </c>
      <c r="AE32" s="150">
        <v>21793836.370000001</v>
      </c>
      <c r="AF32" s="5"/>
      <c r="AG32" s="5"/>
      <c r="AH32" s="5"/>
      <c r="AI32" s="5"/>
      <c r="AJ32" s="6"/>
      <c r="AK32" s="4"/>
      <c r="AL32" s="5"/>
      <c r="AM32" s="5"/>
      <c r="AN32" s="5"/>
      <c r="AO32" s="6"/>
      <c r="AP32" s="4"/>
      <c r="AQ32" s="5"/>
      <c r="AR32" s="5"/>
      <c r="AS32" s="5"/>
      <c r="AT32" s="6"/>
    </row>
    <row r="33" spans="1:256" ht="16.5" customHeight="1" x14ac:dyDescent="0.3">
      <c r="A33" s="172">
        <v>28</v>
      </c>
      <c r="B33" s="58" t="s">
        <v>44</v>
      </c>
      <c r="C33" s="58" t="s">
        <v>69</v>
      </c>
      <c r="D33" s="53"/>
      <c r="E33" s="53"/>
      <c r="F33" s="53">
        <v>18413321272.360001</v>
      </c>
      <c r="G33" s="53"/>
      <c r="H33" s="53"/>
      <c r="I33" s="53"/>
      <c r="J33" s="53">
        <v>18413321272.360001</v>
      </c>
      <c r="K33" s="53">
        <v>97152159.719999999</v>
      </c>
      <c r="L33" s="53">
        <v>29283817.359999999</v>
      </c>
      <c r="M33" s="152">
        <v>67868342.359999999</v>
      </c>
      <c r="N33" s="20">
        <v>18426105165.860001</v>
      </c>
      <c r="O33" s="20">
        <v>115000224.55</v>
      </c>
      <c r="P33" s="30">
        <v>17385809181.25</v>
      </c>
      <c r="Q33" s="23">
        <f t="shared" si="15"/>
        <v>2.8058405241627737E-2</v>
      </c>
      <c r="R33" s="30">
        <v>18311104941.310001</v>
      </c>
      <c r="S33" s="23">
        <f t="shared" si="16"/>
        <v>3.0203459197325082E-2</v>
      </c>
      <c r="T33" s="24">
        <f t="shared" si="17"/>
        <v>5.3221322655370058E-2</v>
      </c>
      <c r="U33" s="59">
        <f t="shared" si="18"/>
        <v>1.5992381373958198E-3</v>
      </c>
      <c r="V33" s="25">
        <f t="shared" si="19"/>
        <v>3.7064034408370665E-3</v>
      </c>
      <c r="W33" s="26">
        <f t="shared" si="20"/>
        <v>100.00000000169297</v>
      </c>
      <c r="X33" s="26">
        <f t="shared" si="21"/>
        <v>0.37064034408998148</v>
      </c>
      <c r="Y33" s="20">
        <v>100</v>
      </c>
      <c r="Z33" s="20">
        <v>100</v>
      </c>
      <c r="AA33" s="149">
        <v>5680</v>
      </c>
      <c r="AB33" s="149">
        <v>173850948.41</v>
      </c>
      <c r="AC33" s="149">
        <v>17113411.859999999</v>
      </c>
      <c r="AD33" s="149">
        <v>7853310.8600000003</v>
      </c>
      <c r="AE33" s="150">
        <v>183111049.41</v>
      </c>
      <c r="AF33" s="5"/>
      <c r="AG33" s="5"/>
      <c r="AH33" s="5"/>
      <c r="AI33" s="5"/>
      <c r="AJ33" s="6"/>
      <c r="AK33" s="4"/>
      <c r="AL33" s="5"/>
      <c r="AM33" s="5"/>
      <c r="AN33" s="5"/>
      <c r="AO33" s="6"/>
      <c r="AP33" s="4"/>
      <c r="AQ33" s="5"/>
      <c r="AR33" s="5"/>
      <c r="AS33" s="5"/>
      <c r="AT33" s="6"/>
    </row>
    <row r="34" spans="1:256" ht="16.5" customHeight="1" x14ac:dyDescent="0.3">
      <c r="A34" s="172">
        <v>29</v>
      </c>
      <c r="B34" s="58" t="s">
        <v>70</v>
      </c>
      <c r="C34" s="58" t="s">
        <v>169</v>
      </c>
      <c r="D34" s="53"/>
      <c r="E34" s="53"/>
      <c r="F34" s="53">
        <v>4833809937.7200003</v>
      </c>
      <c r="G34" s="53"/>
      <c r="H34" s="53"/>
      <c r="I34" s="53"/>
      <c r="J34" s="53">
        <v>11782104409.559999</v>
      </c>
      <c r="K34" s="53">
        <v>75791814.359999999</v>
      </c>
      <c r="L34" s="53">
        <v>17783074.870000001</v>
      </c>
      <c r="M34" s="152">
        <v>58008739.490000002</v>
      </c>
      <c r="N34" s="20">
        <v>11782104409.559999</v>
      </c>
      <c r="O34" s="20">
        <v>66417027.229999997</v>
      </c>
      <c r="P34" s="30">
        <v>11280582283.190001</v>
      </c>
      <c r="Q34" s="23">
        <f t="shared" si="15"/>
        <v>1.8205373460823557E-2</v>
      </c>
      <c r="R34" s="30">
        <v>11715687382.33</v>
      </c>
      <c r="S34" s="23">
        <f t="shared" si="16"/>
        <v>1.9324573091300586E-2</v>
      </c>
      <c r="T34" s="24">
        <f t="shared" si="17"/>
        <v>3.8571156011013769E-2</v>
      </c>
      <c r="U34" s="59">
        <f t="shared" si="18"/>
        <v>1.5178857449560357E-3</v>
      </c>
      <c r="V34" s="25">
        <f>M34/R34</f>
        <v>4.951373111704121E-3</v>
      </c>
      <c r="W34" s="26">
        <f t="shared" si="20"/>
        <v>99.999999849176589</v>
      </c>
      <c r="X34" s="26">
        <f t="shared" si="21"/>
        <v>0.49513731042362913</v>
      </c>
      <c r="Y34" s="20">
        <v>100</v>
      </c>
      <c r="Z34" s="20">
        <v>100</v>
      </c>
      <c r="AA34" s="149">
        <v>2371</v>
      </c>
      <c r="AB34" s="149">
        <v>112805823</v>
      </c>
      <c r="AC34" s="149">
        <v>11306230</v>
      </c>
      <c r="AD34" s="149">
        <v>6955179</v>
      </c>
      <c r="AE34" s="150">
        <v>117156874</v>
      </c>
      <c r="AF34" s="5"/>
      <c r="AG34" s="5"/>
      <c r="AH34" s="5"/>
      <c r="AI34" s="5"/>
      <c r="AJ34" s="6"/>
      <c r="AK34" s="4"/>
      <c r="AL34" s="5"/>
      <c r="AM34" s="5"/>
      <c r="AN34" s="5"/>
      <c r="AO34" s="6"/>
      <c r="AP34" s="4"/>
      <c r="AQ34" s="5"/>
      <c r="AR34" s="5"/>
      <c r="AS34" s="5"/>
      <c r="AT34" s="6"/>
    </row>
    <row r="35" spans="1:256" ht="16.5" customHeight="1" x14ac:dyDescent="0.3">
      <c r="A35" s="172">
        <v>30</v>
      </c>
      <c r="B35" s="58" t="s">
        <v>70</v>
      </c>
      <c r="C35" s="58" t="s">
        <v>71</v>
      </c>
      <c r="D35" s="53"/>
      <c r="E35" s="53"/>
      <c r="F35" s="53">
        <v>200913907.71000001</v>
      </c>
      <c r="G35" s="53"/>
      <c r="H35" s="53"/>
      <c r="I35" s="53"/>
      <c r="J35" s="53">
        <v>390183858.91000003</v>
      </c>
      <c r="K35" s="53">
        <v>2108405.09</v>
      </c>
      <c r="L35" s="53">
        <v>360625.25</v>
      </c>
      <c r="M35" s="152">
        <v>1747779.84</v>
      </c>
      <c r="N35" s="20">
        <v>390183858.91000003</v>
      </c>
      <c r="O35" s="20">
        <v>1436782.35</v>
      </c>
      <c r="P35" s="30">
        <v>412317412.24000001</v>
      </c>
      <c r="Q35" s="23">
        <f t="shared" si="15"/>
        <v>6.6542597587496458E-4</v>
      </c>
      <c r="R35" s="30">
        <v>388747076.56</v>
      </c>
      <c r="S35" s="23">
        <f t="shared" si="16"/>
        <v>6.4122326329256278E-4</v>
      </c>
      <c r="T35" s="24">
        <f t="shared" si="17"/>
        <v>-5.7165511279160544E-2</v>
      </c>
      <c r="U35" s="59">
        <f t="shared" si="18"/>
        <v>9.2766035230708766E-4</v>
      </c>
      <c r="V35" s="25">
        <f>M35/R35</f>
        <v>4.4959305043937589E-3</v>
      </c>
      <c r="W35" s="26">
        <f t="shared" si="20"/>
        <v>999349.81120822625</v>
      </c>
      <c r="X35" s="26">
        <f>M35/AE35</f>
        <v>4493.0073007712081</v>
      </c>
      <c r="Y35" s="20">
        <v>1000000</v>
      </c>
      <c r="Z35" s="20">
        <v>1000000</v>
      </c>
      <c r="AA35" s="149">
        <v>10</v>
      </c>
      <c r="AB35" s="149">
        <v>412</v>
      </c>
      <c r="AC35" s="149">
        <v>30</v>
      </c>
      <c r="AD35" s="149">
        <v>53</v>
      </c>
      <c r="AE35" s="150">
        <v>389</v>
      </c>
      <c r="AF35" s="5"/>
      <c r="AG35" s="5"/>
      <c r="AH35" s="5"/>
      <c r="AI35" s="5"/>
      <c r="AJ35" s="6"/>
      <c r="AK35" s="4"/>
      <c r="AL35" s="5"/>
      <c r="AM35" s="5"/>
      <c r="AN35" s="5"/>
      <c r="AO35" s="6"/>
      <c r="AP35" s="4"/>
      <c r="AQ35" s="5"/>
      <c r="AR35" s="5"/>
      <c r="AS35" s="5"/>
      <c r="AT35" s="6"/>
    </row>
    <row r="36" spans="1:256" ht="16.5" customHeight="1" x14ac:dyDescent="0.3">
      <c r="A36" s="172">
        <v>31</v>
      </c>
      <c r="B36" s="58" t="s">
        <v>72</v>
      </c>
      <c r="C36" s="58" t="s">
        <v>73</v>
      </c>
      <c r="D36" s="53"/>
      <c r="E36" s="53"/>
      <c r="F36" s="53">
        <v>2339635782.6799998</v>
      </c>
      <c r="G36" s="53"/>
      <c r="H36" s="53"/>
      <c r="I36" s="53"/>
      <c r="J36" s="53">
        <v>2339635782.6799998</v>
      </c>
      <c r="K36" s="53">
        <v>31190128.02</v>
      </c>
      <c r="L36" s="53">
        <v>7005156.1900000004</v>
      </c>
      <c r="M36" s="152">
        <v>24184971.829999998</v>
      </c>
      <c r="N36" s="20">
        <v>5378806966.6700001</v>
      </c>
      <c r="O36" s="20">
        <v>22297767.039999999</v>
      </c>
      <c r="P36" s="30">
        <v>5442847808.1400003</v>
      </c>
      <c r="Q36" s="23">
        <f t="shared" si="15"/>
        <v>8.7840392056067283E-3</v>
      </c>
      <c r="R36" s="30">
        <v>5356509199.6300001</v>
      </c>
      <c r="S36" s="23">
        <f t="shared" si="16"/>
        <v>8.8353546970359291E-3</v>
      </c>
      <c r="T36" s="24">
        <f t="shared" si="17"/>
        <v>-1.5862763676926135E-2</v>
      </c>
      <c r="U36" s="59">
        <f t="shared" si="18"/>
        <v>1.3077838437174495E-3</v>
      </c>
      <c r="V36" s="25">
        <f t="shared" si="19"/>
        <v>4.5150621288339377E-3</v>
      </c>
      <c r="W36" s="26">
        <f t="shared" si="20"/>
        <v>1.003232198166307</v>
      </c>
      <c r="X36" s="26">
        <f t="shared" si="21"/>
        <v>4.5296557043675162E-3</v>
      </c>
      <c r="Y36" s="20">
        <v>1</v>
      </c>
      <c r="Z36" s="20">
        <v>1</v>
      </c>
      <c r="AA36" s="149">
        <v>1539</v>
      </c>
      <c r="AB36" s="149">
        <v>5351761976.9200001</v>
      </c>
      <c r="AC36" s="149">
        <v>893314777.64999998</v>
      </c>
      <c r="AD36" s="149">
        <v>905825074.42999995</v>
      </c>
      <c r="AE36" s="150">
        <v>5339251680.1400003</v>
      </c>
      <c r="AF36" s="5"/>
      <c r="AG36" s="5"/>
      <c r="AH36" s="5"/>
      <c r="AI36" s="5"/>
      <c r="AJ36" s="6"/>
      <c r="AK36" s="4"/>
      <c r="AL36" s="5"/>
      <c r="AM36" s="5"/>
      <c r="AN36" s="5"/>
      <c r="AO36" s="6"/>
      <c r="AP36" s="4"/>
      <c r="AQ36" s="5"/>
      <c r="AR36" s="5"/>
      <c r="AS36" s="5"/>
      <c r="AT36" s="6"/>
    </row>
    <row r="37" spans="1:256" ht="16.5" customHeight="1" x14ac:dyDescent="0.3">
      <c r="A37" s="172">
        <v>32</v>
      </c>
      <c r="B37" s="58" t="s">
        <v>74</v>
      </c>
      <c r="C37" s="58" t="s">
        <v>75</v>
      </c>
      <c r="D37" s="53"/>
      <c r="E37" s="53"/>
      <c r="F37" s="53">
        <v>16981450888.58</v>
      </c>
      <c r="G37" s="53"/>
      <c r="H37" s="53"/>
      <c r="I37" s="53"/>
      <c r="J37" s="53">
        <v>16981450888.58</v>
      </c>
      <c r="K37" s="184">
        <v>90964871.530000001</v>
      </c>
      <c r="L37" s="184">
        <v>18485202.899999999</v>
      </c>
      <c r="M37" s="152">
        <v>72479668.629999995</v>
      </c>
      <c r="N37" s="184">
        <v>17317976599.52</v>
      </c>
      <c r="O37" s="184">
        <v>18484431.41</v>
      </c>
      <c r="P37" s="30">
        <v>14942348746.6</v>
      </c>
      <c r="Q37" s="23">
        <f t="shared" si="15"/>
        <v>2.4114982053638722E-2</v>
      </c>
      <c r="R37" s="30">
        <v>17299492168.110001</v>
      </c>
      <c r="S37" s="23">
        <f t="shared" si="16"/>
        <v>2.8534843064286133E-2</v>
      </c>
      <c r="T37" s="24">
        <f t="shared" si="17"/>
        <v>0.15774919067167051</v>
      </c>
      <c r="U37" s="59">
        <f t="shared" si="18"/>
        <v>1.0685402045544287E-3</v>
      </c>
      <c r="V37" s="25">
        <f t="shared" si="19"/>
        <v>4.1896992076801828E-3</v>
      </c>
      <c r="W37" s="26">
        <f t="shared" si="20"/>
        <v>1.0060750459238827</v>
      </c>
      <c r="X37" s="26">
        <f t="shared" si="21"/>
        <v>4.2151518227740948E-3</v>
      </c>
      <c r="Y37" s="20">
        <v>1</v>
      </c>
      <c r="Z37" s="20">
        <v>1</v>
      </c>
      <c r="AA37" s="149">
        <v>2582</v>
      </c>
      <c r="AB37" s="184">
        <v>14724313801.93</v>
      </c>
      <c r="AC37" s="184">
        <v>4009083684.02</v>
      </c>
      <c r="AD37" s="184">
        <v>1538365924.24</v>
      </c>
      <c r="AE37" s="150">
        <v>17195031561.709999</v>
      </c>
      <c r="AF37" s="5"/>
      <c r="AG37" s="5"/>
      <c r="AH37" s="5"/>
      <c r="AI37" s="5"/>
      <c r="AJ37" s="6"/>
      <c r="AK37" s="4"/>
      <c r="AL37" s="5"/>
      <c r="AM37" s="5"/>
      <c r="AN37" s="5"/>
      <c r="AO37" s="6"/>
      <c r="AP37" s="4"/>
      <c r="AQ37" s="5"/>
      <c r="AR37" s="5"/>
      <c r="AS37" s="5"/>
      <c r="AT37" s="6"/>
    </row>
    <row r="38" spans="1:256" ht="16.5" customHeight="1" x14ac:dyDescent="0.3">
      <c r="A38" s="172">
        <v>33</v>
      </c>
      <c r="B38" s="58" t="s">
        <v>31</v>
      </c>
      <c r="C38" s="58" t="s">
        <v>76</v>
      </c>
      <c r="D38" s="53"/>
      <c r="E38" s="53"/>
      <c r="F38" s="53">
        <v>584887839.92999995</v>
      </c>
      <c r="G38" s="53"/>
      <c r="H38" s="53"/>
      <c r="I38" s="53"/>
      <c r="J38" s="53">
        <v>584887839.92999995</v>
      </c>
      <c r="K38" s="53">
        <v>4035730.66</v>
      </c>
      <c r="L38" s="53">
        <v>1271757.6299999999</v>
      </c>
      <c r="M38" s="152">
        <v>2763973.03</v>
      </c>
      <c r="N38" s="20">
        <v>608883546.62</v>
      </c>
      <c r="O38" s="20">
        <v>14628437.439999999</v>
      </c>
      <c r="P38" s="30">
        <v>584032824.50999999</v>
      </c>
      <c r="Q38" s="23">
        <f t="shared" si="15"/>
        <v>9.4255202583190003E-4</v>
      </c>
      <c r="R38" s="30">
        <v>594255109.17999995</v>
      </c>
      <c r="S38" s="23">
        <f t="shared" si="16"/>
        <v>9.8020081259148897E-4</v>
      </c>
      <c r="T38" s="24">
        <f t="shared" si="17"/>
        <v>1.7502928330400593E-2</v>
      </c>
      <c r="U38" s="59">
        <f t="shared" si="18"/>
        <v>2.1400869935386357E-3</v>
      </c>
      <c r="V38" s="25">
        <f t="shared" si="19"/>
        <v>4.6511556860048672E-3</v>
      </c>
      <c r="W38" s="26">
        <f t="shared" si="20"/>
        <v>102.92769561376768</v>
      </c>
      <c r="X38" s="26">
        <f t="shared" si="21"/>
        <v>0.47873273670135374</v>
      </c>
      <c r="Y38" s="20">
        <v>100</v>
      </c>
      <c r="Z38" s="20">
        <v>100</v>
      </c>
      <c r="AA38" s="149">
        <v>613</v>
      </c>
      <c r="AB38" s="149">
        <v>5684120</v>
      </c>
      <c r="AC38" s="149">
        <v>169550</v>
      </c>
      <c r="AD38" s="149">
        <v>80150</v>
      </c>
      <c r="AE38" s="150">
        <v>5773520</v>
      </c>
      <c r="AF38" s="5"/>
      <c r="AG38" s="5"/>
      <c r="AH38" s="5"/>
      <c r="AI38" s="5"/>
      <c r="AJ38" s="6"/>
      <c r="AK38" s="4"/>
      <c r="AL38" s="5"/>
      <c r="AM38" s="5"/>
      <c r="AN38" s="5"/>
      <c r="AO38" s="6"/>
      <c r="AP38" s="4"/>
      <c r="AQ38" s="5"/>
      <c r="AR38" s="5"/>
      <c r="AS38" s="5"/>
      <c r="AT38" s="6"/>
    </row>
    <row r="39" spans="1:256" ht="16.5" customHeight="1" x14ac:dyDescent="0.3">
      <c r="A39" s="172">
        <v>34</v>
      </c>
      <c r="B39" s="58" t="s">
        <v>25</v>
      </c>
      <c r="C39" s="58" t="s">
        <v>77</v>
      </c>
      <c r="D39" s="53"/>
      <c r="E39" s="53"/>
      <c r="F39" s="53">
        <v>4601424088.4499998</v>
      </c>
      <c r="G39" s="53"/>
      <c r="H39" s="53"/>
      <c r="I39" s="53"/>
      <c r="J39" s="53">
        <v>4595607288.0699997</v>
      </c>
      <c r="K39" s="153">
        <v>23568547.530000001</v>
      </c>
      <c r="L39" s="53">
        <v>5104441.08</v>
      </c>
      <c r="M39" s="152">
        <v>18464106.449999999</v>
      </c>
      <c r="N39" s="20">
        <v>4595607288.0699997</v>
      </c>
      <c r="O39" s="20">
        <v>7236006.3700000001</v>
      </c>
      <c r="P39" s="30">
        <v>4556127119.1000004</v>
      </c>
      <c r="Q39" s="23">
        <f t="shared" si="15"/>
        <v>7.352988848971509E-3</v>
      </c>
      <c r="R39" s="30">
        <v>4588371281.6999998</v>
      </c>
      <c r="S39" s="23">
        <f t="shared" si="16"/>
        <v>7.5683409184311955E-3</v>
      </c>
      <c r="T39" s="24">
        <f t="shared" si="17"/>
        <v>7.0770989827800973E-3</v>
      </c>
      <c r="U39" s="59">
        <f t="shared" si="18"/>
        <v>1.1124734173884889E-3</v>
      </c>
      <c r="V39" s="25">
        <f t="shared" si="19"/>
        <v>4.024109061017184E-3</v>
      </c>
      <c r="W39" s="26">
        <f t="shared" si="20"/>
        <v>0.99041809900913125</v>
      </c>
      <c r="X39" s="26">
        <f t="shared" si="21"/>
        <v>3.9855504464180597E-3</v>
      </c>
      <c r="Y39" s="20">
        <v>0.99</v>
      </c>
      <c r="Z39" s="20">
        <v>0.99</v>
      </c>
      <c r="AA39" s="155">
        <v>829</v>
      </c>
      <c r="AB39" s="155">
        <v>4601616404</v>
      </c>
      <c r="AC39" s="155">
        <v>256712511</v>
      </c>
      <c r="AD39" s="155">
        <v>225566967</v>
      </c>
      <c r="AE39" s="150">
        <v>4632761948</v>
      </c>
      <c r="AF39" s="5"/>
      <c r="AG39" s="5"/>
      <c r="AH39" s="5"/>
      <c r="AI39" s="5"/>
      <c r="AJ39" s="6"/>
      <c r="AK39" s="4"/>
      <c r="AL39" s="5"/>
      <c r="AM39" s="5"/>
      <c r="AN39" s="5"/>
      <c r="AO39" s="6"/>
      <c r="AP39" s="4"/>
      <c r="AQ39" s="5"/>
      <c r="AR39" s="5"/>
      <c r="AS39" s="5"/>
      <c r="AT39" s="6"/>
    </row>
    <row r="40" spans="1:256" ht="16.5" customHeight="1" x14ac:dyDescent="0.3">
      <c r="A40" s="172">
        <v>35</v>
      </c>
      <c r="B40" s="58" t="s">
        <v>78</v>
      </c>
      <c r="C40" s="58" t="s">
        <v>79</v>
      </c>
      <c r="D40" s="53"/>
      <c r="E40" s="53"/>
      <c r="F40" s="53">
        <v>246789632.87</v>
      </c>
      <c r="G40" s="53"/>
      <c r="H40" s="53"/>
      <c r="I40" s="53"/>
      <c r="J40" s="53">
        <v>638749224.45000005</v>
      </c>
      <c r="K40" s="53">
        <v>3880744.22</v>
      </c>
      <c r="L40" s="53">
        <v>1373700</v>
      </c>
      <c r="M40" s="152">
        <v>2507044.2200000002</v>
      </c>
      <c r="N40" s="20">
        <v>644260183.66999996</v>
      </c>
      <c r="O40" s="20">
        <v>4174360.85</v>
      </c>
      <c r="P40" s="30">
        <v>658016808.34000003</v>
      </c>
      <c r="Q40" s="23">
        <f t="shared" si="15"/>
        <v>1.0619524275072465E-3</v>
      </c>
      <c r="R40" s="30">
        <v>640085822.82000005</v>
      </c>
      <c r="S40" s="23">
        <f t="shared" si="16"/>
        <v>1.0557968016837234E-3</v>
      </c>
      <c r="T40" s="24">
        <f t="shared" si="17"/>
        <v>-2.7250041781204722E-2</v>
      </c>
      <c r="U40" s="59">
        <f t="shared" si="18"/>
        <v>2.1461184594714906E-3</v>
      </c>
      <c r="V40" s="25">
        <f t="shared" si="19"/>
        <v>3.9167313672951194E-3</v>
      </c>
      <c r="W40" s="26">
        <f t="shared" si="20"/>
        <v>9.9743056261627867</v>
      </c>
      <c r="X40" s="26">
        <f t="shared" si="21"/>
        <v>3.9066675712979969E-2</v>
      </c>
      <c r="Y40" s="20">
        <v>10</v>
      </c>
      <c r="Z40" s="20">
        <v>10</v>
      </c>
      <c r="AA40" s="149">
        <v>283</v>
      </c>
      <c r="AB40" s="149">
        <v>65832637</v>
      </c>
      <c r="AC40" s="149">
        <v>2263955</v>
      </c>
      <c r="AD40" s="149">
        <v>3923120</v>
      </c>
      <c r="AE40" s="150">
        <v>64173472</v>
      </c>
      <c r="AF40" s="5"/>
      <c r="AG40" s="5"/>
      <c r="AH40" s="5"/>
      <c r="AI40" s="5"/>
      <c r="AJ40" s="6"/>
      <c r="AK40" s="4"/>
      <c r="AL40" s="5"/>
      <c r="AM40" s="5"/>
      <c r="AN40" s="5"/>
      <c r="AO40" s="6"/>
      <c r="AP40" s="4"/>
      <c r="AQ40" s="5"/>
      <c r="AR40" s="5"/>
      <c r="AS40" s="5"/>
      <c r="AT40" s="6"/>
    </row>
    <row r="41" spans="1:256" ht="16.5" customHeight="1" x14ac:dyDescent="0.3">
      <c r="A41" s="172">
        <v>36</v>
      </c>
      <c r="B41" s="58" t="s">
        <v>80</v>
      </c>
      <c r="C41" s="58" t="s">
        <v>81</v>
      </c>
      <c r="D41" s="53"/>
      <c r="E41" s="53"/>
      <c r="F41" s="53">
        <v>509565145.36000001</v>
      </c>
      <c r="G41" s="53"/>
      <c r="H41" s="53"/>
      <c r="I41" s="53"/>
      <c r="J41" s="53">
        <v>550734100.15999997</v>
      </c>
      <c r="K41" s="53">
        <v>3813622.09</v>
      </c>
      <c r="L41" s="53">
        <v>1163413.6000000001</v>
      </c>
      <c r="M41" s="152">
        <v>2650208.4900000002</v>
      </c>
      <c r="N41" s="20">
        <v>620759087.78999996</v>
      </c>
      <c r="O41" s="20">
        <v>1912256.47</v>
      </c>
      <c r="P41" s="30">
        <v>615362735.03999996</v>
      </c>
      <c r="Q41" s="23">
        <f t="shared" si="15"/>
        <v>9.9311437335741662E-4</v>
      </c>
      <c r="R41" s="30">
        <v>618846831.32000005</v>
      </c>
      <c r="S41" s="23">
        <f t="shared" si="16"/>
        <v>1.0207639068792501E-3</v>
      </c>
      <c r="T41" s="24">
        <f t="shared" si="17"/>
        <v>5.6618577655236412E-3</v>
      </c>
      <c r="U41" s="59">
        <f t="shared" si="18"/>
        <v>1.8799701979865346E-3</v>
      </c>
      <c r="V41" s="25">
        <f t="shared" si="19"/>
        <v>4.2824950470330544E-3</v>
      </c>
      <c r="W41" s="26">
        <f t="shared" si="20"/>
        <v>1.00434459421418</v>
      </c>
      <c r="X41" s="26">
        <f t="shared" si="21"/>
        <v>4.3011007502366484E-3</v>
      </c>
      <c r="Y41" s="20">
        <v>1</v>
      </c>
      <c r="Z41" s="20">
        <v>1</v>
      </c>
      <c r="AA41" s="149">
        <v>147</v>
      </c>
      <c r="AB41" s="149">
        <v>608768298.47000003</v>
      </c>
      <c r="AC41" s="149">
        <v>14697525</v>
      </c>
      <c r="AD41" s="149">
        <v>7296000</v>
      </c>
      <c r="AE41" s="150">
        <v>616169823.47000003</v>
      </c>
      <c r="AF41" s="5"/>
      <c r="AG41" s="5"/>
      <c r="AH41" s="5"/>
      <c r="AI41" s="5"/>
      <c r="AJ41" s="6"/>
      <c r="AK41" s="4"/>
      <c r="AL41" s="5"/>
      <c r="AM41" s="5"/>
      <c r="AN41" s="5"/>
      <c r="AO41" s="6"/>
      <c r="AP41" s="4"/>
      <c r="AQ41" s="5"/>
      <c r="AR41" s="5"/>
      <c r="AS41" s="5"/>
      <c r="AT41" s="6"/>
    </row>
    <row r="42" spans="1:256" ht="16.5" customHeight="1" x14ac:dyDescent="0.3">
      <c r="A42" s="172">
        <v>37</v>
      </c>
      <c r="B42" s="58" t="s">
        <v>82</v>
      </c>
      <c r="C42" s="58" t="s">
        <v>151</v>
      </c>
      <c r="D42" s="53"/>
      <c r="E42" s="53"/>
      <c r="F42" s="53">
        <v>5625869603.9799995</v>
      </c>
      <c r="G42" s="53"/>
      <c r="H42" s="53"/>
      <c r="I42" s="53"/>
      <c r="J42" s="53">
        <v>5625869603.9799995</v>
      </c>
      <c r="K42" s="53">
        <v>38164665.280000001</v>
      </c>
      <c r="L42" s="53">
        <v>8431302.9100000001</v>
      </c>
      <c r="M42" s="152">
        <v>30700669.300000001</v>
      </c>
      <c r="N42" s="20">
        <v>5684664230.6099997</v>
      </c>
      <c r="O42" s="20">
        <v>124952902.5</v>
      </c>
      <c r="P42" s="30">
        <v>5693630572.0299997</v>
      </c>
      <c r="Q42" s="23">
        <f t="shared" si="15"/>
        <v>9.1887695430608943E-3</v>
      </c>
      <c r="R42" s="30">
        <v>5559711328.1099997</v>
      </c>
      <c r="S42" s="23">
        <f t="shared" si="16"/>
        <v>9.1705287466646458E-3</v>
      </c>
      <c r="T42" s="24">
        <f>((R42-P42)/P42)</f>
        <v>-2.3520887459379487E-2</v>
      </c>
      <c r="U42" s="59">
        <f t="shared" si="18"/>
        <v>1.5165001224741979E-3</v>
      </c>
      <c r="V42" s="25">
        <f>M42/R42</f>
        <v>5.5219898099343519E-3</v>
      </c>
      <c r="W42" s="26">
        <f t="shared" si="20"/>
        <v>100.00000000197851</v>
      </c>
      <c r="X42" s="26">
        <f t="shared" si="21"/>
        <v>0.55219898100436049</v>
      </c>
      <c r="Y42" s="20">
        <v>100</v>
      </c>
      <c r="Z42" s="20">
        <v>100</v>
      </c>
      <c r="AA42" s="149">
        <v>1260</v>
      </c>
      <c r="AB42" s="149">
        <v>56936305.719999999</v>
      </c>
      <c r="AC42" s="149">
        <v>2732673.78</v>
      </c>
      <c r="AD42" s="149">
        <v>4071866.22</v>
      </c>
      <c r="AE42" s="150">
        <v>55597113.280000001</v>
      </c>
      <c r="AF42" s="5"/>
      <c r="AG42" s="5"/>
      <c r="AH42" s="5"/>
      <c r="AI42" s="5"/>
      <c r="AJ42" s="6"/>
      <c r="AK42" s="4"/>
      <c r="AL42" s="5"/>
      <c r="AM42" s="5"/>
      <c r="AN42" s="5"/>
      <c r="AO42" s="6"/>
      <c r="AP42" s="4"/>
      <c r="AQ42" s="5"/>
      <c r="AR42" s="5"/>
      <c r="AS42" s="5"/>
      <c r="AT42" s="6"/>
    </row>
    <row r="43" spans="1:256" ht="16.5" customHeight="1" x14ac:dyDescent="0.3">
      <c r="A43" s="172">
        <v>38</v>
      </c>
      <c r="B43" s="58" t="s">
        <v>173</v>
      </c>
      <c r="C43" s="58" t="s">
        <v>83</v>
      </c>
      <c r="D43" s="53"/>
      <c r="E43" s="53"/>
      <c r="F43" s="53">
        <v>213150241.83000001</v>
      </c>
      <c r="G43" s="53"/>
      <c r="H43" s="53"/>
      <c r="I43" s="53"/>
      <c r="J43" s="53">
        <v>213150241.83000001</v>
      </c>
      <c r="K43" s="53">
        <v>2217606.0299999998</v>
      </c>
      <c r="L43" s="53">
        <v>652672.39</v>
      </c>
      <c r="M43" s="152">
        <v>1564933.64</v>
      </c>
      <c r="N43" s="20">
        <v>301314652.97000003</v>
      </c>
      <c r="O43" s="20">
        <v>1655343.59</v>
      </c>
      <c r="P43" s="30">
        <v>301189791.32999998</v>
      </c>
      <c r="Q43" s="23">
        <f t="shared" si="15"/>
        <v>4.8608063804659994E-4</v>
      </c>
      <c r="R43" s="30">
        <v>299659309.38</v>
      </c>
      <c r="S43" s="23">
        <f t="shared" si="16"/>
        <v>4.9427643787562398E-4</v>
      </c>
      <c r="T43" s="24">
        <f t="shared" si="17"/>
        <v>-5.0814536018689571E-3</v>
      </c>
      <c r="U43" s="59">
        <f t="shared" si="18"/>
        <v>2.1780481018607092E-3</v>
      </c>
      <c r="V43" s="25">
        <f t="shared" si="19"/>
        <v>5.2223761819309841E-3</v>
      </c>
      <c r="W43" s="26">
        <f t="shared" si="20"/>
        <v>0.99263585256320463</v>
      </c>
      <c r="X43" s="26">
        <f t="shared" si="21"/>
        <v>5.1839178337568358E-3</v>
      </c>
      <c r="Y43" s="20">
        <v>1</v>
      </c>
      <c r="Z43" s="20">
        <v>1</v>
      </c>
      <c r="AA43" s="149">
        <v>270</v>
      </c>
      <c r="AB43" s="149">
        <v>298430861</v>
      </c>
      <c r="AC43" s="149">
        <v>6729916</v>
      </c>
      <c r="AD43" s="149">
        <v>3278361</v>
      </c>
      <c r="AE43" s="150">
        <v>301882416</v>
      </c>
      <c r="AF43" s="5"/>
      <c r="AG43" s="5"/>
      <c r="AH43" s="5"/>
      <c r="AI43" s="5"/>
      <c r="AJ43" s="6"/>
      <c r="AK43" s="4"/>
      <c r="AL43" s="5"/>
      <c r="AM43" s="5"/>
      <c r="AN43" s="5"/>
      <c r="AO43" s="6"/>
      <c r="AP43" s="4"/>
      <c r="AQ43" s="5"/>
      <c r="AR43" s="5"/>
      <c r="AS43" s="5"/>
      <c r="AT43" s="6"/>
    </row>
    <row r="44" spans="1:256" ht="16.5" customHeight="1" x14ac:dyDescent="0.3">
      <c r="A44" s="172">
        <v>39</v>
      </c>
      <c r="B44" s="58" t="s">
        <v>50</v>
      </c>
      <c r="C44" s="58" t="s">
        <v>84</v>
      </c>
      <c r="D44" s="53"/>
      <c r="E44" s="53"/>
      <c r="F44" s="53">
        <v>348449570.91000003</v>
      </c>
      <c r="G44" s="53"/>
      <c r="H44" s="53"/>
      <c r="I44" s="53"/>
      <c r="J44" s="53">
        <v>348449570.91000003</v>
      </c>
      <c r="K44" s="53">
        <v>2265428.02</v>
      </c>
      <c r="L44" s="53">
        <v>510490.53</v>
      </c>
      <c r="M44" s="152">
        <v>1754937.49</v>
      </c>
      <c r="N44" s="20">
        <v>351832416.29000002</v>
      </c>
      <c r="O44" s="20">
        <v>510490.53</v>
      </c>
      <c r="P44" s="30">
        <v>356317692.04000002</v>
      </c>
      <c r="Q44" s="23">
        <f t="shared" si="15"/>
        <v>5.7504980606838923E-4</v>
      </c>
      <c r="R44" s="30">
        <v>351321925.75999999</v>
      </c>
      <c r="S44" s="23">
        <f t="shared" si="16"/>
        <v>5.7949192491814187E-4</v>
      </c>
      <c r="T44" s="24">
        <f t="shared" si="17"/>
        <v>-1.4020539511799513E-2</v>
      </c>
      <c r="U44" s="59">
        <f>(L44/R44)</f>
        <v>1.4530562784992062E-3</v>
      </c>
      <c r="V44" s="25">
        <f t="shared" si="19"/>
        <v>4.9952404371108273E-3</v>
      </c>
      <c r="W44" s="26">
        <f t="shared" si="20"/>
        <v>99.737217424275727</v>
      </c>
      <c r="X44" s="26">
        <f t="shared" si="21"/>
        <v>0.49821138156265671</v>
      </c>
      <c r="Y44" s="20">
        <v>100</v>
      </c>
      <c r="Z44" s="20">
        <v>100</v>
      </c>
      <c r="AA44" s="149">
        <v>821</v>
      </c>
      <c r="AB44" s="149">
        <v>3493152.44</v>
      </c>
      <c r="AC44" s="149">
        <v>317812.05</v>
      </c>
      <c r="AD44" s="149">
        <v>288488.78000000003</v>
      </c>
      <c r="AE44" s="150">
        <v>3522475.71</v>
      </c>
      <c r="AF44" s="5"/>
      <c r="AG44" s="5"/>
      <c r="AH44" s="5"/>
      <c r="AI44" s="5"/>
      <c r="AJ44" s="6"/>
      <c r="AK44" s="4"/>
      <c r="AL44" s="5"/>
      <c r="AM44" s="5"/>
      <c r="AN44" s="5"/>
      <c r="AO44" s="6"/>
      <c r="AP44" s="4"/>
      <c r="AQ44" s="5"/>
      <c r="AR44" s="5"/>
      <c r="AS44" s="5"/>
      <c r="AT44" s="6"/>
    </row>
    <row r="45" spans="1:256" ht="16.5" customHeight="1" x14ac:dyDescent="0.3">
      <c r="A45" s="172">
        <v>40</v>
      </c>
      <c r="B45" s="58" t="s">
        <v>85</v>
      </c>
      <c r="C45" s="58" t="s">
        <v>86</v>
      </c>
      <c r="D45" s="53"/>
      <c r="E45" s="53"/>
      <c r="F45" s="53">
        <v>114458737.2</v>
      </c>
      <c r="G45" s="53"/>
      <c r="H45" s="53"/>
      <c r="I45" s="53"/>
      <c r="J45" s="53">
        <v>114458737.2</v>
      </c>
      <c r="K45" s="53">
        <v>931960.22</v>
      </c>
      <c r="L45" s="53">
        <v>138711.71</v>
      </c>
      <c r="M45" s="152">
        <v>793248.51</v>
      </c>
      <c r="N45" s="20">
        <v>115105834.65000001</v>
      </c>
      <c r="O45" s="20">
        <v>2975495.88</v>
      </c>
      <c r="P45" s="30">
        <v>111604611.14</v>
      </c>
      <c r="Q45" s="23">
        <f t="shared" si="15"/>
        <v>1.801151372107293E-4</v>
      </c>
      <c r="R45" s="30">
        <v>112130388.77</v>
      </c>
      <c r="S45" s="23">
        <f t="shared" si="16"/>
        <v>1.8495473827766739E-4</v>
      </c>
      <c r="T45" s="24">
        <f>((R45-P45)/P45)</f>
        <v>4.711074431686741E-3</v>
      </c>
      <c r="U45" s="99">
        <f>(L45/R45)</f>
        <v>1.237057246671312E-3</v>
      </c>
      <c r="V45" s="25">
        <f t="shared" si="19"/>
        <v>7.074340138310751E-3</v>
      </c>
      <c r="W45" s="26">
        <f t="shared" si="20"/>
        <v>1</v>
      </c>
      <c r="X45" s="26">
        <f t="shared" si="21"/>
        <v>7.074340138310751E-3</v>
      </c>
      <c r="Y45" s="20">
        <v>1</v>
      </c>
      <c r="Z45" s="20">
        <v>1</v>
      </c>
      <c r="AA45" s="149">
        <v>38</v>
      </c>
      <c r="AB45" s="149">
        <v>112329079.77</v>
      </c>
      <c r="AC45" s="149">
        <v>877558</v>
      </c>
      <c r="AD45" s="149">
        <v>1076249</v>
      </c>
      <c r="AE45" s="150">
        <v>112130388.77</v>
      </c>
      <c r="AF45" s="5"/>
      <c r="AG45" s="5"/>
      <c r="AH45" s="5"/>
      <c r="AI45" s="5"/>
      <c r="AJ45" s="6"/>
      <c r="AK45" s="4"/>
      <c r="AL45" s="5"/>
      <c r="AM45" s="5"/>
      <c r="AN45" s="5"/>
      <c r="AO45" s="6"/>
      <c r="AP45" s="4"/>
      <c r="AQ45" s="5"/>
      <c r="AR45" s="5"/>
      <c r="AS45" s="5"/>
      <c r="AT45" s="6"/>
    </row>
    <row r="46" spans="1:256" ht="16.5" customHeight="1" x14ac:dyDescent="0.3">
      <c r="A46" s="172">
        <v>41</v>
      </c>
      <c r="B46" s="58" t="s">
        <v>87</v>
      </c>
      <c r="C46" s="61" t="s">
        <v>88</v>
      </c>
      <c r="D46" s="53"/>
      <c r="E46" s="53"/>
      <c r="F46" s="53">
        <v>661849633.04999995</v>
      </c>
      <c r="G46" s="53"/>
      <c r="H46" s="53"/>
      <c r="I46" s="53"/>
      <c r="J46" s="53">
        <v>855072016.36000001</v>
      </c>
      <c r="K46" s="53">
        <v>7559160.6100000003</v>
      </c>
      <c r="L46" s="53">
        <v>1623603.31</v>
      </c>
      <c r="M46" s="152">
        <v>5935557.2999999998</v>
      </c>
      <c r="N46" s="20">
        <v>1388164187.99</v>
      </c>
      <c r="O46" s="20">
        <v>9597762.6699999999</v>
      </c>
      <c r="P46" s="30">
        <v>1434354770.03</v>
      </c>
      <c r="Q46" s="23">
        <f t="shared" si="15"/>
        <v>2.3148596063717942E-3</v>
      </c>
      <c r="R46" s="30">
        <v>1378566425.3199999</v>
      </c>
      <c r="S46" s="23">
        <f t="shared" si="16"/>
        <v>2.2738919858419047E-3</v>
      </c>
      <c r="T46" s="24">
        <f t="shared" si="17"/>
        <v>-3.8894383645988226E-2</v>
      </c>
      <c r="U46" s="59">
        <f t="shared" si="18"/>
        <v>1.1777476080799814E-3</v>
      </c>
      <c r="V46" s="25">
        <f t="shared" si="19"/>
        <v>4.3056012325428626E-3</v>
      </c>
      <c r="W46" s="26">
        <f t="shared" si="20"/>
        <v>1.0043242225391196</v>
      </c>
      <c r="X46" s="26">
        <f t="shared" si="21"/>
        <v>4.3242196104370852E-3</v>
      </c>
      <c r="Y46" s="20">
        <v>1</v>
      </c>
      <c r="Z46" s="20">
        <v>1.03</v>
      </c>
      <c r="AA46" s="149">
        <v>36</v>
      </c>
      <c r="AB46" s="149">
        <v>1415427718</v>
      </c>
      <c r="AC46" s="149">
        <v>18913146</v>
      </c>
      <c r="AD46" s="149">
        <v>61710000</v>
      </c>
      <c r="AE46" s="150">
        <v>1372630864</v>
      </c>
      <c r="AF46" s="5"/>
      <c r="AG46" s="5"/>
      <c r="AH46" s="5"/>
      <c r="AI46" s="5"/>
      <c r="AJ46" s="6"/>
      <c r="AK46" s="4"/>
      <c r="AL46" s="5"/>
      <c r="AM46" s="5"/>
      <c r="AN46" s="5"/>
      <c r="AO46" s="6"/>
      <c r="AP46" s="4"/>
      <c r="AQ46" s="5"/>
      <c r="AR46" s="5"/>
      <c r="AS46" s="5"/>
      <c r="AT46" s="6"/>
    </row>
    <row r="47" spans="1:256" ht="16.5" customHeight="1" x14ac:dyDescent="0.3">
      <c r="A47" s="172">
        <v>42</v>
      </c>
      <c r="B47" s="57" t="s">
        <v>89</v>
      </c>
      <c r="C47" s="58" t="s">
        <v>90</v>
      </c>
      <c r="D47" s="53"/>
      <c r="E47" s="53"/>
      <c r="F47" s="53">
        <v>114554563.48999999</v>
      </c>
      <c r="G47" s="53"/>
      <c r="H47" s="53"/>
      <c r="I47" s="53"/>
      <c r="J47" s="53">
        <v>114554563.48999999</v>
      </c>
      <c r="K47" s="53">
        <v>655304.19999999995</v>
      </c>
      <c r="L47" s="53">
        <v>57049.85</v>
      </c>
      <c r="M47" s="152">
        <v>598254.35</v>
      </c>
      <c r="N47" s="20">
        <v>155598988.19</v>
      </c>
      <c r="O47" s="20">
        <v>4175905.88</v>
      </c>
      <c r="P47" s="30">
        <v>157728141.75</v>
      </c>
      <c r="Q47" s="23">
        <f t="shared" si="15"/>
        <v>2.5455243831867548E-4</v>
      </c>
      <c r="R47" s="30">
        <v>151051190.90000001</v>
      </c>
      <c r="S47" s="23">
        <f t="shared" si="16"/>
        <v>2.4915309565852565E-4</v>
      </c>
      <c r="T47" s="24">
        <f>((R47-P47)/P47)</f>
        <v>-4.2332019992874823E-2</v>
      </c>
      <c r="U47" s="59">
        <f>(L47/R47)</f>
        <v>3.7768553600989847E-4</v>
      </c>
      <c r="V47" s="25">
        <f>M47/R47</f>
        <v>3.9606066422611698E-3</v>
      </c>
      <c r="W47" s="26">
        <f>R47/AE47</f>
        <v>0.99867671849172857</v>
      </c>
      <c r="X47" s="26">
        <f>M47/AE47</f>
        <v>3.9553656447299289E-3</v>
      </c>
      <c r="Y47" s="20">
        <v>1</v>
      </c>
      <c r="Z47" s="20">
        <v>1</v>
      </c>
      <c r="AA47" s="149">
        <v>39</v>
      </c>
      <c r="AB47" s="149">
        <v>157675295</v>
      </c>
      <c r="AC47" s="53">
        <v>1184296</v>
      </c>
      <c r="AD47" s="149">
        <v>7608252</v>
      </c>
      <c r="AE47" s="150">
        <f>(AB47+AC47)-AD47</f>
        <v>151251339</v>
      </c>
      <c r="AF47" s="5"/>
      <c r="AG47" s="5"/>
      <c r="AH47" s="5"/>
      <c r="AI47" s="5"/>
      <c r="AJ47" s="6"/>
      <c r="AK47" s="4"/>
      <c r="AL47" s="5"/>
      <c r="AM47" s="5"/>
      <c r="AN47" s="5"/>
      <c r="AO47" s="6"/>
      <c r="AP47" s="4"/>
      <c r="AQ47" s="5"/>
      <c r="AR47" s="5"/>
      <c r="AS47" s="5"/>
      <c r="AT47" s="6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  <c r="IV47" s="18"/>
    </row>
    <row r="48" spans="1:256" ht="16.5" customHeight="1" x14ac:dyDescent="0.3">
      <c r="A48" s="172">
        <v>43</v>
      </c>
      <c r="B48" s="57" t="s">
        <v>159</v>
      </c>
      <c r="C48" s="57" t="s">
        <v>160</v>
      </c>
      <c r="D48" s="53"/>
      <c r="E48" s="53"/>
      <c r="F48" s="53">
        <v>353210002.19</v>
      </c>
      <c r="G48" s="53"/>
      <c r="H48" s="53"/>
      <c r="I48" s="53">
        <v>1236810.25</v>
      </c>
      <c r="J48" s="53">
        <v>354446812.44</v>
      </c>
      <c r="K48" s="53">
        <v>7836163.6299999999</v>
      </c>
      <c r="L48" s="53">
        <v>1906444.8</v>
      </c>
      <c r="M48" s="152">
        <v>3949729.54</v>
      </c>
      <c r="N48" s="20">
        <v>948507672.64999998</v>
      </c>
      <c r="O48" s="20">
        <v>933270817.21000004</v>
      </c>
      <c r="P48" s="30">
        <v>862131775.38999999</v>
      </c>
      <c r="Q48" s="23">
        <f t="shared" si="15"/>
        <v>1.3913670898714761E-3</v>
      </c>
      <c r="R48" s="30">
        <v>934382433.95000005</v>
      </c>
      <c r="S48" s="23">
        <f t="shared" si="16"/>
        <v>1.5412276762631625E-3</v>
      </c>
      <c r="T48" s="24">
        <f>((R48-P48)/P48)</f>
        <v>8.3804657968111942E-2</v>
      </c>
      <c r="U48" s="59">
        <f>(L48/R48)</f>
        <v>2.0403260278992106E-3</v>
      </c>
      <c r="V48" s="25">
        <f>M48/R48</f>
        <v>4.2271016625419081E-3</v>
      </c>
      <c r="W48" s="26">
        <f>R48/AE48</f>
        <v>1.0011910977172984</v>
      </c>
      <c r="X48" s="26">
        <f>M48/AE48</f>
        <v>4.2321365536829502E-3</v>
      </c>
      <c r="Y48" s="20">
        <v>1</v>
      </c>
      <c r="Z48" s="20">
        <v>1</v>
      </c>
      <c r="AA48" s="149">
        <v>239</v>
      </c>
      <c r="AB48" s="149">
        <v>861179751.04999995</v>
      </c>
      <c r="AC48" s="149">
        <v>96355535.340000004</v>
      </c>
      <c r="AD48" s="149">
        <v>24264469.18</v>
      </c>
      <c r="AE48" s="150">
        <v>933270817.21000004</v>
      </c>
      <c r="AF48" s="5"/>
      <c r="AG48" s="5"/>
      <c r="AH48" s="5"/>
      <c r="AI48" s="5"/>
      <c r="AJ48" s="6"/>
      <c r="AK48" s="4"/>
      <c r="AL48" s="5"/>
      <c r="AM48" s="5"/>
      <c r="AN48" s="5"/>
      <c r="AO48" s="6"/>
      <c r="AP48" s="4"/>
      <c r="AQ48" s="5"/>
      <c r="AR48" s="5"/>
      <c r="AS48" s="5"/>
      <c r="AT48" s="6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  <c r="IV48" s="18"/>
    </row>
    <row r="49" spans="1:256" ht="16.5" customHeight="1" x14ac:dyDescent="0.3">
      <c r="A49" s="172">
        <v>44</v>
      </c>
      <c r="B49" s="57" t="s">
        <v>155</v>
      </c>
      <c r="C49" s="58" t="s">
        <v>156</v>
      </c>
      <c r="D49" s="53"/>
      <c r="E49" s="53"/>
      <c r="F49" s="53">
        <v>4675076.72</v>
      </c>
      <c r="G49" s="53"/>
      <c r="H49" s="53"/>
      <c r="I49" s="53"/>
      <c r="J49" s="53">
        <v>4675076.72</v>
      </c>
      <c r="K49" s="53">
        <v>7479.45</v>
      </c>
      <c r="L49" s="53">
        <v>9573.11</v>
      </c>
      <c r="M49" s="152">
        <v>-2093.66</v>
      </c>
      <c r="N49" s="20">
        <v>6897380.8499999996</v>
      </c>
      <c r="O49" s="20">
        <v>242498.95</v>
      </c>
      <c r="P49" s="30">
        <v>6825087.04</v>
      </c>
      <c r="Q49" s="23">
        <f t="shared" si="15"/>
        <v>1.1014791200183473E-5</v>
      </c>
      <c r="R49" s="30">
        <v>6654881.9000000004</v>
      </c>
      <c r="S49" s="23">
        <f t="shared" si="16"/>
        <v>1.0976970236034668E-5</v>
      </c>
      <c r="T49" s="24">
        <f>((R49-P49)/P49)</f>
        <v>-2.4938164012044552E-2</v>
      </c>
      <c r="U49" s="59">
        <f>(L49/R49)</f>
        <v>1.4385093745991194E-3</v>
      </c>
      <c r="V49" s="25">
        <f>M49/R49</f>
        <v>-3.1460513221128681E-4</v>
      </c>
      <c r="W49" s="26">
        <f>R49/AE49</f>
        <v>100.33745797210706</v>
      </c>
      <c r="X49" s="26">
        <f>M49/AE49</f>
        <v>-3.1566679231059179E-2</v>
      </c>
      <c r="Y49" s="20">
        <v>100</v>
      </c>
      <c r="Z49" s="20">
        <v>100</v>
      </c>
      <c r="AA49" s="149">
        <v>71</v>
      </c>
      <c r="AB49" s="53">
        <v>66325</v>
      </c>
      <c r="AC49" s="149">
        <v>0</v>
      </c>
      <c r="AD49" s="149">
        <v>0</v>
      </c>
      <c r="AE49" s="150">
        <f>(AB49+AC49)-AD49</f>
        <v>66325</v>
      </c>
      <c r="AF49" s="5"/>
      <c r="AG49" s="5"/>
      <c r="AH49" s="5"/>
      <c r="AI49" s="5"/>
      <c r="AJ49" s="6"/>
      <c r="AK49" s="4"/>
      <c r="AL49" s="5"/>
      <c r="AM49" s="5"/>
      <c r="AN49" s="5"/>
      <c r="AO49" s="6"/>
      <c r="AP49" s="4"/>
      <c r="AQ49" s="5"/>
      <c r="AR49" s="5"/>
      <c r="AS49" s="5"/>
      <c r="AT49" s="6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  <c r="IV49" s="18"/>
    </row>
    <row r="50" spans="1:256" ht="16.5" customHeight="1" x14ac:dyDescent="0.3">
      <c r="A50" s="176">
        <v>45</v>
      </c>
      <c r="B50" s="177" t="s">
        <v>153</v>
      </c>
      <c r="C50" s="58" t="s">
        <v>170</v>
      </c>
      <c r="D50" s="53"/>
      <c r="E50" s="53"/>
      <c r="F50" s="53">
        <v>751321065.96000004</v>
      </c>
      <c r="G50" s="53"/>
      <c r="H50" s="53"/>
      <c r="I50" s="53"/>
      <c r="J50" s="53">
        <v>751321065.96000004</v>
      </c>
      <c r="K50" s="53">
        <v>8847364.5500000007</v>
      </c>
      <c r="L50" s="53">
        <v>1584918.61</v>
      </c>
      <c r="M50" s="152">
        <v>7262445.9400000004</v>
      </c>
      <c r="N50" s="20">
        <v>1097580368.6500001</v>
      </c>
      <c r="O50" s="20">
        <v>10001964.07</v>
      </c>
      <c r="P50" s="30">
        <v>1031386925.33</v>
      </c>
      <c r="Q50" s="23">
        <f t="shared" si="15"/>
        <v>1.6645226005951674E-3</v>
      </c>
      <c r="R50" s="30">
        <v>1087578404.5799999</v>
      </c>
      <c r="S50" s="23">
        <f t="shared" si="16"/>
        <v>1.7939185031110364E-3</v>
      </c>
      <c r="T50" s="24">
        <f>((R50-P50)/P50)</f>
        <v>5.4481473315187698E-2</v>
      </c>
      <c r="U50" s="59">
        <f t="shared" si="18"/>
        <v>1.4572913578695622E-3</v>
      </c>
      <c r="V50" s="25">
        <f t="shared" si="19"/>
        <v>6.6776297776936873E-3</v>
      </c>
      <c r="W50" s="26">
        <f t="shared" si="20"/>
        <v>99.842100619995392</v>
      </c>
      <c r="X50" s="26">
        <f t="shared" si="21"/>
        <v>0.66670858416757062</v>
      </c>
      <c r="Y50" s="20">
        <v>100</v>
      </c>
      <c r="Z50" s="20">
        <v>100</v>
      </c>
      <c r="AA50" s="149">
        <v>552</v>
      </c>
      <c r="AB50" s="149">
        <v>10312621</v>
      </c>
      <c r="AC50" s="149">
        <v>1673685</v>
      </c>
      <c r="AD50" s="149">
        <v>1093322</v>
      </c>
      <c r="AE50" s="150">
        <v>10892984</v>
      </c>
      <c r="AF50" s="5"/>
      <c r="AG50" s="5"/>
      <c r="AH50" s="5"/>
      <c r="AI50" s="5"/>
      <c r="AJ50" s="6"/>
      <c r="AK50" s="4"/>
      <c r="AL50" s="5"/>
      <c r="AM50" s="5"/>
      <c r="AN50" s="5"/>
      <c r="AO50" s="6"/>
      <c r="AP50" s="4"/>
      <c r="AQ50" s="5"/>
      <c r="AR50" s="5"/>
      <c r="AS50" s="5"/>
      <c r="AT50" s="6"/>
    </row>
    <row r="51" spans="1:256" ht="16.5" customHeight="1" x14ac:dyDescent="0.3">
      <c r="A51" s="115" t="s">
        <v>91</v>
      </c>
      <c r="B51" s="89"/>
      <c r="C51" s="35" t="s">
        <v>52</v>
      </c>
      <c r="D51" s="36"/>
      <c r="E51" s="36"/>
      <c r="F51" s="36">
        <f t="shared" ref="F51" si="22">SUM(F22:F50)</f>
        <v>510286922775.08997</v>
      </c>
      <c r="G51" s="36"/>
      <c r="H51" s="36"/>
      <c r="I51" s="36">
        <f t="shared" ref="I51" si="23">SUM(I22:I50)</f>
        <v>1236810.25</v>
      </c>
      <c r="J51" s="36">
        <f t="shared" ref="J51" si="24">SUM(J22:J50)</f>
        <v>519772023410.28992</v>
      </c>
      <c r="K51" s="36">
        <f t="shared" ref="K51" si="25">SUM(K22:K50)</f>
        <v>3943885778.8000007</v>
      </c>
      <c r="L51" s="36">
        <f t="shared" ref="L51" si="26">SUM(L22:L50)</f>
        <v>944084348.45999992</v>
      </c>
      <c r="M51" s="36">
        <f t="shared" ref="M51:N51" si="27">SUM(M22:M50)</f>
        <v>2998633412.4099994</v>
      </c>
      <c r="N51" s="36">
        <f t="shared" si="27"/>
        <v>609797682031.26013</v>
      </c>
      <c r="O51" s="36">
        <f>SUM(O22:O50)</f>
        <v>4472080801.5899992</v>
      </c>
      <c r="P51" s="37">
        <f>SUM(P22:P50)</f>
        <v>619629270855.93005</v>
      </c>
      <c r="Q51" s="88">
        <f>(P51/$P$150)</f>
        <v>0.43860334289045089</v>
      </c>
      <c r="R51" s="37">
        <f>SUM(R22:R50)</f>
        <v>606258535543.22986</v>
      </c>
      <c r="S51" s="88">
        <f>(R51/$R$150)</f>
        <v>0.43066139638087558</v>
      </c>
      <c r="T51" s="38">
        <f t="shared" si="17"/>
        <v>-2.1578605049161766E-2</v>
      </c>
      <c r="U51" s="51"/>
      <c r="V51" s="39"/>
      <c r="W51" s="40"/>
      <c r="X51" s="40"/>
      <c r="Y51" s="36"/>
      <c r="Z51" s="36"/>
      <c r="AA51" s="41">
        <f>SUM(AA22:AA50)</f>
        <v>597799</v>
      </c>
      <c r="AB51" s="41"/>
      <c r="AC51" s="41"/>
      <c r="AD51" s="41"/>
      <c r="AE51" s="113"/>
      <c r="AF51" s="5"/>
      <c r="AG51" s="5"/>
      <c r="AH51" s="5"/>
      <c r="AI51" s="5"/>
      <c r="AJ51" s="6"/>
      <c r="AK51" s="4"/>
      <c r="AL51" s="5"/>
      <c r="AM51" s="5"/>
      <c r="AN51" s="5"/>
      <c r="AO51" s="6"/>
      <c r="AP51" s="4"/>
      <c r="AQ51" s="5"/>
      <c r="AR51" s="5"/>
      <c r="AS51" s="5"/>
      <c r="AT51" s="6"/>
    </row>
    <row r="52" spans="1:256" ht="16.5" customHeight="1" x14ac:dyDescent="0.3">
      <c r="A52" s="203" t="s">
        <v>189</v>
      </c>
      <c r="B52" s="201"/>
      <c r="C52" s="201"/>
      <c r="D52" s="45"/>
      <c r="E52" s="45"/>
      <c r="F52" s="45"/>
      <c r="G52" s="45"/>
      <c r="H52" s="45"/>
      <c r="I52" s="45"/>
      <c r="J52" s="45"/>
      <c r="K52" s="45"/>
      <c r="L52" s="45"/>
      <c r="M52" s="166"/>
      <c r="N52" s="45"/>
      <c r="O52" s="45"/>
      <c r="P52" s="45">
        <v>0</v>
      </c>
      <c r="Q52" s="24"/>
      <c r="R52" s="45">
        <v>0</v>
      </c>
      <c r="S52" s="24"/>
      <c r="T52" s="24"/>
      <c r="U52" s="24"/>
      <c r="V52" s="46"/>
      <c r="W52" s="47"/>
      <c r="X52" s="47"/>
      <c r="Y52" s="45"/>
      <c r="Z52" s="45"/>
      <c r="AA52" s="45"/>
      <c r="AB52" s="45"/>
      <c r="AC52" s="45"/>
      <c r="AD52" s="45"/>
      <c r="AE52" s="116"/>
      <c r="AF52" s="5"/>
      <c r="AG52" s="5"/>
      <c r="AH52" s="5"/>
      <c r="AI52" s="5"/>
      <c r="AJ52" s="6"/>
      <c r="AK52" s="4"/>
      <c r="AL52" s="5"/>
      <c r="AM52" s="5"/>
      <c r="AN52" s="5"/>
      <c r="AO52" s="6"/>
      <c r="AP52" s="4"/>
      <c r="AQ52" s="5"/>
      <c r="AR52" s="5"/>
      <c r="AS52" s="5"/>
      <c r="AT52" s="6"/>
    </row>
    <row r="53" spans="1:256" ht="16.5" customHeight="1" x14ac:dyDescent="0.3">
      <c r="A53" s="172">
        <v>46</v>
      </c>
      <c r="B53" s="58" t="s">
        <v>23</v>
      </c>
      <c r="C53" s="58" t="s">
        <v>92</v>
      </c>
      <c r="D53" s="20"/>
      <c r="E53" s="20"/>
      <c r="F53" s="20">
        <v>16261881071.540001</v>
      </c>
      <c r="G53" s="20">
        <v>49963897186.360001</v>
      </c>
      <c r="H53" s="20"/>
      <c r="I53" s="20"/>
      <c r="J53" s="20">
        <v>66225778257.900002</v>
      </c>
      <c r="K53" s="20">
        <v>389398180.88</v>
      </c>
      <c r="L53" s="20">
        <v>119442368.40000001</v>
      </c>
      <c r="M53" s="152">
        <v>269955812.48000002</v>
      </c>
      <c r="N53" s="20">
        <v>67287236170.870003</v>
      </c>
      <c r="O53" s="20">
        <v>513521327.63</v>
      </c>
      <c r="P53" s="30">
        <v>69903993810.619995</v>
      </c>
      <c r="Q53" s="23">
        <f t="shared" ref="Q53:Q80" si="28">(P53/$P$81)</f>
        <v>0.1679752289997706</v>
      </c>
      <c r="R53" s="30">
        <v>66773714843.239998</v>
      </c>
      <c r="S53" s="23">
        <f t="shared" ref="S53:S80" si="29">(R53/$R$81)</f>
        <v>0.15948496965777523</v>
      </c>
      <c r="T53" s="24">
        <f t="shared" ref="T53:T55" si="30">((R53-P53)/P53)</f>
        <v>-4.4779687064238058E-2</v>
      </c>
      <c r="U53" s="59">
        <f t="shared" ref="U53:U55" si="31">(L53/R53)</f>
        <v>1.7887632683070956E-3</v>
      </c>
      <c r="V53" s="25">
        <f t="shared" ref="V53:V55" si="32">M53/R53</f>
        <v>4.0428454986180789E-3</v>
      </c>
      <c r="W53" s="26">
        <f t="shared" ref="W53:W54" si="33">R53/AE53</f>
        <v>238.25702903625657</v>
      </c>
      <c r="X53" s="26">
        <f t="shared" ref="X53:X54" si="34">M53/AE53</f>
        <v>0.96323635735334667</v>
      </c>
      <c r="Y53" s="148">
        <v>238.26</v>
      </c>
      <c r="Z53" s="148">
        <v>238.26</v>
      </c>
      <c r="AA53" s="149">
        <v>6883</v>
      </c>
      <c r="AB53" s="149">
        <v>294234098.70999998</v>
      </c>
      <c r="AC53" s="149">
        <v>39431456.560000002</v>
      </c>
      <c r="AD53" s="149">
        <v>53406395.18</v>
      </c>
      <c r="AE53" s="150">
        <v>280259160.08999997</v>
      </c>
      <c r="AF53" s="5"/>
      <c r="AG53" s="5"/>
      <c r="AH53" s="5"/>
      <c r="AI53" s="5"/>
      <c r="AJ53" s="6"/>
      <c r="AK53" s="4"/>
      <c r="AL53" s="5"/>
      <c r="AM53" s="5"/>
      <c r="AN53" s="5"/>
      <c r="AO53" s="6"/>
      <c r="AP53" s="4"/>
      <c r="AQ53" s="5"/>
      <c r="AR53" s="5"/>
      <c r="AS53" s="5"/>
      <c r="AT53" s="6"/>
    </row>
    <row r="54" spans="1:256" ht="16.5" customHeight="1" x14ac:dyDescent="0.3">
      <c r="A54" s="172">
        <v>47</v>
      </c>
      <c r="B54" s="58" t="s">
        <v>31</v>
      </c>
      <c r="C54" s="58" t="s">
        <v>93</v>
      </c>
      <c r="D54" s="20"/>
      <c r="E54" s="20"/>
      <c r="F54" s="20">
        <v>413816592.49000001</v>
      </c>
      <c r="G54" s="20">
        <v>983131476.95000005</v>
      </c>
      <c r="H54" s="20"/>
      <c r="I54" s="20"/>
      <c r="J54" s="20">
        <v>1396948069.4400001</v>
      </c>
      <c r="K54" s="20">
        <v>12688256.01</v>
      </c>
      <c r="L54" s="20">
        <v>1842877.47</v>
      </c>
      <c r="M54" s="152">
        <v>1045378.54</v>
      </c>
      <c r="N54" s="20">
        <v>1400110932.1600001</v>
      </c>
      <c r="O54" s="20">
        <v>30224212.510000002</v>
      </c>
      <c r="P54" s="30">
        <v>1396840937.0599999</v>
      </c>
      <c r="Q54" s="23">
        <f t="shared" si="28"/>
        <v>3.3565274813133973E-3</v>
      </c>
      <c r="R54" s="30">
        <v>1369886719.6500001</v>
      </c>
      <c r="S54" s="23">
        <f t="shared" si="29"/>
        <v>3.2718913786790389E-3</v>
      </c>
      <c r="T54" s="24">
        <f t="shared" si="30"/>
        <v>-1.9296554600362528E-2</v>
      </c>
      <c r="U54" s="59">
        <f t="shared" si="31"/>
        <v>1.3452772726133492E-3</v>
      </c>
      <c r="V54" s="25">
        <f t="shared" si="32"/>
        <v>7.631131282644229E-4</v>
      </c>
      <c r="W54" s="26">
        <f t="shared" si="33"/>
        <v>318.66853438550623</v>
      </c>
      <c r="X54" s="26">
        <f t="shared" si="34"/>
        <v>0.24318014215436248</v>
      </c>
      <c r="Y54" s="148">
        <v>318.66849999999999</v>
      </c>
      <c r="Z54" s="148">
        <v>318.66849999999999</v>
      </c>
      <c r="AA54" s="149">
        <v>97</v>
      </c>
      <c r="AB54" s="149">
        <v>4346470.9145</v>
      </c>
      <c r="AC54" s="53">
        <v>311.58780000000002</v>
      </c>
      <c r="AD54" s="149">
        <v>48000</v>
      </c>
      <c r="AE54" s="150">
        <v>4298782.5022999998</v>
      </c>
      <c r="AF54" s="5"/>
      <c r="AG54" s="5"/>
      <c r="AH54" s="5"/>
      <c r="AI54" s="5"/>
      <c r="AJ54" s="6"/>
      <c r="AK54" s="4"/>
      <c r="AL54" s="5"/>
      <c r="AM54" s="5"/>
      <c r="AN54" s="5"/>
      <c r="AO54" s="6"/>
      <c r="AP54" s="4"/>
      <c r="AQ54" s="5"/>
      <c r="AR54" s="5"/>
      <c r="AS54" s="5"/>
      <c r="AT54" s="6"/>
    </row>
    <row r="55" spans="1:256" ht="16.5" customHeight="1" x14ac:dyDescent="0.3">
      <c r="A55" s="172">
        <v>48</v>
      </c>
      <c r="B55" s="58" t="s">
        <v>37</v>
      </c>
      <c r="C55" s="58" t="s">
        <v>190</v>
      </c>
      <c r="D55" s="20"/>
      <c r="E55" s="20"/>
      <c r="F55" s="20">
        <v>22583158374.060001</v>
      </c>
      <c r="G55" s="20">
        <v>35385143643.900002</v>
      </c>
      <c r="H55" s="20"/>
      <c r="I55" s="20"/>
      <c r="J55" s="20">
        <v>58070422958.5</v>
      </c>
      <c r="K55" s="20">
        <v>949228761.50999999</v>
      </c>
      <c r="L55" s="20">
        <v>59705755.520000003</v>
      </c>
      <c r="M55" s="152">
        <v>889523005.99000001</v>
      </c>
      <c r="N55" s="20">
        <v>58107820371.760002</v>
      </c>
      <c r="O55" s="20">
        <v>37397413.229999997</v>
      </c>
      <c r="P55" s="30">
        <v>51795439411.400002</v>
      </c>
      <c r="Q55" s="23">
        <f t="shared" si="28"/>
        <v>0.12446142662240678</v>
      </c>
      <c r="R55" s="30">
        <v>58070422958.540001</v>
      </c>
      <c r="S55" s="23">
        <f t="shared" si="29"/>
        <v>0.13869768463981935</v>
      </c>
      <c r="T55" s="24">
        <f t="shared" si="30"/>
        <v>0.12114934477723335</v>
      </c>
      <c r="U55" s="59">
        <f t="shared" si="31"/>
        <v>1.0281611959779863E-3</v>
      </c>
      <c r="V55" s="25">
        <f t="shared" si="32"/>
        <v>1.5318004599778522E-2</v>
      </c>
      <c r="W55" s="26">
        <f>R55/AE55</f>
        <v>1444.406810012365</v>
      </c>
      <c r="X55" s="26">
        <f>M55/AE55</f>
        <v>22.125430159720828</v>
      </c>
      <c r="Y55" s="148">
        <v>1444.4</v>
      </c>
      <c r="Z55" s="148">
        <v>1444.4</v>
      </c>
      <c r="AA55" s="149">
        <v>2168</v>
      </c>
      <c r="AB55" s="149">
        <v>36161293</v>
      </c>
      <c r="AC55" s="149">
        <v>5377776</v>
      </c>
      <c r="AD55" s="149">
        <v>1335421</v>
      </c>
      <c r="AE55" s="150">
        <v>40203648</v>
      </c>
      <c r="AF55" s="5"/>
      <c r="AG55" s="5"/>
      <c r="AH55" s="5"/>
      <c r="AI55" s="5"/>
      <c r="AJ55" s="6"/>
      <c r="AK55" s="4"/>
      <c r="AL55" s="5"/>
      <c r="AM55" s="5"/>
      <c r="AN55" s="5"/>
      <c r="AO55" s="6"/>
      <c r="AP55" s="4"/>
      <c r="AQ55" s="5"/>
      <c r="AR55" s="5"/>
      <c r="AS55" s="5"/>
      <c r="AT55" s="6"/>
    </row>
    <row r="56" spans="1:256" ht="16.5" customHeight="1" x14ac:dyDescent="0.3">
      <c r="A56" s="172">
        <v>49</v>
      </c>
      <c r="B56" s="57" t="s">
        <v>159</v>
      </c>
      <c r="C56" s="58" t="s">
        <v>161</v>
      </c>
      <c r="D56" s="20"/>
      <c r="E56" s="20"/>
      <c r="F56" s="20"/>
      <c r="G56" s="20">
        <v>472494794.94</v>
      </c>
      <c r="H56" s="29"/>
      <c r="I56" s="28"/>
      <c r="J56" s="28">
        <v>644503094.95000005</v>
      </c>
      <c r="K56" s="28">
        <v>5797974.8399999999</v>
      </c>
      <c r="L56" s="20">
        <v>1417359.8</v>
      </c>
      <c r="M56" s="152">
        <v>4380615.04</v>
      </c>
      <c r="N56" s="20">
        <v>644503094.95000005</v>
      </c>
      <c r="O56" s="20">
        <v>615663499.16999996</v>
      </c>
      <c r="P56" s="30">
        <v>632402978.77999997</v>
      </c>
      <c r="Q56" s="23">
        <f t="shared" si="28"/>
        <v>1.519627554735923E-3</v>
      </c>
      <c r="R56" s="30">
        <v>635827705.35000002</v>
      </c>
      <c r="S56" s="23">
        <f t="shared" si="29"/>
        <v>1.5186359263278818E-3</v>
      </c>
      <c r="T56" s="24">
        <f>((R56-P56)/P56)</f>
        <v>5.4154181509499886E-3</v>
      </c>
      <c r="U56" s="59">
        <f>(L56/R56)</f>
        <v>2.2291570311800033E-3</v>
      </c>
      <c r="V56" s="25">
        <f>M56/R56</f>
        <v>6.8896259208909919E-3</v>
      </c>
      <c r="W56" s="26">
        <f>R56/AE56</f>
        <v>1.0345543695445059</v>
      </c>
      <c r="X56" s="26">
        <f>M56/AE56</f>
        <v>7.1276926009848657E-3</v>
      </c>
      <c r="Y56" s="148">
        <v>1.03</v>
      </c>
      <c r="Z56" s="148">
        <v>1.03</v>
      </c>
      <c r="AA56" s="149">
        <v>40</v>
      </c>
      <c r="AB56" s="149">
        <v>616113811.74000001</v>
      </c>
      <c r="AC56" s="149">
        <v>189421.16</v>
      </c>
      <c r="AD56" s="149">
        <v>1712328.77</v>
      </c>
      <c r="AE56" s="150">
        <v>614590904.13</v>
      </c>
      <c r="AF56" s="5"/>
      <c r="AG56" s="5"/>
      <c r="AH56" s="5"/>
      <c r="AI56" s="5"/>
      <c r="AJ56" s="6"/>
      <c r="AK56" s="4"/>
      <c r="AL56" s="5"/>
      <c r="AM56" s="5"/>
      <c r="AN56" s="5"/>
      <c r="AO56" s="6"/>
      <c r="AP56" s="4"/>
      <c r="AQ56" s="5"/>
      <c r="AR56" s="5"/>
      <c r="AS56" s="5"/>
      <c r="AT56" s="6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  <c r="IV56" s="18"/>
    </row>
    <row r="57" spans="1:256" ht="16.5" customHeight="1" x14ac:dyDescent="0.3">
      <c r="A57" s="172">
        <v>50</v>
      </c>
      <c r="B57" s="58" t="s">
        <v>82</v>
      </c>
      <c r="C57" s="57" t="s">
        <v>98</v>
      </c>
      <c r="D57" s="20"/>
      <c r="E57" s="20"/>
      <c r="F57" s="20">
        <v>756341629.63999999</v>
      </c>
      <c r="G57" s="20">
        <v>2175869884.8699999</v>
      </c>
      <c r="H57" s="20"/>
      <c r="I57" s="20"/>
      <c r="J57" s="20">
        <v>2932211514.5100002</v>
      </c>
      <c r="K57" s="20">
        <v>19692386.809999999</v>
      </c>
      <c r="L57" s="20">
        <v>5036634.4800000004</v>
      </c>
      <c r="M57" s="152">
        <v>14655752.33</v>
      </c>
      <c r="N57" s="20">
        <v>2935791365.5100002</v>
      </c>
      <c r="O57" s="20">
        <v>44965088.210000001</v>
      </c>
      <c r="P57" s="30">
        <v>2901806251.7399998</v>
      </c>
      <c r="Q57" s="23">
        <f t="shared" si="28"/>
        <v>6.9728715496501512E-3</v>
      </c>
      <c r="R57" s="30">
        <v>2890826277.3000002</v>
      </c>
      <c r="S57" s="23">
        <f t="shared" si="29"/>
        <v>6.9045633031418014E-3</v>
      </c>
      <c r="T57" s="24">
        <f>((R57-P57)/P57)</f>
        <v>-3.7838413344845807E-3</v>
      </c>
      <c r="U57" s="59">
        <f t="shared" ref="U57:U78" si="35">(L57/R57)</f>
        <v>1.7422819626173322E-3</v>
      </c>
      <c r="V57" s="25">
        <f t="shared" ref="V57:V78" si="36">M57/R57</f>
        <v>5.0697450915965486E-3</v>
      </c>
      <c r="W57" s="26">
        <f t="shared" ref="W57:W75" si="37">R57/AE57</f>
        <v>3537.8301795514494</v>
      </c>
      <c r="X57" s="26">
        <f t="shared" ref="X57:X75" si="38">M57/AE57</f>
        <v>17.9358971876831</v>
      </c>
      <c r="Y57" s="148">
        <v>3537.83</v>
      </c>
      <c r="Z57" s="148">
        <v>3537.83</v>
      </c>
      <c r="AA57" s="149">
        <v>1043</v>
      </c>
      <c r="AB57" s="149">
        <v>824172.25</v>
      </c>
      <c r="AC57" s="149">
        <v>1687.62</v>
      </c>
      <c r="AD57" s="149">
        <v>8741.43</v>
      </c>
      <c r="AE57" s="150">
        <v>817118.44</v>
      </c>
      <c r="AF57" s="5"/>
      <c r="AG57" s="5"/>
      <c r="AH57" s="5"/>
      <c r="AI57" s="5"/>
      <c r="AJ57" s="6"/>
      <c r="AK57" s="4"/>
      <c r="AL57" s="5"/>
      <c r="AM57" s="5"/>
      <c r="AN57" s="5"/>
      <c r="AO57" s="6"/>
      <c r="AP57" s="4"/>
      <c r="AQ57" s="5"/>
      <c r="AR57" s="5"/>
      <c r="AS57" s="5"/>
      <c r="AT57" s="6"/>
    </row>
    <row r="58" spans="1:256" ht="16.5" customHeight="1" x14ac:dyDescent="0.3">
      <c r="A58" s="172">
        <v>51</v>
      </c>
      <c r="B58" s="58" t="s">
        <v>33</v>
      </c>
      <c r="C58" s="58" t="s">
        <v>99</v>
      </c>
      <c r="D58" s="20"/>
      <c r="E58" s="20"/>
      <c r="F58" s="20">
        <v>3588758573</v>
      </c>
      <c r="G58" s="20">
        <v>91459824678</v>
      </c>
      <c r="H58" s="20"/>
      <c r="I58" s="20"/>
      <c r="J58" s="20">
        <v>95048583251</v>
      </c>
      <c r="K58" s="20">
        <v>845109178</v>
      </c>
      <c r="L58" s="20">
        <v>202686704</v>
      </c>
      <c r="M58" s="152">
        <v>642422474</v>
      </c>
      <c r="N58" s="20">
        <v>128491039694.24001</v>
      </c>
      <c r="O58" s="20">
        <v>711491150.08000004</v>
      </c>
      <c r="P58" s="30">
        <v>131994890791</v>
      </c>
      <c r="Q58" s="23">
        <f t="shared" si="28"/>
        <v>0.31717604100682339</v>
      </c>
      <c r="R58" s="30">
        <v>127779548544</v>
      </c>
      <c r="S58" s="23">
        <f t="shared" si="29"/>
        <v>0.30519370489220532</v>
      </c>
      <c r="T58" s="24">
        <f>((R58-P58)/P58)</f>
        <v>-3.1935647067389529E-2</v>
      </c>
      <c r="U58" s="59">
        <f t="shared" si="35"/>
        <v>1.5862217883028929E-3</v>
      </c>
      <c r="V58" s="25">
        <f t="shared" si="36"/>
        <v>5.0275844712253485E-3</v>
      </c>
      <c r="W58" s="26">
        <f t="shared" si="37"/>
        <v>2.0045701108252492</v>
      </c>
      <c r="X58" s="26">
        <f t="shared" si="38"/>
        <v>1.0078145560667499E-2</v>
      </c>
      <c r="Y58" s="148">
        <v>2</v>
      </c>
      <c r="Z58" s="148">
        <v>2</v>
      </c>
      <c r="AA58" s="149">
        <v>2440</v>
      </c>
      <c r="AB58" s="149">
        <v>66021111658</v>
      </c>
      <c r="AC58" s="149">
        <v>8714950073</v>
      </c>
      <c r="AD58" s="149">
        <v>10991946295</v>
      </c>
      <c r="AE58" s="150">
        <v>63744115436</v>
      </c>
      <c r="AF58" s="5"/>
      <c r="AG58" s="5"/>
      <c r="AH58" s="5"/>
      <c r="AI58" s="5"/>
      <c r="AJ58" s="6"/>
      <c r="AK58" s="4"/>
      <c r="AL58" s="5"/>
      <c r="AM58" s="5"/>
      <c r="AN58" s="5"/>
      <c r="AO58" s="6"/>
      <c r="AP58" s="4"/>
      <c r="AQ58" s="5"/>
      <c r="AR58" s="5"/>
      <c r="AS58" s="5"/>
      <c r="AT58" s="6"/>
    </row>
    <row r="59" spans="1:256" ht="16.5" customHeight="1" x14ac:dyDescent="0.3">
      <c r="A59" s="172">
        <v>52</v>
      </c>
      <c r="B59" s="58" t="s">
        <v>44</v>
      </c>
      <c r="C59" s="58" t="s">
        <v>100</v>
      </c>
      <c r="D59" s="20">
        <v>20756250</v>
      </c>
      <c r="E59" s="20"/>
      <c r="F59" s="20">
        <v>574061635.25999999</v>
      </c>
      <c r="G59" s="20">
        <v>9728121910.6700001</v>
      </c>
      <c r="H59" s="20"/>
      <c r="I59" s="20"/>
      <c r="J59" s="20">
        <v>10322939795.93</v>
      </c>
      <c r="K59" s="20">
        <v>45474772.619999997</v>
      </c>
      <c r="L59" s="20">
        <v>6884201.75</v>
      </c>
      <c r="M59" s="152">
        <v>39854320.859999999</v>
      </c>
      <c r="N59" s="20">
        <v>10323805035.700001</v>
      </c>
      <c r="O59" s="20">
        <v>284278330.35000002</v>
      </c>
      <c r="P59" s="30">
        <v>10108303333</v>
      </c>
      <c r="Q59" s="23">
        <f t="shared" si="28"/>
        <v>2.4289664647198787E-2</v>
      </c>
      <c r="R59" s="30">
        <v>10039526705.35</v>
      </c>
      <c r="S59" s="23">
        <f t="shared" si="29"/>
        <v>2.397880087606457E-2</v>
      </c>
      <c r="T59" s="24">
        <f t="shared" ref="T59:T102" si="39">((R59-P59)/P59)</f>
        <v>-6.8039734646138383E-3</v>
      </c>
      <c r="U59" s="59">
        <f t="shared" si="35"/>
        <v>6.8570979011704336E-4</v>
      </c>
      <c r="V59" s="25">
        <f t="shared" si="36"/>
        <v>3.9697410076873331E-3</v>
      </c>
      <c r="W59" s="26">
        <f t="shared" si="37"/>
        <v>1.0003018239326045</v>
      </c>
      <c r="X59" s="26">
        <f t="shared" si="38"/>
        <v>3.9709391705296943E-3</v>
      </c>
      <c r="Y59" s="148">
        <v>1</v>
      </c>
      <c r="Z59" s="148">
        <v>1</v>
      </c>
      <c r="AA59" s="149">
        <v>4485</v>
      </c>
      <c r="AB59" s="149">
        <v>10082328523.049999</v>
      </c>
      <c r="AC59" s="149">
        <v>29999506</v>
      </c>
      <c r="AD59" s="149">
        <v>75830578.829999998</v>
      </c>
      <c r="AE59" s="150">
        <f>(AB59+AC59)-AD59</f>
        <v>10036497450.219999</v>
      </c>
      <c r="AF59" s="5"/>
      <c r="AG59" s="5"/>
      <c r="AH59" s="5"/>
      <c r="AI59" s="5"/>
      <c r="AJ59" s="6"/>
      <c r="AK59" s="4"/>
      <c r="AL59" s="5"/>
      <c r="AM59" s="5"/>
      <c r="AN59" s="5"/>
      <c r="AO59" s="6"/>
      <c r="AP59" s="4"/>
      <c r="AQ59" s="5"/>
      <c r="AR59" s="5"/>
      <c r="AS59" s="5"/>
      <c r="AT59" s="6"/>
    </row>
    <row r="60" spans="1:256" ht="16.5" customHeight="1" x14ac:dyDescent="0.3">
      <c r="A60" s="172">
        <v>53</v>
      </c>
      <c r="B60" s="57" t="s">
        <v>74</v>
      </c>
      <c r="C60" s="57" t="s">
        <v>112</v>
      </c>
      <c r="D60" s="20"/>
      <c r="E60" s="20"/>
      <c r="F60" s="20">
        <v>1081148845.4400001</v>
      </c>
      <c r="G60" s="20">
        <v>2976141168.0700002</v>
      </c>
      <c r="H60" s="20"/>
      <c r="I60" s="20"/>
      <c r="J60" s="20">
        <v>4057290013.5100002</v>
      </c>
      <c r="K60" s="20">
        <v>29352821.039999999</v>
      </c>
      <c r="L60" s="20">
        <v>6847357.4500000002</v>
      </c>
      <c r="M60" s="152">
        <v>22505463.59</v>
      </c>
      <c r="N60" s="20">
        <v>4065077128.9499998</v>
      </c>
      <c r="O60" s="20">
        <v>6189029.04</v>
      </c>
      <c r="P60" s="30">
        <v>4031321595.4400001</v>
      </c>
      <c r="Q60" s="23">
        <f t="shared" si="28"/>
        <v>9.687031187377999E-3</v>
      </c>
      <c r="R60" s="30">
        <v>4058888099.9099998</v>
      </c>
      <c r="S60" s="23">
        <f t="shared" si="29"/>
        <v>9.6944081511437068E-3</v>
      </c>
      <c r="T60" s="24">
        <f>((R60-P60)/P60)</f>
        <v>6.8380812141560325E-3</v>
      </c>
      <c r="U60" s="59">
        <f>(L60/R60)</f>
        <v>1.6870032583928172E-3</v>
      </c>
      <c r="V60" s="25">
        <f>M60/R60</f>
        <v>5.5447361533566362E-3</v>
      </c>
      <c r="W60" s="26">
        <f>R60/AE60</f>
        <v>22.523314009755058</v>
      </c>
      <c r="X60" s="26">
        <f>M60/AE60</f>
        <v>0.12488583348329289</v>
      </c>
      <c r="Y60" s="148">
        <v>22.523800000000001</v>
      </c>
      <c r="Z60" s="148">
        <v>22.523800000000001</v>
      </c>
      <c r="AA60" s="149">
        <v>1397</v>
      </c>
      <c r="AB60" s="149">
        <v>180001828.66</v>
      </c>
      <c r="AC60" s="149">
        <v>2538466.83</v>
      </c>
      <c r="AD60" s="149">
        <v>2331996.7400000002</v>
      </c>
      <c r="AE60" s="150">
        <f>(AB60+AC60)-AD60</f>
        <v>180208298.75</v>
      </c>
      <c r="AF60" s="5"/>
      <c r="AG60" s="5"/>
      <c r="AH60" s="5"/>
      <c r="AI60" s="5"/>
      <c r="AJ60" s="6"/>
      <c r="AK60" s="4"/>
      <c r="AL60" s="5"/>
      <c r="AM60" s="5"/>
      <c r="AN60" s="5"/>
      <c r="AO60" s="6"/>
      <c r="AP60" s="4"/>
      <c r="AQ60" s="5"/>
      <c r="AR60" s="5"/>
      <c r="AS60" s="5"/>
      <c r="AT60" s="6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  <c r="IV60" s="18"/>
    </row>
    <row r="61" spans="1:256" ht="16.5" customHeight="1" x14ac:dyDescent="0.3">
      <c r="A61" s="172">
        <v>54</v>
      </c>
      <c r="B61" s="58" t="s">
        <v>101</v>
      </c>
      <c r="C61" s="58" t="s">
        <v>102</v>
      </c>
      <c r="D61" s="20"/>
      <c r="E61" s="20"/>
      <c r="F61" s="20">
        <v>93715014.739999995</v>
      </c>
      <c r="G61" s="20">
        <v>360868977.38999999</v>
      </c>
      <c r="H61" s="20"/>
      <c r="I61" s="20"/>
      <c r="J61" s="20">
        <v>454583992.13</v>
      </c>
      <c r="K61" s="20">
        <v>3012062.44</v>
      </c>
      <c r="L61" s="20">
        <v>1034776.51</v>
      </c>
      <c r="M61" s="152">
        <v>1977285.93</v>
      </c>
      <c r="N61" s="20">
        <v>461251023.54000002</v>
      </c>
      <c r="O61" s="20">
        <v>2564535.0699999998</v>
      </c>
      <c r="P61" s="30">
        <v>458085647.56</v>
      </c>
      <c r="Q61" s="23">
        <f t="shared" si="28"/>
        <v>1.1007531523715202E-3</v>
      </c>
      <c r="R61" s="30">
        <v>458686488.47000003</v>
      </c>
      <c r="S61" s="23">
        <f t="shared" si="29"/>
        <v>1.0955448692319581E-3</v>
      </c>
      <c r="T61" s="24">
        <f t="shared" si="39"/>
        <v>1.3116344360501453E-3</v>
      </c>
      <c r="U61" s="59">
        <f t="shared" si="35"/>
        <v>2.2559559437898696E-3</v>
      </c>
      <c r="V61" s="25">
        <f t="shared" si="36"/>
        <v>4.3107568670606757E-3</v>
      </c>
      <c r="W61" s="26">
        <f t="shared" si="37"/>
        <v>2.0966841824455145</v>
      </c>
      <c r="X61" s="26">
        <f t="shared" si="38"/>
        <v>9.0382957375344988E-3</v>
      </c>
      <c r="Y61" s="148">
        <v>2.0996000000000001</v>
      </c>
      <c r="Z61" s="148">
        <v>2.0996000000000001</v>
      </c>
      <c r="AA61" s="149">
        <v>1414</v>
      </c>
      <c r="AB61" s="149">
        <v>220866658.41949999</v>
      </c>
      <c r="AC61" s="149">
        <v>0</v>
      </c>
      <c r="AD61" s="149">
        <v>2099095.66</v>
      </c>
      <c r="AE61" s="150">
        <v>218767562.7595</v>
      </c>
      <c r="AF61" s="5"/>
      <c r="AG61" s="5"/>
      <c r="AH61" s="5"/>
      <c r="AI61" s="5"/>
      <c r="AJ61" s="6"/>
      <c r="AK61" s="4"/>
      <c r="AL61" s="5"/>
      <c r="AM61" s="5"/>
      <c r="AN61" s="5"/>
      <c r="AO61" s="6"/>
      <c r="AP61" s="4"/>
      <c r="AQ61" s="5"/>
      <c r="AR61" s="5"/>
      <c r="AS61" s="5"/>
      <c r="AT61" s="6"/>
    </row>
    <row r="62" spans="1:256" ht="18" customHeight="1" x14ac:dyDescent="0.3">
      <c r="A62" s="172">
        <v>55</v>
      </c>
      <c r="B62" s="58" t="s">
        <v>23</v>
      </c>
      <c r="C62" s="58" t="s">
        <v>103</v>
      </c>
      <c r="D62" s="20">
        <v>4018728</v>
      </c>
      <c r="E62" s="20"/>
      <c r="F62" s="20">
        <v>4211828569.3200002</v>
      </c>
      <c r="G62" s="20">
        <v>18255395392.259998</v>
      </c>
      <c r="H62" s="20"/>
      <c r="I62" s="20"/>
      <c r="J62" s="20">
        <v>22606992689.580002</v>
      </c>
      <c r="K62" s="20">
        <v>146522610.15000001</v>
      </c>
      <c r="L62" s="20">
        <v>41314452.189999998</v>
      </c>
      <c r="M62" s="152">
        <v>105179922.09999999</v>
      </c>
      <c r="N62" s="20">
        <v>22777676465.860001</v>
      </c>
      <c r="O62" s="20">
        <v>154384151.52000001</v>
      </c>
      <c r="P62" s="30">
        <v>23181162786.700001</v>
      </c>
      <c r="Q62" s="23">
        <f t="shared" si="28"/>
        <v>5.5702985127372331E-2</v>
      </c>
      <c r="R62" s="30">
        <v>22623292314.34</v>
      </c>
      <c r="S62" s="23">
        <f t="shared" si="29"/>
        <v>5.4034362125604682E-2</v>
      </c>
      <c r="T62" s="24">
        <f t="shared" si="39"/>
        <v>-2.4065681152115204E-2</v>
      </c>
      <c r="U62" s="59">
        <f t="shared" si="35"/>
        <v>1.8261909723816996E-3</v>
      </c>
      <c r="V62" s="25">
        <f t="shared" si="36"/>
        <v>4.6491872464261381E-3</v>
      </c>
      <c r="W62" s="26">
        <f t="shared" si="37"/>
        <v>318.80339751787659</v>
      </c>
      <c r="X62" s="26">
        <f t="shared" si="38"/>
        <v>1.4821766898574342</v>
      </c>
      <c r="Y62" s="148">
        <v>318.8</v>
      </c>
      <c r="Z62" s="148">
        <v>318.8</v>
      </c>
      <c r="AA62" s="149">
        <v>9825</v>
      </c>
      <c r="AB62" s="149">
        <v>72986583.549999997</v>
      </c>
      <c r="AC62" s="149">
        <v>1911556.81</v>
      </c>
      <c r="AD62" s="149">
        <v>3934993.51</v>
      </c>
      <c r="AE62" s="150">
        <f>(AB62+AC62)-AD62</f>
        <v>70963146.849999994</v>
      </c>
      <c r="AF62" s="5"/>
      <c r="AG62" s="5"/>
      <c r="AH62" s="5"/>
      <c r="AI62" s="5"/>
      <c r="AJ62" s="6"/>
      <c r="AK62" s="4"/>
      <c r="AL62" s="5"/>
      <c r="AM62" s="5"/>
      <c r="AN62" s="5"/>
      <c r="AO62" s="6"/>
      <c r="AP62" s="4"/>
      <c r="AQ62" s="5"/>
      <c r="AR62" s="5"/>
      <c r="AS62" s="5"/>
      <c r="AT62" s="6"/>
    </row>
    <row r="63" spans="1:256" ht="16.5" customHeight="1" x14ac:dyDescent="0.3">
      <c r="A63" s="172">
        <v>56</v>
      </c>
      <c r="B63" s="58" t="s">
        <v>104</v>
      </c>
      <c r="C63" s="58" t="s">
        <v>105</v>
      </c>
      <c r="D63" s="20"/>
      <c r="E63" s="20"/>
      <c r="F63" s="20">
        <v>893317714.32000005</v>
      </c>
      <c r="G63" s="20">
        <v>4698408142.9700003</v>
      </c>
      <c r="H63" s="20"/>
      <c r="I63" s="20"/>
      <c r="J63" s="20">
        <v>5591725857.29</v>
      </c>
      <c r="K63" s="20">
        <v>56770348.340000004</v>
      </c>
      <c r="L63" s="20">
        <v>8765040.9199999999</v>
      </c>
      <c r="M63" s="152">
        <v>48005307.420000002</v>
      </c>
      <c r="N63" s="20">
        <v>6810505829</v>
      </c>
      <c r="O63" s="20">
        <v>63014687</v>
      </c>
      <c r="P63" s="30">
        <v>6417216888</v>
      </c>
      <c r="Q63" s="23">
        <f t="shared" si="28"/>
        <v>1.5420198726030912E-2</v>
      </c>
      <c r="R63" s="30">
        <v>6747491142</v>
      </c>
      <c r="S63" s="23">
        <f t="shared" si="29"/>
        <v>1.6115973517039112E-2</v>
      </c>
      <c r="T63" s="24">
        <f t="shared" si="39"/>
        <v>5.1466899087921243E-2</v>
      </c>
      <c r="U63" s="59">
        <f t="shared" si="35"/>
        <v>1.299007399274923E-3</v>
      </c>
      <c r="V63" s="25">
        <f t="shared" si="36"/>
        <v>7.1145417474043427E-3</v>
      </c>
      <c r="W63" s="26">
        <f t="shared" si="37"/>
        <v>1.0299999999664171</v>
      </c>
      <c r="X63" s="26">
        <f t="shared" si="38"/>
        <v>7.3279779995875458E-3</v>
      </c>
      <c r="Y63" s="148">
        <v>1.03</v>
      </c>
      <c r="Z63" s="148">
        <v>1.03</v>
      </c>
      <c r="AA63" s="149">
        <v>2223</v>
      </c>
      <c r="AB63" s="149">
        <v>6291389106</v>
      </c>
      <c r="AC63" s="149">
        <f>AE63-AB63</f>
        <v>259573168</v>
      </c>
      <c r="AD63" s="149">
        <v>0</v>
      </c>
      <c r="AE63" s="150">
        <v>6550962274</v>
      </c>
      <c r="AF63" s="5"/>
      <c r="AG63" s="5"/>
      <c r="AH63" s="5"/>
      <c r="AI63" s="5"/>
      <c r="AJ63" s="6"/>
      <c r="AK63" s="4"/>
      <c r="AL63" s="5"/>
      <c r="AM63" s="5"/>
      <c r="AN63" s="5"/>
      <c r="AO63" s="6"/>
      <c r="AP63" s="4"/>
      <c r="AQ63" s="5"/>
      <c r="AR63" s="5"/>
      <c r="AS63" s="5"/>
      <c r="AT63" s="6"/>
    </row>
    <row r="64" spans="1:256" ht="15.75" customHeight="1" x14ac:dyDescent="0.3">
      <c r="A64" s="172">
        <v>57</v>
      </c>
      <c r="B64" s="57" t="s">
        <v>25</v>
      </c>
      <c r="C64" s="58" t="s">
        <v>191</v>
      </c>
      <c r="D64" s="20"/>
      <c r="E64" s="20"/>
      <c r="F64" s="20">
        <v>401147643.81</v>
      </c>
      <c r="G64" s="20">
        <v>4668612451.1099997</v>
      </c>
      <c r="H64" s="20"/>
      <c r="I64" s="20"/>
      <c r="J64" s="20">
        <v>5071510796.21</v>
      </c>
      <c r="K64" s="153">
        <v>40011499.100000001</v>
      </c>
      <c r="L64" s="153">
        <v>6120846.25</v>
      </c>
      <c r="M64" s="152">
        <v>33890652.850000001</v>
      </c>
      <c r="N64" s="20">
        <v>5071510796.21</v>
      </c>
      <c r="O64" s="20">
        <v>28231007.34</v>
      </c>
      <c r="P64" s="30">
        <v>5302505031.4300003</v>
      </c>
      <c r="Q64" s="23">
        <f t="shared" si="28"/>
        <v>1.274161100637392E-2</v>
      </c>
      <c r="R64" s="30">
        <v>5043279788.8699999</v>
      </c>
      <c r="S64" s="23">
        <f t="shared" si="29"/>
        <v>1.2045568020168809E-2</v>
      </c>
      <c r="T64" s="24">
        <f t="shared" si="39"/>
        <v>-4.8887316659479256E-2</v>
      </c>
      <c r="U64" s="59">
        <f>(L65/R64)</f>
        <v>1.1853092610869007E-2</v>
      </c>
      <c r="V64" s="25">
        <f t="shared" si="36"/>
        <v>6.7199628552818327E-3</v>
      </c>
      <c r="W64" s="26">
        <f t="shared" si="37"/>
        <v>3.9791427770547232</v>
      </c>
      <c r="X64" s="26">
        <f t="shared" si="38"/>
        <v>2.6739691657670737E-2</v>
      </c>
      <c r="Y64" s="154">
        <v>3.98</v>
      </c>
      <c r="Z64" s="154">
        <v>3.98</v>
      </c>
      <c r="AA64" s="153">
        <v>898</v>
      </c>
      <c r="AB64" s="153">
        <v>1329419187</v>
      </c>
      <c r="AC64" s="153">
        <v>0</v>
      </c>
      <c r="AD64" s="153">
        <v>61990479</v>
      </c>
      <c r="AE64" s="150">
        <f>(AB64+AC64)-AD64</f>
        <v>1267428708</v>
      </c>
      <c r="AF64" s="5"/>
      <c r="AG64" s="5"/>
      <c r="AH64" s="5"/>
      <c r="AI64" s="5"/>
      <c r="AJ64" s="6"/>
      <c r="AK64" s="4"/>
      <c r="AL64" s="5"/>
      <c r="AM64" s="5"/>
      <c r="AN64" s="5"/>
      <c r="AO64" s="6"/>
      <c r="AP64" s="4"/>
      <c r="AQ64" s="5"/>
      <c r="AR64" s="5"/>
      <c r="AS64" s="5"/>
      <c r="AT64" s="6"/>
    </row>
    <row r="65" spans="1:256" ht="16.5" customHeight="1" x14ac:dyDescent="0.3">
      <c r="A65" s="172">
        <v>58</v>
      </c>
      <c r="B65" s="58" t="s">
        <v>23</v>
      </c>
      <c r="C65" s="57" t="s">
        <v>106</v>
      </c>
      <c r="D65" s="20"/>
      <c r="E65" s="20"/>
      <c r="F65" s="20">
        <v>29922304232.950001</v>
      </c>
      <c r="G65" s="20">
        <v>30331641642.779999</v>
      </c>
      <c r="H65" s="20"/>
      <c r="I65" s="20"/>
      <c r="J65" s="20">
        <v>60253945875.730003</v>
      </c>
      <c r="K65" s="20">
        <v>407014964.70999998</v>
      </c>
      <c r="L65" s="20">
        <v>59778462.399999999</v>
      </c>
      <c r="M65" s="152">
        <v>347236502.31</v>
      </c>
      <c r="N65" s="20">
        <v>60872666715.949997</v>
      </c>
      <c r="O65" s="20">
        <v>74787858.379999995</v>
      </c>
      <c r="P65" s="30">
        <v>58646483543.510002</v>
      </c>
      <c r="Q65" s="23">
        <f t="shared" si="28"/>
        <v>0.14092408696905895</v>
      </c>
      <c r="R65" s="30">
        <v>60797878857.57</v>
      </c>
      <c r="S65" s="23">
        <f t="shared" si="29"/>
        <v>0.14521204769900981</v>
      </c>
      <c r="T65" s="24">
        <f t="shared" si="39"/>
        <v>3.668413149552046E-2</v>
      </c>
      <c r="U65" s="59">
        <f>(L66/R65)</f>
        <v>3.6798966379094852E-5</v>
      </c>
      <c r="V65" s="25">
        <f t="shared" si="36"/>
        <v>5.7113259349633591E-3</v>
      </c>
      <c r="W65" s="26">
        <f t="shared" si="37"/>
        <v>4364.8770224010887</v>
      </c>
      <c r="X65" s="26">
        <f t="shared" si="38"/>
        <v>24.929235340964979</v>
      </c>
      <c r="Y65" s="148">
        <v>4364.88</v>
      </c>
      <c r="Z65" s="74">
        <v>4364.88</v>
      </c>
      <c r="AA65" s="149">
        <v>450</v>
      </c>
      <c r="AB65" s="149">
        <v>13514370.890000001</v>
      </c>
      <c r="AC65" s="149">
        <v>852056.98</v>
      </c>
      <c r="AD65" s="149">
        <v>437540.86</v>
      </c>
      <c r="AE65" s="150">
        <v>13928887.01</v>
      </c>
      <c r="AF65" s="5"/>
      <c r="AG65" s="5"/>
      <c r="AH65" s="5"/>
      <c r="AI65" s="5"/>
      <c r="AJ65" s="6"/>
      <c r="AK65" s="4"/>
      <c r="AL65" s="5"/>
      <c r="AM65" s="5"/>
      <c r="AN65" s="5"/>
      <c r="AO65" s="6"/>
      <c r="AP65" s="4"/>
      <c r="AQ65" s="5"/>
      <c r="AR65" s="5"/>
      <c r="AS65" s="5"/>
      <c r="AT65" s="6"/>
    </row>
    <row r="66" spans="1:256" ht="16.5" customHeight="1" x14ac:dyDescent="0.3">
      <c r="A66" s="172">
        <v>59</v>
      </c>
      <c r="B66" s="58" t="s">
        <v>23</v>
      </c>
      <c r="C66" s="57" t="s">
        <v>107</v>
      </c>
      <c r="D66" s="53">
        <v>77401294.739999995</v>
      </c>
      <c r="E66" s="20"/>
      <c r="F66" s="20">
        <v>142684390.09</v>
      </c>
      <c r="G66" s="20">
        <v>30322346.600000001</v>
      </c>
      <c r="H66" s="20"/>
      <c r="I66" s="20"/>
      <c r="J66" s="20">
        <v>252375310.84999999</v>
      </c>
      <c r="K66" s="20">
        <v>2412707.9500000002</v>
      </c>
      <c r="L66" s="20">
        <v>2237299.1</v>
      </c>
      <c r="M66" s="152">
        <v>5345577.6900000004</v>
      </c>
      <c r="N66" s="20">
        <v>253384139.25999999</v>
      </c>
      <c r="O66" s="20">
        <v>1115135.3899999999</v>
      </c>
      <c r="P66" s="30">
        <v>245168913.87</v>
      </c>
      <c r="Q66" s="23">
        <f t="shared" si="28"/>
        <v>5.891266321994004E-4</v>
      </c>
      <c r="R66" s="30">
        <v>252269003.87</v>
      </c>
      <c r="S66" s="23">
        <f t="shared" si="29"/>
        <v>6.0252922159949643E-4</v>
      </c>
      <c r="T66" s="24">
        <f t="shared" si="39"/>
        <v>2.895999287970415E-2</v>
      </c>
      <c r="U66" s="59">
        <f t="shared" si="35"/>
        <v>8.8687039060610529E-3</v>
      </c>
      <c r="V66" s="25">
        <f t="shared" si="36"/>
        <v>2.1189990081994771E-2</v>
      </c>
      <c r="W66" s="26">
        <f t="shared" si="37"/>
        <v>4064.2341291328621</v>
      </c>
      <c r="X66" s="26">
        <f t="shared" si="38"/>
        <v>86.121080887229994</v>
      </c>
      <c r="Y66" s="74">
        <v>4048.67</v>
      </c>
      <c r="Z66" s="74">
        <v>4073.15</v>
      </c>
      <c r="AA66" s="149">
        <v>15</v>
      </c>
      <c r="AB66" s="149">
        <v>62070.49</v>
      </c>
      <c r="AC66" s="149">
        <v>0</v>
      </c>
      <c r="AD66" s="149">
        <v>0</v>
      </c>
      <c r="AE66" s="150">
        <v>62070.49</v>
      </c>
      <c r="AF66" s="5"/>
      <c r="AG66" s="5"/>
      <c r="AH66" s="5"/>
      <c r="AI66" s="5"/>
      <c r="AJ66" s="6"/>
      <c r="AK66" s="4"/>
      <c r="AL66" s="5"/>
      <c r="AM66" s="5"/>
      <c r="AN66" s="5"/>
      <c r="AO66" s="6"/>
      <c r="AP66" s="4"/>
      <c r="AQ66" s="5"/>
      <c r="AR66" s="5"/>
      <c r="AS66" s="5"/>
      <c r="AT66" s="6"/>
    </row>
    <row r="67" spans="1:256" ht="16.5" customHeight="1" x14ac:dyDescent="0.3">
      <c r="A67" s="172">
        <v>60</v>
      </c>
      <c r="B67" s="57" t="s">
        <v>46</v>
      </c>
      <c r="C67" s="57" t="s">
        <v>109</v>
      </c>
      <c r="D67" s="20"/>
      <c r="E67" s="20"/>
      <c r="F67" s="20">
        <v>7571473.9699999997</v>
      </c>
      <c r="G67" s="20">
        <v>45203820.770000003</v>
      </c>
      <c r="H67" s="20"/>
      <c r="I67" s="20"/>
      <c r="J67" s="20">
        <v>52775294.740000002</v>
      </c>
      <c r="K67" s="20">
        <v>409884.17</v>
      </c>
      <c r="L67" s="20">
        <v>53877.440000000002</v>
      </c>
      <c r="M67" s="152">
        <v>356006.73</v>
      </c>
      <c r="N67" s="20">
        <v>55026340.950000003</v>
      </c>
      <c r="O67" s="20">
        <v>65953.899999999994</v>
      </c>
      <c r="P67" s="30">
        <v>55119611.280000001</v>
      </c>
      <c r="Q67" s="23">
        <f t="shared" si="28"/>
        <v>1.3244921816941635E-4</v>
      </c>
      <c r="R67" s="30">
        <v>54960387.049999997</v>
      </c>
      <c r="S67" s="23">
        <f t="shared" si="29"/>
        <v>1.3126955242233636E-4</v>
      </c>
      <c r="T67" s="24">
        <f>((R67-P67)/P67)</f>
        <v>-2.8887037898574267E-3</v>
      </c>
      <c r="U67" s="59">
        <f>(L67/R67)</f>
        <v>9.8029586201758747E-4</v>
      </c>
      <c r="V67" s="25">
        <f>M67/R67</f>
        <v>6.4775149723040387E-3</v>
      </c>
      <c r="W67" s="26">
        <f>R67/AE67</f>
        <v>11.696835119627815</v>
      </c>
      <c r="X67" s="26">
        <f>M67/AE67</f>
        <v>7.5766424615960865E-2</v>
      </c>
      <c r="Y67" s="74">
        <v>11.6968</v>
      </c>
      <c r="Z67" s="74">
        <v>11.710900000000001</v>
      </c>
      <c r="AA67" s="149">
        <v>47</v>
      </c>
      <c r="AB67" s="149">
        <v>4684788</v>
      </c>
      <c r="AC67" s="149">
        <v>13952</v>
      </c>
      <c r="AD67" s="149">
        <v>0</v>
      </c>
      <c r="AE67" s="150">
        <v>4698740</v>
      </c>
      <c r="AF67" s="5"/>
      <c r="AG67" s="5"/>
      <c r="AH67" s="5"/>
      <c r="AI67" s="5"/>
      <c r="AJ67" s="6"/>
      <c r="AK67" s="4"/>
      <c r="AL67" s="5"/>
      <c r="AM67" s="5"/>
      <c r="AN67" s="5"/>
      <c r="AO67" s="6"/>
      <c r="AP67" s="4"/>
      <c r="AQ67" s="5"/>
      <c r="AR67" s="5"/>
      <c r="AS67" s="5"/>
      <c r="AT67" s="6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  <c r="IV67" s="18"/>
    </row>
    <row r="68" spans="1:256" ht="16.5" customHeight="1" x14ac:dyDescent="0.3">
      <c r="A68" s="172">
        <v>61</v>
      </c>
      <c r="B68" s="58" t="s">
        <v>108</v>
      </c>
      <c r="C68" s="57" t="s">
        <v>200</v>
      </c>
      <c r="D68" s="20"/>
      <c r="E68" s="20"/>
      <c r="F68" s="20"/>
      <c r="G68" s="20">
        <v>4837904862.1800003</v>
      </c>
      <c r="H68" s="20"/>
      <c r="I68" s="20"/>
      <c r="J68" s="20">
        <v>11854957777.32</v>
      </c>
      <c r="K68" s="20">
        <v>145459590.09999999</v>
      </c>
      <c r="L68" s="20">
        <v>37325224.229999997</v>
      </c>
      <c r="M68" s="152">
        <v>108134365.87</v>
      </c>
      <c r="N68" s="20">
        <v>15044273370.950001</v>
      </c>
      <c r="O68" s="20">
        <v>396357769.63999999</v>
      </c>
      <c r="P68" s="30">
        <v>14304623085.15</v>
      </c>
      <c r="Q68" s="23">
        <f t="shared" si="28"/>
        <v>3.4373176802931581E-2</v>
      </c>
      <c r="R68" s="30">
        <v>14647915601.309999</v>
      </c>
      <c r="S68" s="23">
        <f t="shared" si="29"/>
        <v>3.4985658364356839E-2</v>
      </c>
      <c r="T68" s="24">
        <f t="shared" si="39"/>
        <v>2.3998711054217199E-2</v>
      </c>
      <c r="U68" s="59">
        <f t="shared" si="35"/>
        <v>2.5481594273155089E-3</v>
      </c>
      <c r="V68" s="25">
        <f t="shared" si="36"/>
        <v>7.3822357264489756E-3</v>
      </c>
      <c r="W68" s="26">
        <f t="shared" si="37"/>
        <v>1154.7645021692781</v>
      </c>
      <c r="X68" s="26">
        <f t="shared" si="38"/>
        <v>8.5247437635491092</v>
      </c>
      <c r="Y68" s="74">
        <v>1154.76</v>
      </c>
      <c r="Z68" s="74">
        <v>1154.76</v>
      </c>
      <c r="AA68" s="149">
        <v>6098</v>
      </c>
      <c r="AB68" s="149">
        <v>12249888.359999999</v>
      </c>
      <c r="AC68" s="149">
        <v>772201</v>
      </c>
      <c r="AD68" s="149">
        <v>337325</v>
      </c>
      <c r="AE68" s="150">
        <f>(AB68+AC68)-AD68</f>
        <v>12684764.359999999</v>
      </c>
      <c r="AF68" s="5"/>
      <c r="AG68" s="5"/>
      <c r="AH68" s="5"/>
      <c r="AI68" s="5"/>
      <c r="AJ68" s="6"/>
      <c r="AK68" s="4"/>
      <c r="AL68" s="5"/>
      <c r="AM68" s="5"/>
      <c r="AN68" s="5"/>
      <c r="AO68" s="6"/>
      <c r="AP68" s="4"/>
      <c r="AQ68" s="5"/>
      <c r="AR68" s="5"/>
      <c r="AS68" s="5"/>
      <c r="AT68" s="6"/>
    </row>
    <row r="69" spans="1:256" ht="18.75" customHeight="1" x14ac:dyDescent="0.3">
      <c r="A69" s="172">
        <v>62</v>
      </c>
      <c r="B69" s="58" t="s">
        <v>78</v>
      </c>
      <c r="C69" s="58" t="s">
        <v>150</v>
      </c>
      <c r="D69" s="20"/>
      <c r="E69" s="20"/>
      <c r="F69" s="20"/>
      <c r="G69" s="20">
        <v>15362465.75</v>
      </c>
      <c r="H69" s="20"/>
      <c r="I69" s="20"/>
      <c r="J69" s="20">
        <v>25812750.059999999</v>
      </c>
      <c r="K69" s="20">
        <v>201859.36</v>
      </c>
      <c r="L69" s="20">
        <v>184715.7</v>
      </c>
      <c r="M69" s="152">
        <v>17143.66</v>
      </c>
      <c r="N69" s="20">
        <v>23175991.239999998</v>
      </c>
      <c r="O69" s="20">
        <v>1729046.42</v>
      </c>
      <c r="P69" s="30">
        <v>24077308.66</v>
      </c>
      <c r="Q69" s="23">
        <f t="shared" si="28"/>
        <v>5.7856371508879734E-5</v>
      </c>
      <c r="R69" s="30">
        <v>23175991.239999998</v>
      </c>
      <c r="S69" s="23">
        <f t="shared" si="29"/>
        <v>5.5354450001435866E-5</v>
      </c>
      <c r="T69" s="24">
        <f t="shared" si="39"/>
        <v>-3.743430932118149E-2</v>
      </c>
      <c r="U69" s="59">
        <f t="shared" si="35"/>
        <v>7.9701315938191571E-3</v>
      </c>
      <c r="V69" s="25">
        <f t="shared" si="36"/>
        <v>7.3971636520173286E-4</v>
      </c>
      <c r="W69" s="26">
        <f t="shared" si="37"/>
        <v>0.75574835998304712</v>
      </c>
      <c r="X69" s="26">
        <f t="shared" si="38"/>
        <v>5.5903942985383037E-4</v>
      </c>
      <c r="Y69" s="74">
        <v>0.69930000000000003</v>
      </c>
      <c r="Z69" s="74">
        <v>0.69930000000000003</v>
      </c>
      <c r="AA69" s="149">
        <v>751</v>
      </c>
      <c r="AB69" s="149">
        <v>30666280.559999999</v>
      </c>
      <c r="AC69" s="149">
        <v>0</v>
      </c>
      <c r="AD69" s="149">
        <v>0</v>
      </c>
      <c r="AE69" s="150">
        <f>(AB69+AC69)-AD69</f>
        <v>30666280.559999999</v>
      </c>
      <c r="AF69" s="5"/>
      <c r="AG69" s="5"/>
      <c r="AH69" s="5"/>
      <c r="AI69" s="5"/>
      <c r="AJ69" s="6"/>
      <c r="AK69" s="4"/>
      <c r="AL69" s="5"/>
      <c r="AM69" s="5"/>
      <c r="AN69" s="5"/>
      <c r="AO69" s="6"/>
      <c r="AP69" s="4"/>
      <c r="AQ69" s="5"/>
      <c r="AR69" s="5"/>
      <c r="AS69" s="5"/>
      <c r="AT69" s="6"/>
    </row>
    <row r="70" spans="1:256" ht="16.5" customHeight="1" x14ac:dyDescent="0.3">
      <c r="A70" s="172">
        <v>63</v>
      </c>
      <c r="B70" s="58" t="s">
        <v>70</v>
      </c>
      <c r="C70" s="58" t="s">
        <v>202</v>
      </c>
      <c r="D70" s="20"/>
      <c r="E70" s="20"/>
      <c r="F70" s="20">
        <v>128117424.45</v>
      </c>
      <c r="G70" s="20">
        <v>263499124.19</v>
      </c>
      <c r="H70" s="20"/>
      <c r="I70" s="20"/>
      <c r="J70" s="20">
        <v>414173288.55000001</v>
      </c>
      <c r="K70" s="20">
        <v>3924511.36</v>
      </c>
      <c r="L70" s="20">
        <v>811012.19</v>
      </c>
      <c r="M70" s="152">
        <v>3113499.17</v>
      </c>
      <c r="N70" s="20">
        <v>414173288.55000001</v>
      </c>
      <c r="O70" s="20">
        <v>3519205.71</v>
      </c>
      <c r="P70" s="30">
        <v>435795351.50999999</v>
      </c>
      <c r="Q70" s="23">
        <f t="shared" si="28"/>
        <v>1.0471908681676297E-3</v>
      </c>
      <c r="R70" s="30">
        <v>410654082.82999998</v>
      </c>
      <c r="S70" s="23">
        <f t="shared" si="29"/>
        <v>9.8082238038931608E-4</v>
      </c>
      <c r="T70" s="24">
        <f>((R70-P70)/P70)</f>
        <v>-5.7690538902921508E-2</v>
      </c>
      <c r="U70" s="59">
        <f t="shared" si="35"/>
        <v>1.9749278624260937E-3</v>
      </c>
      <c r="V70" s="25">
        <f t="shared" si="36"/>
        <v>7.5818049793721564E-3</v>
      </c>
      <c r="W70" s="26">
        <f t="shared" si="37"/>
        <v>1149.7794618923224</v>
      </c>
      <c r="X70" s="26">
        <f t="shared" si="38"/>
        <v>8.7174036493550489</v>
      </c>
      <c r="Y70" s="74">
        <v>1149.78</v>
      </c>
      <c r="Z70" s="74">
        <v>1159.6400000000001</v>
      </c>
      <c r="AA70" s="149">
        <v>105</v>
      </c>
      <c r="AB70" s="149">
        <v>375017</v>
      </c>
      <c r="AC70" s="149">
        <v>607</v>
      </c>
      <c r="AD70" s="149">
        <v>18465</v>
      </c>
      <c r="AE70" s="150">
        <f>(AB70+AC70)-AD70</f>
        <v>357159</v>
      </c>
      <c r="AF70" s="5"/>
      <c r="AG70" s="5"/>
      <c r="AH70" s="5"/>
      <c r="AI70" s="5"/>
      <c r="AJ70" s="6"/>
      <c r="AK70" s="4"/>
      <c r="AL70" s="5"/>
      <c r="AM70" s="5"/>
      <c r="AN70" s="5"/>
      <c r="AO70" s="6"/>
      <c r="AP70" s="4"/>
      <c r="AQ70" s="5"/>
      <c r="AR70" s="5"/>
      <c r="AS70" s="5"/>
      <c r="AT70" s="6"/>
    </row>
    <row r="71" spans="1:256" ht="16.5" customHeight="1" x14ac:dyDescent="0.3">
      <c r="A71" s="172">
        <v>64</v>
      </c>
      <c r="B71" s="58" t="s">
        <v>44</v>
      </c>
      <c r="C71" s="58" t="s">
        <v>111</v>
      </c>
      <c r="D71" s="20"/>
      <c r="E71" s="20"/>
      <c r="F71" s="20">
        <v>7893274.8099999996</v>
      </c>
      <c r="G71" s="20">
        <v>155945358.25</v>
      </c>
      <c r="H71" s="20"/>
      <c r="I71" s="20"/>
      <c r="J71" s="20">
        <v>163838633.06</v>
      </c>
      <c r="K71" s="20">
        <v>1297882.6000000001</v>
      </c>
      <c r="L71" s="20">
        <v>695946.59</v>
      </c>
      <c r="M71" s="152">
        <v>601936</v>
      </c>
      <c r="N71" s="20">
        <v>170701099.65000001</v>
      </c>
      <c r="O71" s="20">
        <v>9064223.0399999991</v>
      </c>
      <c r="P71" s="30">
        <v>160467439.09999999</v>
      </c>
      <c r="Q71" s="23">
        <f t="shared" si="28"/>
        <v>3.8559391760724029E-4</v>
      </c>
      <c r="R71" s="30">
        <v>161636876.59999999</v>
      </c>
      <c r="S71" s="23">
        <f t="shared" si="29"/>
        <v>3.8605988030840138E-4</v>
      </c>
      <c r="T71" s="24">
        <f t="shared" si="39"/>
        <v>7.2876934196677168E-3</v>
      </c>
      <c r="U71" s="59">
        <f t="shared" si="35"/>
        <v>4.3056176575488221E-3</v>
      </c>
      <c r="V71" s="25">
        <f t="shared" si="36"/>
        <v>3.7240016799483244E-3</v>
      </c>
      <c r="W71" s="26">
        <f t="shared" si="37"/>
        <v>139.51617902788593</v>
      </c>
      <c r="X71" s="26">
        <f t="shared" si="38"/>
        <v>0.51955848507981839</v>
      </c>
      <c r="Y71" s="148">
        <v>139.82</v>
      </c>
      <c r="Z71" s="148">
        <v>139.82</v>
      </c>
      <c r="AA71" s="149">
        <v>16</v>
      </c>
      <c r="AB71" s="149">
        <v>1158552.92</v>
      </c>
      <c r="AC71" s="149">
        <v>0</v>
      </c>
      <c r="AD71" s="149">
        <v>0</v>
      </c>
      <c r="AE71" s="150">
        <v>1158552.92</v>
      </c>
      <c r="AF71" s="5"/>
      <c r="AG71" s="5"/>
      <c r="AH71" s="5"/>
      <c r="AI71" s="5"/>
      <c r="AJ71" s="6"/>
      <c r="AK71" s="4"/>
      <c r="AL71" s="5"/>
      <c r="AM71" s="5"/>
      <c r="AN71" s="5"/>
      <c r="AO71" s="6"/>
      <c r="AP71" s="4"/>
      <c r="AQ71" s="5"/>
      <c r="AR71" s="5"/>
      <c r="AS71" s="5"/>
      <c r="AT71" s="6"/>
    </row>
    <row r="72" spans="1:256" ht="16.5" customHeight="1" x14ac:dyDescent="0.3">
      <c r="A72" s="172">
        <v>65</v>
      </c>
      <c r="B72" s="57" t="s">
        <v>114</v>
      </c>
      <c r="C72" s="57" t="s">
        <v>115</v>
      </c>
      <c r="D72" s="20"/>
      <c r="E72" s="20"/>
      <c r="F72" s="20">
        <v>225142246.88999999</v>
      </c>
      <c r="G72" s="20">
        <v>549017406.05999994</v>
      </c>
      <c r="H72" s="20"/>
      <c r="I72" s="20">
        <v>6834061.2400000002</v>
      </c>
      <c r="J72" s="20">
        <v>780993714.17999995</v>
      </c>
      <c r="K72" s="20">
        <v>16233004.73</v>
      </c>
      <c r="L72" s="20">
        <v>3276426.87</v>
      </c>
      <c r="M72" s="152">
        <v>12956577.859999999</v>
      </c>
      <c r="N72" s="20">
        <v>780993714.07000005</v>
      </c>
      <c r="O72" s="20">
        <v>4472070.1900000004</v>
      </c>
      <c r="P72" s="30">
        <v>785007620.61000001</v>
      </c>
      <c r="Q72" s="23">
        <f t="shared" si="28"/>
        <v>1.8863276280860651E-3</v>
      </c>
      <c r="R72" s="30">
        <v>776521643.88999999</v>
      </c>
      <c r="S72" s="23">
        <f t="shared" si="29"/>
        <v>1.8546748687734572E-3</v>
      </c>
      <c r="T72" s="24">
        <f t="shared" si="39"/>
        <v>-1.0810056485064303E-2</v>
      </c>
      <c r="U72" s="59">
        <f t="shared" si="35"/>
        <v>4.2193632280314525E-3</v>
      </c>
      <c r="V72" s="25">
        <f t="shared" si="36"/>
        <v>1.6685404665726735E-2</v>
      </c>
      <c r="W72" s="26">
        <f t="shared" si="37"/>
        <v>188.36003748350018</v>
      </c>
      <c r="X72" s="26">
        <f t="shared" si="38"/>
        <v>3.1428634482636566</v>
      </c>
      <c r="Y72" s="148">
        <v>188.00739999999999</v>
      </c>
      <c r="Z72" s="148">
        <v>189.09010000000001</v>
      </c>
      <c r="AA72" s="149">
        <v>438</v>
      </c>
      <c r="AB72" s="149">
        <v>4207324.5199999996</v>
      </c>
      <c r="AC72" s="149">
        <v>325264.19</v>
      </c>
      <c r="AD72" s="149">
        <v>410049.48</v>
      </c>
      <c r="AE72" s="150">
        <f>(AB72+AC72)-AD72</f>
        <v>4122539.23</v>
      </c>
      <c r="AF72" s="5"/>
      <c r="AG72" s="5"/>
      <c r="AH72" s="5"/>
      <c r="AI72" s="5"/>
      <c r="AJ72" s="6"/>
      <c r="AK72" s="4"/>
      <c r="AL72" s="5"/>
      <c r="AM72" s="5"/>
      <c r="AN72" s="5"/>
      <c r="AO72" s="6"/>
      <c r="AP72" s="4"/>
      <c r="AQ72" s="5"/>
      <c r="AR72" s="5"/>
      <c r="AS72" s="5"/>
      <c r="AT72" s="6"/>
    </row>
    <row r="73" spans="1:256" ht="16.5" customHeight="1" x14ac:dyDescent="0.3">
      <c r="A73" s="172">
        <v>66</v>
      </c>
      <c r="B73" s="57" t="s">
        <v>72</v>
      </c>
      <c r="C73" s="57" t="s">
        <v>116</v>
      </c>
      <c r="D73" s="20"/>
      <c r="E73" s="20"/>
      <c r="F73" s="20">
        <v>57981488.359999999</v>
      </c>
      <c r="G73" s="20">
        <v>371303006.81</v>
      </c>
      <c r="H73" s="20"/>
      <c r="I73" s="20"/>
      <c r="J73" s="20">
        <v>429284495.17000002</v>
      </c>
      <c r="K73" s="20">
        <v>3375478.2</v>
      </c>
      <c r="L73" s="20">
        <v>906059.46</v>
      </c>
      <c r="M73" s="152">
        <v>-5649702.7699999996</v>
      </c>
      <c r="N73" s="20">
        <v>435279952.06999999</v>
      </c>
      <c r="O73" s="20">
        <v>3261685.64</v>
      </c>
      <c r="P73" s="30">
        <v>436808969.19999999</v>
      </c>
      <c r="Q73" s="23">
        <f t="shared" si="28"/>
        <v>1.0496265324882869E-3</v>
      </c>
      <c r="R73" s="30">
        <v>432018266.43000001</v>
      </c>
      <c r="S73" s="23">
        <f t="shared" si="29"/>
        <v>1.0318494376858609E-3</v>
      </c>
      <c r="T73" s="24">
        <f t="shared" si="39"/>
        <v>-1.0967500916416578E-2</v>
      </c>
      <c r="U73" s="59">
        <f t="shared" si="35"/>
        <v>2.0972711813490156E-3</v>
      </c>
      <c r="V73" s="25">
        <f t="shared" si="36"/>
        <v>-1.3077462711673146E-2</v>
      </c>
      <c r="W73" s="26">
        <f t="shared" si="37"/>
        <v>1.4763699636677625</v>
      </c>
      <c r="X73" s="26">
        <f t="shared" si="38"/>
        <v>-1.9307173148499401E-2</v>
      </c>
      <c r="Y73" s="148">
        <v>1.4763999999999999</v>
      </c>
      <c r="Z73" s="148">
        <v>1.4763999999999999</v>
      </c>
      <c r="AA73" s="149">
        <v>157</v>
      </c>
      <c r="AB73" s="149">
        <v>292013418.39999998</v>
      </c>
      <c r="AC73" s="149">
        <v>27551379.510000002</v>
      </c>
      <c r="AD73" s="149">
        <v>26942841.989999998</v>
      </c>
      <c r="AE73" s="150">
        <v>292621955.92000002</v>
      </c>
      <c r="AF73" s="5"/>
      <c r="AG73" s="5"/>
      <c r="AH73" s="5"/>
      <c r="AI73" s="5"/>
      <c r="AJ73" s="6"/>
      <c r="AK73" s="4"/>
      <c r="AL73" s="5"/>
      <c r="AM73" s="5"/>
      <c r="AN73" s="5"/>
      <c r="AO73" s="6"/>
      <c r="AP73" s="4"/>
      <c r="AQ73" s="5"/>
      <c r="AR73" s="5"/>
      <c r="AS73" s="5"/>
      <c r="AT73" s="6"/>
    </row>
    <row r="74" spans="1:256" ht="16.5" customHeight="1" x14ac:dyDescent="0.3">
      <c r="A74" s="172">
        <v>67</v>
      </c>
      <c r="B74" s="58" t="s">
        <v>50</v>
      </c>
      <c r="C74" s="58" t="s">
        <v>118</v>
      </c>
      <c r="D74" s="20"/>
      <c r="E74" s="20"/>
      <c r="F74" s="20">
        <v>189961253.13</v>
      </c>
      <c r="G74" s="20">
        <v>259843248.72999999</v>
      </c>
      <c r="H74" s="20"/>
      <c r="I74" s="20"/>
      <c r="J74" s="20">
        <v>449804501.86000001</v>
      </c>
      <c r="K74" s="20">
        <v>3159755.36</v>
      </c>
      <c r="L74" s="20">
        <v>638026.54</v>
      </c>
      <c r="M74" s="152">
        <v>2521728.8199999998</v>
      </c>
      <c r="N74" s="20">
        <v>452251353.00999999</v>
      </c>
      <c r="O74" s="20">
        <v>638026.54</v>
      </c>
      <c r="P74" s="30">
        <v>439551060.04000002</v>
      </c>
      <c r="Q74" s="23">
        <f t="shared" si="28"/>
        <v>1.056215617198311E-3</v>
      </c>
      <c r="R74" s="30">
        <v>451613326.47000003</v>
      </c>
      <c r="S74" s="23">
        <f t="shared" si="29"/>
        <v>1.078651050614815E-3</v>
      </c>
      <c r="T74" s="24">
        <f t="shared" si="39"/>
        <v>2.7442241702027331E-2</v>
      </c>
      <c r="U74" s="59">
        <f t="shared" si="35"/>
        <v>1.4127717288306885E-3</v>
      </c>
      <c r="V74" s="25">
        <f t="shared" si="36"/>
        <v>5.5838228683615125E-3</v>
      </c>
      <c r="W74" s="26">
        <f t="shared" si="37"/>
        <v>1.1976566428755735</v>
      </c>
      <c r="X74" s="26">
        <f t="shared" si="38"/>
        <v>6.6875025509337037E-3</v>
      </c>
      <c r="Y74" s="148">
        <v>1.2</v>
      </c>
      <c r="Z74" s="148">
        <v>1.2</v>
      </c>
      <c r="AA74" s="149">
        <v>230</v>
      </c>
      <c r="AB74" s="149">
        <v>376680292.11000001</v>
      </c>
      <c r="AC74" s="149">
        <v>556240.86</v>
      </c>
      <c r="AD74" s="149">
        <v>155731.76</v>
      </c>
      <c r="AE74" s="150">
        <v>377080801.20999998</v>
      </c>
      <c r="AF74" s="5"/>
      <c r="AG74" s="5"/>
      <c r="AH74" s="5"/>
      <c r="AI74" s="5"/>
      <c r="AJ74" s="6"/>
      <c r="AK74" s="4"/>
      <c r="AL74" s="5"/>
      <c r="AM74" s="5"/>
      <c r="AN74" s="5"/>
      <c r="AO74" s="6"/>
      <c r="AP74" s="4"/>
      <c r="AQ74" s="5"/>
      <c r="AR74" s="5"/>
      <c r="AS74" s="5"/>
      <c r="AT74" s="6"/>
    </row>
    <row r="75" spans="1:256" ht="16.5" customHeight="1" x14ac:dyDescent="0.3">
      <c r="A75" s="172">
        <v>68</v>
      </c>
      <c r="B75" s="57" t="s">
        <v>35</v>
      </c>
      <c r="C75" s="58" t="s">
        <v>120</v>
      </c>
      <c r="D75" s="20"/>
      <c r="E75" s="20"/>
      <c r="F75" s="20">
        <v>166052599.25999999</v>
      </c>
      <c r="G75" s="20">
        <v>444811069.88</v>
      </c>
      <c r="H75" s="20"/>
      <c r="I75" s="20"/>
      <c r="J75" s="20">
        <v>610863669.13999999</v>
      </c>
      <c r="K75" s="20">
        <v>8400894.4900000002</v>
      </c>
      <c r="L75" s="20">
        <v>3305768.6</v>
      </c>
      <c r="M75" s="152">
        <v>5095125.8899999997</v>
      </c>
      <c r="N75" s="20">
        <v>1284098229</v>
      </c>
      <c r="O75" s="20">
        <v>28504796</v>
      </c>
      <c r="P75" s="30">
        <v>1264357792</v>
      </c>
      <c r="Q75" s="23">
        <f t="shared" si="28"/>
        <v>3.0381781937125728E-3</v>
      </c>
      <c r="R75" s="30">
        <v>1255593434</v>
      </c>
      <c r="S75" s="23">
        <f t="shared" si="29"/>
        <v>2.9989087950865211E-3</v>
      </c>
      <c r="T75" s="24">
        <f t="shared" si="39"/>
        <v>-6.9318653750187822E-3</v>
      </c>
      <c r="U75" s="59">
        <f t="shared" si="35"/>
        <v>2.6328336151525303E-3</v>
      </c>
      <c r="V75" s="25">
        <f t="shared" si="36"/>
        <v>4.0579424454046638E-3</v>
      </c>
      <c r="W75" s="26">
        <f t="shared" si="37"/>
        <v>1.0390962298908919</v>
      </c>
      <c r="X75" s="26">
        <f t="shared" si="38"/>
        <v>4.2165926961342127E-3</v>
      </c>
      <c r="Y75" s="148">
        <v>1.0339</v>
      </c>
      <c r="Z75" s="148">
        <v>1.0339</v>
      </c>
      <c r="AA75" s="149">
        <v>246</v>
      </c>
      <c r="AB75" s="149">
        <v>1221798178</v>
      </c>
      <c r="AC75" s="149">
        <v>4886681</v>
      </c>
      <c r="AD75" s="149">
        <v>18333411</v>
      </c>
      <c r="AE75" s="150">
        <v>1208351448</v>
      </c>
      <c r="AF75" s="5"/>
      <c r="AG75" s="5"/>
      <c r="AH75" s="5"/>
      <c r="AI75" s="5"/>
      <c r="AJ75" s="6"/>
      <c r="AK75" s="4"/>
      <c r="AL75" s="5"/>
      <c r="AM75" s="5"/>
      <c r="AN75" s="5"/>
      <c r="AO75" s="6"/>
      <c r="AP75" s="4"/>
      <c r="AQ75" s="5"/>
      <c r="AR75" s="5"/>
      <c r="AS75" s="5"/>
      <c r="AT75" s="6"/>
    </row>
    <row r="76" spans="1:256" ht="16.5" customHeight="1" x14ac:dyDescent="0.3">
      <c r="A76" s="172">
        <v>69</v>
      </c>
      <c r="B76" s="58" t="s">
        <v>23</v>
      </c>
      <c r="C76" s="58" t="s">
        <v>163</v>
      </c>
      <c r="D76" s="20"/>
      <c r="E76" s="20"/>
      <c r="F76" s="20">
        <v>16400050021.690001</v>
      </c>
      <c r="G76" s="20">
        <v>13060454493.629999</v>
      </c>
      <c r="H76" s="20"/>
      <c r="I76" s="20"/>
      <c r="J76" s="20">
        <v>29460504515.32</v>
      </c>
      <c r="K76" s="20">
        <v>185942779.81999999</v>
      </c>
      <c r="L76" s="20">
        <v>41991679.789999999</v>
      </c>
      <c r="M76" s="152">
        <v>143951100.03</v>
      </c>
      <c r="N76" s="20">
        <v>29863219124.48</v>
      </c>
      <c r="O76" s="20">
        <v>49308565.049999997</v>
      </c>
      <c r="P76" s="30">
        <v>28954390684.849998</v>
      </c>
      <c r="Q76" s="23">
        <f t="shared" si="28"/>
        <v>6.9575715788324666E-2</v>
      </c>
      <c r="R76" s="30">
        <v>29813910559.43</v>
      </c>
      <c r="S76" s="23">
        <f t="shared" si="29"/>
        <v>7.1208717863204068E-2</v>
      </c>
      <c r="T76" s="24">
        <f>((R76-P76)/P76)</f>
        <v>2.9685303480750994E-2</v>
      </c>
      <c r="U76" s="59">
        <f>(L76/R76)</f>
        <v>1.4084593064802842E-3</v>
      </c>
      <c r="V76" s="25">
        <f>M76/R76</f>
        <v>4.8283199797977839E-3</v>
      </c>
      <c r="W76" s="26">
        <f>R76/AE76</f>
        <v>108.9223409005526</v>
      </c>
      <c r="X76" s="26">
        <f>M76/AE76</f>
        <v>0.52591191481648347</v>
      </c>
      <c r="Y76" s="148">
        <v>108.92</v>
      </c>
      <c r="Z76" s="148">
        <v>108.92</v>
      </c>
      <c r="AA76" s="149">
        <v>2360</v>
      </c>
      <c r="AB76" s="149">
        <v>267117038.36000001</v>
      </c>
      <c r="AC76" s="149">
        <v>21260859.34</v>
      </c>
      <c r="AD76" s="149">
        <v>14660767.560000001</v>
      </c>
      <c r="AE76" s="150">
        <v>273717130.13999999</v>
      </c>
      <c r="AF76" s="19"/>
      <c r="AG76" s="5"/>
      <c r="AH76" s="5"/>
      <c r="AI76" s="5"/>
      <c r="AJ76" s="6"/>
      <c r="AK76" s="4"/>
      <c r="AL76" s="5"/>
      <c r="AM76" s="5"/>
      <c r="AN76" s="5"/>
      <c r="AO76" s="6"/>
      <c r="AP76" s="4"/>
      <c r="AQ76" s="5"/>
      <c r="AR76" s="5"/>
      <c r="AS76" s="5"/>
      <c r="AT76" s="6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  <c r="IV76" s="18"/>
    </row>
    <row r="77" spans="1:256" ht="16.5" customHeight="1" x14ac:dyDescent="0.3">
      <c r="A77" s="172">
        <v>70</v>
      </c>
      <c r="B77" s="57" t="s">
        <v>121</v>
      </c>
      <c r="C77" s="58" t="s">
        <v>152</v>
      </c>
      <c r="D77" s="20"/>
      <c r="E77" s="20"/>
      <c r="F77" s="20"/>
      <c r="G77" s="20">
        <v>268975736.00999999</v>
      </c>
      <c r="H77" s="20"/>
      <c r="I77" s="20"/>
      <c r="J77" s="20">
        <v>268975736.00999999</v>
      </c>
      <c r="K77" s="20">
        <v>2782113.9</v>
      </c>
      <c r="L77" s="20">
        <v>410020.53</v>
      </c>
      <c r="M77" s="152">
        <v>2372093.37</v>
      </c>
      <c r="N77" s="20">
        <v>269657319.42000002</v>
      </c>
      <c r="O77" s="53">
        <v>8295537.6299999999</v>
      </c>
      <c r="P77" s="30">
        <v>261071485.08000001</v>
      </c>
      <c r="Q77" s="23">
        <f t="shared" si="28"/>
        <v>6.2733958535228713E-4</v>
      </c>
      <c r="R77" s="30">
        <v>261361781.78999999</v>
      </c>
      <c r="S77" s="23">
        <f t="shared" si="29"/>
        <v>6.2424677039965722E-4</v>
      </c>
      <c r="T77" s="24">
        <f>((R77-P77)/P77)</f>
        <v>1.1119433817562384E-3</v>
      </c>
      <c r="U77" s="59">
        <f>(L77/R77)</f>
        <v>1.5687853334633484E-3</v>
      </c>
      <c r="V77" s="25">
        <f>M77/R77</f>
        <v>9.0758999030161915E-3</v>
      </c>
      <c r="W77" s="26">
        <f>R77/AE77</f>
        <v>1100.2853489517554</v>
      </c>
      <c r="X77" s="26">
        <f>M77/AE77</f>
        <v>9.9860796918413737</v>
      </c>
      <c r="Y77" s="74">
        <v>1100.29</v>
      </c>
      <c r="Z77" s="74">
        <v>1100.29</v>
      </c>
      <c r="AA77" s="149">
        <v>122</v>
      </c>
      <c r="AB77" s="149">
        <v>239270</v>
      </c>
      <c r="AC77" s="149">
        <v>2460</v>
      </c>
      <c r="AD77" s="149">
        <v>4190</v>
      </c>
      <c r="AE77" s="150">
        <v>237540</v>
      </c>
      <c r="AF77" s="19"/>
      <c r="AG77" s="5"/>
      <c r="AH77" s="5"/>
      <c r="AI77" s="5"/>
      <c r="AJ77" s="6"/>
      <c r="AK77" s="4"/>
      <c r="AL77" s="5"/>
      <c r="AM77" s="5"/>
      <c r="AN77" s="5"/>
      <c r="AO77" s="6"/>
      <c r="AP77" s="4"/>
      <c r="AQ77" s="5"/>
      <c r="AR77" s="5"/>
      <c r="AS77" s="5"/>
      <c r="AT77" s="6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  <c r="IV77" s="18"/>
    </row>
    <row r="78" spans="1:256" ht="16.5" customHeight="1" x14ac:dyDescent="0.3">
      <c r="A78" s="172">
        <v>71</v>
      </c>
      <c r="B78" s="57" t="s">
        <v>148</v>
      </c>
      <c r="C78" s="58" t="s">
        <v>149</v>
      </c>
      <c r="D78" s="20"/>
      <c r="E78" s="20"/>
      <c r="F78" s="20">
        <v>69379503.400000006</v>
      </c>
      <c r="G78" s="20">
        <v>1093757370.8299999</v>
      </c>
      <c r="H78" s="20"/>
      <c r="I78" s="20"/>
      <c r="J78" s="20">
        <v>1163136874.23</v>
      </c>
      <c r="K78" s="20">
        <v>12273318.99</v>
      </c>
      <c r="L78" s="20">
        <v>2174697.92</v>
      </c>
      <c r="M78" s="152">
        <v>10098621.07</v>
      </c>
      <c r="N78" s="20">
        <v>1603017228.25</v>
      </c>
      <c r="O78" s="20">
        <v>2066728.28</v>
      </c>
      <c r="P78" s="30">
        <v>1571522474.0699999</v>
      </c>
      <c r="Q78" s="23">
        <f t="shared" si="28"/>
        <v>3.7762770489958792E-3</v>
      </c>
      <c r="R78" s="30">
        <v>1600950499.98</v>
      </c>
      <c r="S78" s="23">
        <f t="shared" si="29"/>
        <v>3.8237732094481354E-3</v>
      </c>
      <c r="T78" s="24">
        <f t="shared" si="39"/>
        <v>1.8725806595553198E-2</v>
      </c>
      <c r="U78" s="59">
        <f t="shared" si="35"/>
        <v>1.3583792378509937E-3</v>
      </c>
      <c r="V78" s="25">
        <f t="shared" si="36"/>
        <v>6.307890887398554E-3</v>
      </c>
      <c r="W78" s="26" t="e">
        <f>R78/AE81</f>
        <v>#DIV/0!</v>
      </c>
      <c r="X78" s="26" t="e">
        <f>M78/AE81</f>
        <v>#DIV/0!</v>
      </c>
      <c r="Y78" s="148">
        <v>1.0351999999999999</v>
      </c>
      <c r="Z78" s="148">
        <v>1.0351999999999999</v>
      </c>
      <c r="AA78" s="149">
        <v>613</v>
      </c>
      <c r="AB78" s="149">
        <v>1527614836.22</v>
      </c>
      <c r="AC78" s="149">
        <v>81461788.879999995</v>
      </c>
      <c r="AD78" s="149">
        <v>62606145.469999999</v>
      </c>
      <c r="AE78" s="150">
        <v>1546470479.6300001</v>
      </c>
      <c r="AF78" s="212"/>
      <c r="AG78" s="9"/>
      <c r="AH78" s="5"/>
      <c r="AI78" s="5"/>
      <c r="AJ78" s="6"/>
      <c r="AK78" s="4"/>
      <c r="AL78" s="5"/>
      <c r="AM78" s="5"/>
      <c r="AN78" s="5"/>
      <c r="AO78" s="6"/>
      <c r="AP78" s="4"/>
      <c r="AQ78" s="5"/>
      <c r="AR78" s="5"/>
      <c r="AS78" s="5"/>
      <c r="AT78" s="6"/>
    </row>
    <row r="79" spans="1:256" ht="16.5" customHeight="1" x14ac:dyDescent="0.3">
      <c r="A79" s="172">
        <v>72</v>
      </c>
      <c r="B79" s="58" t="s">
        <v>29</v>
      </c>
      <c r="C79" s="58" t="s">
        <v>197</v>
      </c>
      <c r="D79" s="20"/>
      <c r="E79" s="20"/>
      <c r="F79" s="20">
        <v>299989690.16000003</v>
      </c>
      <c r="G79" s="20">
        <v>934669191.61000001</v>
      </c>
      <c r="H79" s="20"/>
      <c r="I79" s="162"/>
      <c r="J79" s="20">
        <v>1254424067.95</v>
      </c>
      <c r="K79" s="20">
        <v>6200326.5099999998</v>
      </c>
      <c r="L79" s="20">
        <v>1738587.26</v>
      </c>
      <c r="M79" s="152">
        <v>4461739.25</v>
      </c>
      <c r="N79" s="20">
        <v>1254424067.95</v>
      </c>
      <c r="O79" s="20">
        <v>2841493.8</v>
      </c>
      <c r="P79" s="30">
        <v>448147251.39999998</v>
      </c>
      <c r="Q79" s="23">
        <f t="shared" si="28"/>
        <v>1.0768717647731364E-3</v>
      </c>
      <c r="R79" s="30">
        <v>1251582574.1500001</v>
      </c>
      <c r="S79" s="23">
        <f t="shared" si="29"/>
        <v>2.9893290994985112E-3</v>
      </c>
      <c r="T79" s="24">
        <f t="shared" ref="T79" si="40">((R79-P79)/P79)</f>
        <v>1.792793150555068</v>
      </c>
      <c r="U79" s="59">
        <f t="shared" ref="U79" si="41">(L79/R79)</f>
        <v>1.3891111109314896E-3</v>
      </c>
      <c r="V79" s="25">
        <f t="shared" ref="V79" si="42">M79/R79</f>
        <v>3.5648780529164413E-3</v>
      </c>
      <c r="W79" s="26">
        <f t="shared" ref="W79" si="43">R79/AE79</f>
        <v>103.62671855830013</v>
      </c>
      <c r="X79" s="26">
        <f t="shared" ref="X79" si="44">M79/AE79</f>
        <v>0.36941661468423298</v>
      </c>
      <c r="Y79" s="148">
        <v>103.63</v>
      </c>
      <c r="Z79" s="148">
        <v>103.63</v>
      </c>
      <c r="AA79" s="149">
        <v>68</v>
      </c>
      <c r="AB79" s="149">
        <v>4344574</v>
      </c>
      <c r="AC79" s="149">
        <v>7733224</v>
      </c>
      <c r="AD79" s="149">
        <v>0</v>
      </c>
      <c r="AE79" s="150">
        <v>12077798</v>
      </c>
      <c r="AF79" s="5"/>
      <c r="AG79" s="5"/>
      <c r="AH79" s="5"/>
      <c r="AI79" s="5"/>
      <c r="AJ79" s="6"/>
      <c r="AK79" s="4"/>
      <c r="AL79" s="5"/>
      <c r="AM79" s="5"/>
      <c r="AN79" s="5"/>
      <c r="AO79" s="6"/>
      <c r="AP79" s="4"/>
      <c r="AQ79" s="5"/>
      <c r="AR79" s="5"/>
      <c r="AS79" s="5"/>
      <c r="AT79" s="6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  <c r="IV79" s="18"/>
    </row>
    <row r="80" spans="1:256" ht="16.5" customHeight="1" x14ac:dyDescent="0.3">
      <c r="A80" s="172">
        <v>73</v>
      </c>
      <c r="B80" s="58" t="s">
        <v>65</v>
      </c>
      <c r="C80" s="58" t="s">
        <v>213</v>
      </c>
      <c r="D80" s="20"/>
      <c r="E80" s="20"/>
      <c r="F80" s="20">
        <v>23140296.719999999</v>
      </c>
      <c r="G80" s="20">
        <v>215247861.66999999</v>
      </c>
      <c r="H80" s="20"/>
      <c r="I80" s="162"/>
      <c r="J80" s="20">
        <v>238388158.38999999</v>
      </c>
      <c r="K80" s="20">
        <v>1507313.63</v>
      </c>
      <c r="L80" s="20">
        <v>463443.24</v>
      </c>
      <c r="M80" s="20">
        <v>1043870.39</v>
      </c>
      <c r="N80" s="20">
        <v>308413148.56</v>
      </c>
      <c r="O80" s="20">
        <v>28766853.16</v>
      </c>
      <c r="P80" s="30">
        <v>171639972.75</v>
      </c>
      <c r="Q80" s="23">
        <f t="shared" si="28"/>
        <v>4.1244086577232897E-4</v>
      </c>
      <c r="R80" s="30">
        <v>279646295.39999998</v>
      </c>
      <c r="S80" s="23">
        <f t="shared" si="29"/>
        <v>6.6791822263417735E-4</v>
      </c>
      <c r="T80" s="24">
        <f t="shared" ref="T80" si="45">((R80-P80)/P80)</f>
        <v>0.62926089371568006</v>
      </c>
      <c r="U80" s="59">
        <f t="shared" ref="U80" si="46">(L80/R80)</f>
        <v>1.6572479150388918E-3</v>
      </c>
      <c r="V80" s="25">
        <f t="shared" ref="V80" si="47">M80/R80</f>
        <v>3.732823953583474E-3</v>
      </c>
      <c r="W80" s="26">
        <f t="shared" ref="W80" si="48">R80/AE80</f>
        <v>100.68538089389928</v>
      </c>
      <c r="X80" s="26">
        <f t="shared" ref="X80" si="49">M80/AE80</f>
        <v>0.37584080157642308</v>
      </c>
      <c r="Y80" s="148">
        <v>100.7</v>
      </c>
      <c r="Z80" s="148">
        <v>100.7</v>
      </c>
      <c r="AA80" s="198">
        <v>77</v>
      </c>
      <c r="AB80" s="149">
        <v>1782284</v>
      </c>
      <c r="AC80" s="149">
        <v>1095143</v>
      </c>
      <c r="AD80" s="149">
        <v>100000</v>
      </c>
      <c r="AE80" s="150">
        <v>2777427</v>
      </c>
      <c r="AF80" s="5"/>
      <c r="AG80" s="5"/>
      <c r="AH80" s="5"/>
      <c r="AI80" s="5"/>
      <c r="AJ80" s="6"/>
      <c r="AK80" s="4"/>
      <c r="AL80" s="5"/>
      <c r="AM80" s="5"/>
      <c r="AN80" s="5"/>
      <c r="AO80" s="6"/>
      <c r="AP80" s="4"/>
      <c r="AQ80" s="5"/>
      <c r="AR80" s="5"/>
      <c r="AS80" s="5"/>
      <c r="AT80" s="6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  <c r="IV80" s="18"/>
    </row>
    <row r="81" spans="1:256" ht="16.5" customHeight="1" x14ac:dyDescent="0.3">
      <c r="A81" s="115" t="s">
        <v>91</v>
      </c>
      <c r="B81" s="89"/>
      <c r="C81" s="35" t="s">
        <v>52</v>
      </c>
      <c r="D81" s="36">
        <f>SUM(D53:D79)</f>
        <v>102176272.73999999</v>
      </c>
      <c r="E81" s="36"/>
      <c r="F81" s="36">
        <f>SUM(F53:F80)</f>
        <v>98499443559.5</v>
      </c>
      <c r="G81" s="36">
        <f>SUM(G53:G80)</f>
        <v>274005868713.24002</v>
      </c>
      <c r="H81" s="36"/>
      <c r="I81" s="36">
        <f t="shared" ref="I81:P81" si="50">SUM(I53:I79)</f>
        <v>6834061.2400000002</v>
      </c>
      <c r="J81" s="36">
        <f t="shared" ref="J81:O81" si="51">SUM(J53:J80)</f>
        <v>380097744953.50995</v>
      </c>
      <c r="K81" s="36">
        <f t="shared" si="51"/>
        <v>3343655237.6200004</v>
      </c>
      <c r="L81" s="36">
        <f t="shared" si="51"/>
        <v>617089622.60000002</v>
      </c>
      <c r="M81" s="36">
        <f t="shared" si="51"/>
        <v>2715052176.4699998</v>
      </c>
      <c r="N81" s="36">
        <f t="shared" si="51"/>
        <v>421461082992.11011</v>
      </c>
      <c r="O81" s="36">
        <f t="shared" si="51"/>
        <v>3106719379.9200006</v>
      </c>
      <c r="P81" s="37">
        <f t="shared" si="50"/>
        <v>416156562053.06</v>
      </c>
      <c r="Q81" s="88">
        <f>(P81/$P$150)</f>
        <v>0.29457559199895988</v>
      </c>
      <c r="R81" s="37">
        <f>SUM(R53:R79)</f>
        <v>418683434473.62994</v>
      </c>
      <c r="S81" s="88">
        <f>(R81/$R$150)</f>
        <v>0.29741567658159107</v>
      </c>
      <c r="T81" s="38">
        <f t="shared" si="39"/>
        <v>6.0719273729673154E-3</v>
      </c>
      <c r="U81" s="51"/>
      <c r="V81" s="39"/>
      <c r="W81" s="40"/>
      <c r="X81" s="40"/>
      <c r="Y81" s="36"/>
      <c r="Z81" s="36"/>
      <c r="AA81" s="41">
        <f>SUM(AA53:AA80)</f>
        <v>44706</v>
      </c>
      <c r="AB81" s="41"/>
      <c r="AC81" s="41"/>
      <c r="AD81" s="41"/>
      <c r="AE81" s="111">
        <v>0</v>
      </c>
      <c r="AF81" s="90"/>
      <c r="AG81" s="5"/>
      <c r="AH81" s="5"/>
      <c r="AI81" s="5"/>
      <c r="AJ81" s="6"/>
      <c r="AK81" s="4"/>
      <c r="AL81" s="5"/>
      <c r="AM81" s="5"/>
      <c r="AN81" s="5"/>
      <c r="AO81" s="6"/>
      <c r="AP81" s="4"/>
      <c r="AQ81" s="5"/>
      <c r="AR81" s="5"/>
      <c r="AS81" s="5"/>
      <c r="AT81" s="6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  <c r="IV81" s="18"/>
    </row>
    <row r="82" spans="1:256" ht="16.5" customHeight="1" x14ac:dyDescent="0.3">
      <c r="A82" s="203" t="s">
        <v>178</v>
      </c>
      <c r="B82" s="201"/>
      <c r="C82" s="201"/>
      <c r="D82" s="45"/>
      <c r="E82" s="45"/>
      <c r="F82" s="45"/>
      <c r="G82" s="45"/>
      <c r="H82" s="45"/>
      <c r="I82" s="45"/>
      <c r="J82" s="45"/>
      <c r="K82" s="45"/>
      <c r="L82" s="45"/>
      <c r="M82" s="166"/>
      <c r="N82" s="45"/>
      <c r="O82" s="45"/>
      <c r="P82" s="45">
        <v>0</v>
      </c>
      <c r="Q82" s="24"/>
      <c r="R82" s="45">
        <v>0</v>
      </c>
      <c r="S82" s="24"/>
      <c r="T82" s="24"/>
      <c r="U82" s="24"/>
      <c r="V82" s="46"/>
      <c r="W82" s="47"/>
      <c r="X82" s="47"/>
      <c r="Y82" s="45"/>
      <c r="Z82" s="45"/>
      <c r="AA82" s="45"/>
      <c r="AB82" s="45"/>
      <c r="AC82" s="45"/>
      <c r="AD82" s="45"/>
      <c r="AE82" s="116"/>
      <c r="AF82" s="90"/>
      <c r="AG82" s="5"/>
      <c r="AH82" s="5"/>
      <c r="AI82" s="5"/>
      <c r="AJ82" s="6"/>
      <c r="AK82" s="4"/>
      <c r="AL82" s="5"/>
      <c r="AM82" s="5"/>
      <c r="AN82" s="5"/>
      <c r="AO82" s="6"/>
      <c r="AP82" s="4"/>
      <c r="AQ82" s="5"/>
      <c r="AR82" s="5"/>
      <c r="AS82" s="5"/>
      <c r="AT82" s="6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  <c r="IV82" s="18"/>
    </row>
    <row r="83" spans="1:256" ht="16.5" customHeight="1" x14ac:dyDescent="0.3">
      <c r="A83" s="207" t="s">
        <v>177</v>
      </c>
      <c r="B83" s="208"/>
      <c r="C83" s="208"/>
      <c r="D83" s="91"/>
      <c r="E83" s="91"/>
      <c r="F83" s="91"/>
      <c r="G83" s="91"/>
      <c r="H83" s="91"/>
      <c r="I83" s="91"/>
      <c r="J83" s="91"/>
      <c r="K83" s="91"/>
      <c r="L83" s="91"/>
      <c r="M83" s="167"/>
      <c r="N83" s="91"/>
      <c r="O83" s="91"/>
      <c r="P83" s="91"/>
      <c r="Q83" s="92"/>
      <c r="R83" s="91"/>
      <c r="S83" s="92"/>
      <c r="T83" s="92"/>
      <c r="U83" s="93"/>
      <c r="V83" s="94"/>
      <c r="W83" s="95"/>
      <c r="X83" s="95"/>
      <c r="Y83" s="91"/>
      <c r="Z83" s="91"/>
      <c r="AA83" s="91"/>
      <c r="AB83" s="91"/>
      <c r="AC83" s="91"/>
      <c r="AD83" s="91"/>
      <c r="AE83" s="117"/>
      <c r="AF83" s="90"/>
      <c r="AG83" s="5"/>
      <c r="AH83" s="5"/>
      <c r="AI83" s="5"/>
      <c r="AJ83" s="6"/>
      <c r="AK83" s="4"/>
      <c r="AL83" s="5"/>
      <c r="AM83" s="5"/>
      <c r="AN83" s="5"/>
      <c r="AO83" s="6"/>
      <c r="AP83" s="4"/>
      <c r="AQ83" s="5"/>
      <c r="AR83" s="5"/>
      <c r="AS83" s="5"/>
      <c r="AT83" s="6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  <c r="IV83" s="18"/>
    </row>
    <row r="84" spans="1:256" ht="16.5" customHeight="1" x14ac:dyDescent="0.3">
      <c r="A84" s="178" t="s">
        <v>214</v>
      </c>
      <c r="B84" s="58" t="s">
        <v>180</v>
      </c>
      <c r="C84" s="58" t="s">
        <v>199</v>
      </c>
      <c r="D84" s="20"/>
      <c r="E84" s="20">
        <v>0</v>
      </c>
      <c r="F84" s="151">
        <v>0</v>
      </c>
      <c r="G84" s="20">
        <v>0</v>
      </c>
      <c r="H84" s="29"/>
      <c r="I84" s="48"/>
      <c r="J84" s="28">
        <v>0</v>
      </c>
      <c r="K84" s="28">
        <v>0</v>
      </c>
      <c r="L84" s="28">
        <v>0</v>
      </c>
      <c r="M84" s="168">
        <v>0</v>
      </c>
      <c r="N84" s="20">
        <v>0</v>
      </c>
      <c r="O84" s="77">
        <v>0</v>
      </c>
      <c r="P84" s="22">
        <v>0</v>
      </c>
      <c r="Q84" s="147">
        <f t="shared" ref="Q84:Q92" si="52">(P84/$P$102)</f>
        <v>0</v>
      </c>
      <c r="R84" s="22">
        <v>0</v>
      </c>
      <c r="S84" s="23">
        <v>0</v>
      </c>
      <c r="T84" s="24" t="e">
        <f t="shared" ref="T84:T89" si="53">((R84-P84)/P84)</f>
        <v>#DIV/0!</v>
      </c>
      <c r="U84" s="59" t="e">
        <f t="shared" ref="U84:U89" si="54">(L84/R84)</f>
        <v>#DIV/0!</v>
      </c>
      <c r="V84" s="25" t="e">
        <f t="shared" ref="V84:V89" si="55">M84/R84</f>
        <v>#DIV/0!</v>
      </c>
      <c r="W84" s="26" t="e">
        <f t="shared" ref="W84:W89" si="56">R84/AE84</f>
        <v>#DIV/0!</v>
      </c>
      <c r="X84" s="26" t="e">
        <f>M84/AE84</f>
        <v>#DIV/0!</v>
      </c>
      <c r="Y84" s="20">
        <v>123.52</v>
      </c>
      <c r="Z84" s="28">
        <v>122</v>
      </c>
      <c r="AA84" s="27">
        <v>1743</v>
      </c>
      <c r="AB84" s="27">
        <v>179807.15</v>
      </c>
      <c r="AC84" s="27">
        <v>0</v>
      </c>
      <c r="AD84" s="27">
        <v>0</v>
      </c>
      <c r="AE84" s="111">
        <v>0</v>
      </c>
      <c r="AF84" s="5"/>
      <c r="AG84" s="5"/>
      <c r="AH84" s="5"/>
      <c r="AI84" s="5"/>
      <c r="AJ84" s="6"/>
      <c r="AK84" s="4"/>
      <c r="AL84" s="5"/>
      <c r="AM84" s="5"/>
      <c r="AN84" s="5"/>
      <c r="AO84" s="6"/>
      <c r="AP84" s="4"/>
      <c r="AQ84" s="5"/>
      <c r="AR84" s="5"/>
      <c r="AS84" s="5"/>
      <c r="AT84" s="6"/>
    </row>
    <row r="85" spans="1:256" ht="16.5" customHeight="1" x14ac:dyDescent="0.3">
      <c r="A85" s="178" t="s">
        <v>215</v>
      </c>
      <c r="B85" s="58" t="s">
        <v>180</v>
      </c>
      <c r="C85" s="58" t="s">
        <v>198</v>
      </c>
      <c r="D85" s="29"/>
      <c r="E85" s="20"/>
      <c r="F85" s="151">
        <v>2219749135.5999999</v>
      </c>
      <c r="G85" s="20">
        <v>6704976022.3000002</v>
      </c>
      <c r="H85" s="29"/>
      <c r="I85" s="48"/>
      <c r="J85" s="28">
        <v>9374707567.0200005</v>
      </c>
      <c r="K85" s="28">
        <v>53302937.380000003</v>
      </c>
      <c r="L85" s="28">
        <v>12393797.109999999</v>
      </c>
      <c r="M85" s="168">
        <v>40909140.270000003</v>
      </c>
      <c r="N85" s="20">
        <v>9404520983.6599998</v>
      </c>
      <c r="O85" s="20">
        <v>29813416.640000001</v>
      </c>
      <c r="P85" s="22">
        <v>9237803735.4500008</v>
      </c>
      <c r="Q85" s="23">
        <f t="shared" si="52"/>
        <v>3.4864176012921549E-2</v>
      </c>
      <c r="R85" s="22">
        <v>9374707567.0200005</v>
      </c>
      <c r="S85" s="23">
        <f t="shared" ref="S85:S92" si="57">(R85/$R$102)</f>
        <v>3.4953291754522262E-2</v>
      </c>
      <c r="T85" s="24">
        <f t="shared" si="53"/>
        <v>1.481995455744879E-2</v>
      </c>
      <c r="U85" s="59">
        <f t="shared" si="54"/>
        <v>1.322046263459042E-3</v>
      </c>
      <c r="V85" s="25">
        <f t="shared" si="55"/>
        <v>4.3637777474699472E-3</v>
      </c>
      <c r="W85" s="26">
        <f t="shared" si="56"/>
        <v>52137.568317055251</v>
      </c>
      <c r="X85" s="26">
        <f t="shared" ref="X85:X89" si="58">M85/AE85</f>
        <v>227.51676042915983</v>
      </c>
      <c r="Y85" s="20">
        <f>415.69</f>
        <v>415.69</v>
      </c>
      <c r="Z85" s="20">
        <f>415.69</f>
        <v>415.69</v>
      </c>
      <c r="AA85" s="27">
        <v>1743</v>
      </c>
      <c r="AB85" s="27">
        <v>179807.15</v>
      </c>
      <c r="AC85" s="27">
        <v>7437.82</v>
      </c>
      <c r="AD85" s="27">
        <v>7437.82</v>
      </c>
      <c r="AE85" s="150">
        <f>(AB85+AC85)-AD85</f>
        <v>179807.15</v>
      </c>
      <c r="AF85" s="5"/>
      <c r="AG85" s="5"/>
      <c r="AH85" s="5"/>
      <c r="AI85" s="5"/>
      <c r="AJ85" s="6"/>
      <c r="AK85" s="4"/>
      <c r="AL85" s="5"/>
      <c r="AM85" s="5"/>
      <c r="AN85" s="5"/>
      <c r="AO85" s="6"/>
      <c r="AP85" s="4"/>
      <c r="AQ85" s="5"/>
      <c r="AR85" s="5"/>
      <c r="AS85" s="5"/>
      <c r="AT85" s="6"/>
    </row>
    <row r="86" spans="1:256" ht="16.5" customHeight="1" x14ac:dyDescent="0.3">
      <c r="A86" s="172">
        <v>75</v>
      </c>
      <c r="B86" s="58" t="s">
        <v>33</v>
      </c>
      <c r="C86" s="58" t="s">
        <v>196</v>
      </c>
      <c r="D86" s="29"/>
      <c r="E86" s="20"/>
      <c r="F86" s="138"/>
      <c r="G86" s="20">
        <f>415.69*126380371</f>
        <v>52535056420.989998</v>
      </c>
      <c r="H86" s="20"/>
      <c r="I86" s="28"/>
      <c r="J86" s="28">
        <v>52535056420.989998</v>
      </c>
      <c r="K86" s="28">
        <f>415.69*786907</f>
        <v>327109370.82999998</v>
      </c>
      <c r="L86" s="28">
        <f>415.69*209934</f>
        <v>87267464.459999993</v>
      </c>
      <c r="M86" s="168">
        <f>415.69*576973</f>
        <v>239841906.37</v>
      </c>
      <c r="N86" s="20">
        <f>415.69*131795246</f>
        <v>54785965809.739998</v>
      </c>
      <c r="O86" s="20">
        <f>415.69*449048</f>
        <v>186664763.12</v>
      </c>
      <c r="P86" s="22">
        <f>416.25*125363313</f>
        <v>52182479036.25</v>
      </c>
      <c r="Q86" s="147">
        <f t="shared" si="52"/>
        <v>0.19694065667674476</v>
      </c>
      <c r="R86" s="22">
        <f>415.69*131346198</f>
        <v>54599301046.620003</v>
      </c>
      <c r="S86" s="23">
        <f t="shared" si="57"/>
        <v>0.20357171521694145</v>
      </c>
      <c r="T86" s="24">
        <f>((R86-P86)/P86)</f>
        <v>4.6314817827859241E-2</v>
      </c>
      <c r="U86" s="59">
        <f>(L86/R86)</f>
        <v>1.5983256706067729E-3</v>
      </c>
      <c r="V86" s="25">
        <f>M86/R86</f>
        <v>4.3927651411729482E-3</v>
      </c>
      <c r="W86" s="26">
        <f>R86/AE86</f>
        <v>51856.900709498863</v>
      </c>
      <c r="X86" s="26">
        <f>M86/AE86</f>
        <v>227.79518576595333</v>
      </c>
      <c r="Y86" s="20">
        <f>415.69*124.75</f>
        <v>51857.327499999999</v>
      </c>
      <c r="Z86" s="20">
        <f>415.69*124.75</f>
        <v>51857.327499999999</v>
      </c>
      <c r="AA86" s="27">
        <v>1169</v>
      </c>
      <c r="AB86" s="27">
        <v>1017933</v>
      </c>
      <c r="AC86" s="27">
        <v>72968</v>
      </c>
      <c r="AD86" s="27">
        <v>38017</v>
      </c>
      <c r="AE86" s="150">
        <v>1052884</v>
      </c>
      <c r="AF86" s="5"/>
      <c r="AG86" s="5"/>
      <c r="AH86" s="5"/>
      <c r="AI86" s="5"/>
      <c r="AJ86" s="6"/>
      <c r="AK86" s="4"/>
      <c r="AL86" s="5"/>
      <c r="AM86" s="5"/>
      <c r="AN86" s="5"/>
      <c r="AO86" s="6"/>
      <c r="AP86" s="4"/>
      <c r="AQ86" s="5"/>
      <c r="AR86" s="5"/>
      <c r="AS86" s="5"/>
      <c r="AT86" s="6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  <c r="IV86" s="18"/>
    </row>
    <row r="87" spans="1:256" ht="16.5" customHeight="1" x14ac:dyDescent="0.3">
      <c r="A87" s="172">
        <v>76</v>
      </c>
      <c r="B87" s="58" t="s">
        <v>181</v>
      </c>
      <c r="C87" s="58" t="s">
        <v>94</v>
      </c>
      <c r="D87" s="29"/>
      <c r="E87" s="20"/>
      <c r="F87" s="20">
        <f>415.69*1824051.51</f>
        <v>758239972.19190001</v>
      </c>
      <c r="G87" s="20">
        <f>415.69*11985027.39</f>
        <v>4982056035.7491007</v>
      </c>
      <c r="H87" s="20"/>
      <c r="I87" s="20"/>
      <c r="J87" s="28">
        <f>415.69*13944800.16</f>
        <v>5796713978.5103998</v>
      </c>
      <c r="K87" s="28">
        <f>415.69*73593.28</f>
        <v>30591990.563200001</v>
      </c>
      <c r="L87" s="28">
        <f>415.69*21301.74</f>
        <v>8854920.3005999997</v>
      </c>
      <c r="M87" s="168">
        <f>415.69*52291.54</f>
        <v>21737070.262600001</v>
      </c>
      <c r="N87" s="20">
        <f>415.69*13944800.16</f>
        <v>5796713978.5103998</v>
      </c>
      <c r="O87" s="20">
        <f>415.69*27218</f>
        <v>11314250.42</v>
      </c>
      <c r="P87" s="22">
        <f>416.25*13697719.2</f>
        <v>5701675617</v>
      </c>
      <c r="Q87" s="23">
        <f t="shared" si="52"/>
        <v>2.1518558736730697E-2</v>
      </c>
      <c r="R87" s="22">
        <f>415.69*13917581.73</f>
        <v>5785399549.3437004</v>
      </c>
      <c r="S87" s="23">
        <f t="shared" si="57"/>
        <v>2.1570673743050158E-2</v>
      </c>
      <c r="T87" s="24">
        <f t="shared" si="53"/>
        <v>1.4684092531337777E-2</v>
      </c>
      <c r="U87" s="59">
        <f t="shared" si="54"/>
        <v>1.5305633128838106E-3</v>
      </c>
      <c r="V87" s="25">
        <f t="shared" si="55"/>
        <v>3.7572288788707549E-3</v>
      </c>
      <c r="W87" s="26">
        <f t="shared" si="56"/>
        <v>507.80433454522398</v>
      </c>
      <c r="X87" s="26">
        <f t="shared" si="58"/>
        <v>1.9079371105690615</v>
      </c>
      <c r="Y87" s="20">
        <f>415.69*1.22</f>
        <v>507.14179999999999</v>
      </c>
      <c r="Z87" s="20">
        <f>415.69*1.22</f>
        <v>507.14179999999999</v>
      </c>
      <c r="AA87" s="155">
        <v>123</v>
      </c>
      <c r="AB87" s="155">
        <v>11230107</v>
      </c>
      <c r="AC87" s="155">
        <v>171500</v>
      </c>
      <c r="AD87" s="155">
        <v>8637</v>
      </c>
      <c r="AE87" s="195">
        <v>11392970</v>
      </c>
      <c r="AF87" s="5"/>
      <c r="AG87" s="5"/>
      <c r="AH87" s="5"/>
      <c r="AI87" s="5"/>
      <c r="AJ87" s="6"/>
      <c r="AK87" s="4"/>
      <c r="AL87" s="5"/>
      <c r="AM87" s="5"/>
      <c r="AN87" s="5"/>
      <c r="AO87" s="6"/>
      <c r="AP87" s="4"/>
      <c r="AQ87" s="5"/>
      <c r="AR87" s="5"/>
      <c r="AS87" s="5"/>
      <c r="AT87" s="6"/>
    </row>
    <row r="88" spans="1:256" ht="16.5" customHeight="1" x14ac:dyDescent="0.3">
      <c r="A88" s="172">
        <v>77</v>
      </c>
      <c r="B88" s="58" t="s">
        <v>46</v>
      </c>
      <c r="C88" s="58" t="s">
        <v>95</v>
      </c>
      <c r="D88" s="29"/>
      <c r="E88" s="20"/>
      <c r="F88" s="28"/>
      <c r="G88" s="20">
        <v>657414441.72000003</v>
      </c>
      <c r="H88" s="20"/>
      <c r="I88" s="28"/>
      <c r="J88" s="28">
        <v>657414441.72000003</v>
      </c>
      <c r="K88" s="28">
        <v>5380627.0499999998</v>
      </c>
      <c r="L88" s="28">
        <v>2918934.33</v>
      </c>
      <c r="M88" s="168">
        <v>2461692.7200000002</v>
      </c>
      <c r="N88" s="20">
        <v>669186295.5</v>
      </c>
      <c r="O88" s="28">
        <v>15524489.279999999</v>
      </c>
      <c r="P88" s="22">
        <v>653050308.19000006</v>
      </c>
      <c r="Q88" s="23">
        <f t="shared" si="52"/>
        <v>2.4646616817216591E-3</v>
      </c>
      <c r="R88" s="22">
        <v>653661810.33000004</v>
      </c>
      <c r="S88" s="23">
        <f t="shared" si="57"/>
        <v>2.4371567648287093E-3</v>
      </c>
      <c r="T88" s="24">
        <f t="shared" si="53"/>
        <v>9.3637830398523257E-4</v>
      </c>
      <c r="U88" s="59">
        <f t="shared" si="54"/>
        <v>4.4655114982568448E-3</v>
      </c>
      <c r="V88" s="25">
        <f t="shared" si="55"/>
        <v>3.7660035833472034E-3</v>
      </c>
      <c r="W88" s="26">
        <f t="shared" si="56"/>
        <v>47698.614297285465</v>
      </c>
      <c r="X88" s="26">
        <f t="shared" si="58"/>
        <v>179.63315236427323</v>
      </c>
      <c r="Y88" s="28">
        <v>116.0513</v>
      </c>
      <c r="Z88" s="28">
        <v>118.8075</v>
      </c>
      <c r="AA88" s="27">
        <v>31</v>
      </c>
      <c r="AB88" s="27">
        <v>13759</v>
      </c>
      <c r="AC88" s="27">
        <v>5</v>
      </c>
      <c r="AD88" s="27">
        <v>60</v>
      </c>
      <c r="AE88" s="150">
        <v>13704</v>
      </c>
      <c r="AF88" s="5"/>
      <c r="AG88" s="5"/>
      <c r="AH88" s="5"/>
      <c r="AI88" s="5"/>
      <c r="AJ88" s="6"/>
      <c r="AK88" s="4"/>
      <c r="AL88" s="5"/>
      <c r="AM88" s="5"/>
      <c r="AN88" s="5"/>
      <c r="AO88" s="6"/>
      <c r="AP88" s="4"/>
      <c r="AQ88" s="5"/>
      <c r="AR88" s="5"/>
      <c r="AS88" s="5"/>
      <c r="AT88" s="6"/>
    </row>
    <row r="89" spans="1:256" ht="16.5" customHeight="1" x14ac:dyDescent="0.3">
      <c r="A89" s="172">
        <v>78</v>
      </c>
      <c r="B89" s="58" t="s">
        <v>31</v>
      </c>
      <c r="C89" s="58" t="s">
        <v>96</v>
      </c>
      <c r="D89" s="29"/>
      <c r="E89" s="29"/>
      <c r="F89" s="29"/>
      <c r="G89" s="21">
        <v>708667686.74000001</v>
      </c>
      <c r="H89" s="29"/>
      <c r="I89" s="29"/>
      <c r="J89" s="21">
        <v>708667686.74000001</v>
      </c>
      <c r="K89" s="21">
        <v>4640312.91</v>
      </c>
      <c r="L89" s="21">
        <v>1385181.79</v>
      </c>
      <c r="M89" s="168">
        <v>3255131.12</v>
      </c>
      <c r="N89" s="20">
        <v>733664146.72000003</v>
      </c>
      <c r="O89" s="28">
        <v>11248016.09</v>
      </c>
      <c r="P89" s="22">
        <v>645054684.08000004</v>
      </c>
      <c r="Q89" s="23">
        <f t="shared" si="52"/>
        <v>2.4344855863761327E-3</v>
      </c>
      <c r="R89" s="22">
        <v>722416130.63</v>
      </c>
      <c r="S89" s="23">
        <f t="shared" si="57"/>
        <v>2.6935050081898287E-3</v>
      </c>
      <c r="T89" s="24">
        <f t="shared" si="53"/>
        <v>0.11993005935665067</v>
      </c>
      <c r="U89" s="59">
        <f t="shared" si="54"/>
        <v>1.9174292091069722E-3</v>
      </c>
      <c r="V89" s="25">
        <f t="shared" si="55"/>
        <v>4.5058948464526761E-3</v>
      </c>
      <c r="W89" s="26">
        <f t="shared" si="56"/>
        <v>43670.856802897375</v>
      </c>
      <c r="X89" s="26">
        <f t="shared" si="58"/>
        <v>196.77628860834807</v>
      </c>
      <c r="Y89" s="196">
        <v>105.18</v>
      </c>
      <c r="Z89" s="196">
        <v>105.18</v>
      </c>
      <c r="AA89" s="27">
        <v>186</v>
      </c>
      <c r="AB89" s="27">
        <v>16316.4179</v>
      </c>
      <c r="AC89" s="27">
        <v>486.72469999999998</v>
      </c>
      <c r="AD89" s="27">
        <v>260.84910000000002</v>
      </c>
      <c r="AE89" s="150">
        <v>16542.2935</v>
      </c>
      <c r="AF89" s="5"/>
      <c r="AG89" s="5"/>
      <c r="AH89" s="5"/>
      <c r="AI89" s="5"/>
      <c r="AJ89" s="6"/>
      <c r="AK89" s="4"/>
      <c r="AL89" s="5"/>
      <c r="AM89" s="5"/>
      <c r="AN89" s="5"/>
      <c r="AO89" s="6"/>
      <c r="AP89" s="4"/>
      <c r="AQ89" s="5"/>
      <c r="AR89" s="5"/>
      <c r="AS89" s="5"/>
      <c r="AT89" s="6"/>
    </row>
    <row r="90" spans="1:256" ht="16.5" customHeight="1" x14ac:dyDescent="0.3">
      <c r="A90" s="172">
        <v>79</v>
      </c>
      <c r="B90" s="57" t="s">
        <v>35</v>
      </c>
      <c r="C90" s="58" t="s">
        <v>97</v>
      </c>
      <c r="D90" s="21"/>
      <c r="E90" s="29"/>
      <c r="F90" s="21"/>
      <c r="G90" s="77">
        <f>415.69*11085483.79</f>
        <v>4608124756.6650991</v>
      </c>
      <c r="H90" s="21"/>
      <c r="I90" s="29"/>
      <c r="J90" s="77">
        <f>415.69*11085483.79</f>
        <v>4608124756.6650991</v>
      </c>
      <c r="K90" s="77">
        <f>415.69*88319.23</f>
        <v>36713420.718699999</v>
      </c>
      <c r="L90" s="77">
        <f>415.69*32396.59</f>
        <v>13466938.497099999</v>
      </c>
      <c r="M90" s="169">
        <f>415.69*40122.64</f>
        <v>16678580.2216</v>
      </c>
      <c r="N90" s="77">
        <f>415.69*14935694</f>
        <v>6208618638.8599997</v>
      </c>
      <c r="O90" s="77">
        <f>415.69*234971</f>
        <v>97675094.989999995</v>
      </c>
      <c r="P90" s="22">
        <f>416.25*14714185</f>
        <v>6124779506.25</v>
      </c>
      <c r="Q90" s="147">
        <f t="shared" si="52"/>
        <v>2.3115385091674368E-2</v>
      </c>
      <c r="R90" s="22">
        <f>415.69*14700723</f>
        <v>6110943543.8699999</v>
      </c>
      <c r="S90" s="23">
        <f t="shared" si="57"/>
        <v>2.2784453921073079E-2</v>
      </c>
      <c r="T90" s="24">
        <f>((R90-P90)/P90)</f>
        <v>-2.259013955666694E-3</v>
      </c>
      <c r="U90" s="59">
        <f>(L90/R90)</f>
        <v>2.2037412717728238E-3</v>
      </c>
      <c r="V90" s="25">
        <f>M90/R90</f>
        <v>2.7292970556618201E-3</v>
      </c>
      <c r="W90" s="26">
        <f>R90/AE90</f>
        <v>442.20044795514593</v>
      </c>
      <c r="X90" s="26">
        <f>M90/AE90</f>
        <v>1.2068963806163178</v>
      </c>
      <c r="Y90" s="196">
        <f>415.69*1.0585</f>
        <v>440.00786499999998</v>
      </c>
      <c r="Z90" s="196">
        <f>415.69*1.0638</f>
        <v>442.21102200000001</v>
      </c>
      <c r="AA90" s="27">
        <v>305</v>
      </c>
      <c r="AB90" s="27">
        <v>13869410</v>
      </c>
      <c r="AC90" s="27">
        <v>116780</v>
      </c>
      <c r="AD90" s="27">
        <v>166793</v>
      </c>
      <c r="AE90" s="150">
        <v>13819397</v>
      </c>
      <c r="AF90" s="5"/>
      <c r="AG90" s="5"/>
      <c r="AH90" s="5"/>
      <c r="AI90" s="5"/>
      <c r="AJ90" s="6"/>
      <c r="AK90" s="4"/>
      <c r="AL90" s="5"/>
      <c r="AM90" s="5"/>
      <c r="AN90" s="5"/>
      <c r="AO90" s="6"/>
      <c r="AP90" s="4"/>
      <c r="AQ90" s="5"/>
      <c r="AR90" s="5"/>
      <c r="AS90" s="5"/>
      <c r="AT90" s="6"/>
    </row>
    <row r="91" spans="1:256" ht="16.5" customHeight="1" x14ac:dyDescent="0.3">
      <c r="A91" s="172">
        <v>80</v>
      </c>
      <c r="B91" s="57" t="s">
        <v>159</v>
      </c>
      <c r="C91" s="58" t="s">
        <v>162</v>
      </c>
      <c r="D91" s="29"/>
      <c r="E91" s="20"/>
      <c r="F91" s="28"/>
      <c r="G91" s="20">
        <v>851983404.64999998</v>
      </c>
      <c r="H91" s="20"/>
      <c r="I91" s="28">
        <v>8753982.4499999993</v>
      </c>
      <c r="J91" s="28">
        <v>860737387.11000001</v>
      </c>
      <c r="K91" s="28">
        <v>6635580.4900000002</v>
      </c>
      <c r="L91" s="28">
        <v>2434540.2999999998</v>
      </c>
      <c r="M91" s="168">
        <v>4201040.1900000004</v>
      </c>
      <c r="N91" s="20">
        <v>920600492.47000003</v>
      </c>
      <c r="O91" s="28">
        <v>896190007.58000004</v>
      </c>
      <c r="P91" s="22">
        <v>860038679.59000003</v>
      </c>
      <c r="Q91" s="23">
        <f t="shared" si="52"/>
        <v>3.2458515857054812E-3</v>
      </c>
      <c r="R91" s="22">
        <v>908269094.35000002</v>
      </c>
      <c r="S91" s="23">
        <f t="shared" si="57"/>
        <v>3.3864517287042033E-3</v>
      </c>
      <c r="T91" s="24">
        <f t="shared" ref="T91" si="59">((R91-P91)/P91)</f>
        <v>5.6079355387821071E-2</v>
      </c>
      <c r="U91" s="59">
        <f t="shared" ref="U91" si="60">(L91/R91)</f>
        <v>2.6804174171997683E-3</v>
      </c>
      <c r="V91" s="25">
        <f t="shared" ref="V91" si="61">M91/R91</f>
        <v>4.6253254857322457E-3</v>
      </c>
      <c r="W91" s="26">
        <f t="shared" ref="W91" si="62">R91/AE91</f>
        <v>42514.179022004872</v>
      </c>
      <c r="X91" s="26">
        <f t="shared" ref="X91" si="63">M91/AE91</f>
        <v>196.64191573546231</v>
      </c>
      <c r="Y91" s="28">
        <v>102.27</v>
      </c>
      <c r="Z91" s="28">
        <v>102.27</v>
      </c>
      <c r="AA91" s="27">
        <v>36</v>
      </c>
      <c r="AB91" s="27">
        <v>20300.05</v>
      </c>
      <c r="AC91" s="27">
        <v>1063.8599999999999</v>
      </c>
      <c r="AD91" s="27">
        <v>0</v>
      </c>
      <c r="AE91" s="150">
        <f>(AB91+AC91)-AD91</f>
        <v>21363.91</v>
      </c>
      <c r="AF91" s="5"/>
      <c r="AG91" s="5"/>
      <c r="AH91" s="5"/>
      <c r="AI91" s="5"/>
      <c r="AJ91" s="6"/>
      <c r="AK91" s="4"/>
      <c r="AL91" s="5"/>
      <c r="AM91" s="5"/>
      <c r="AN91" s="5"/>
      <c r="AO91" s="6"/>
      <c r="AP91" s="4"/>
      <c r="AQ91" s="5"/>
      <c r="AR91" s="5"/>
      <c r="AS91" s="5"/>
      <c r="AT91" s="6"/>
    </row>
    <row r="92" spans="1:256" ht="16.5" customHeight="1" x14ac:dyDescent="0.3">
      <c r="A92" s="172">
        <v>81</v>
      </c>
      <c r="B92" s="57" t="s">
        <v>42</v>
      </c>
      <c r="C92" s="58" t="s">
        <v>205</v>
      </c>
      <c r="D92" s="29"/>
      <c r="E92" s="20"/>
      <c r="F92" s="20"/>
      <c r="G92" s="20">
        <f>415.69*6547962.19</f>
        <v>2721922402.7611003</v>
      </c>
      <c r="H92" s="20"/>
      <c r="I92" s="20"/>
      <c r="J92" s="20">
        <v>2721922402.7600002</v>
      </c>
      <c r="K92" s="20">
        <f>415.69*102197.7</f>
        <v>42482561.912999995</v>
      </c>
      <c r="L92" s="20">
        <f>415.69*5570.03</f>
        <v>2315405.7706999998</v>
      </c>
      <c r="M92" s="168">
        <f>415.69*96627.67</f>
        <v>40167156.142300002</v>
      </c>
      <c r="N92" s="180">
        <f>415.69*7324020.26</f>
        <v>3044521981.8793998</v>
      </c>
      <c r="O92" s="180">
        <f>415.69*5570.03</f>
        <v>2315405.7706999998</v>
      </c>
      <c r="P92" s="22">
        <f>416.25*7369062.92</f>
        <v>3067372440.4499998</v>
      </c>
      <c r="Q92" s="23">
        <f t="shared" si="52"/>
        <v>1.1576497587911147E-2</v>
      </c>
      <c r="R92" s="22">
        <f>415.69*7318450.23</f>
        <v>3042206576.1087003</v>
      </c>
      <c r="S92" s="23">
        <f t="shared" si="57"/>
        <v>1.1342768110051573E-2</v>
      </c>
      <c r="T92" s="24">
        <f t="shared" ref="T92" si="64">((R92-P92)/P92)</f>
        <v>-8.2043719273971073E-3</v>
      </c>
      <c r="U92" s="59">
        <f t="shared" ref="U92" si="65">(L92/R92)</f>
        <v>7.610941968515647E-4</v>
      </c>
      <c r="V92" s="25">
        <f t="shared" ref="V92" si="66">M92/R92</f>
        <v>1.3203296731308097E-2</v>
      </c>
      <c r="W92" s="26">
        <f t="shared" ref="W92" si="67">R92/AE92</f>
        <v>50060.861714181767</v>
      </c>
      <c r="X92" s="26">
        <f t="shared" ref="X92" si="68">M92/AE92</f>
        <v>660.96841183732283</v>
      </c>
      <c r="Y92" s="28">
        <f>415.69*120.52</f>
        <v>50098.9588</v>
      </c>
      <c r="Z92" s="28">
        <f>415.69*120.52</f>
        <v>50098.9588</v>
      </c>
      <c r="AA92" s="27">
        <v>262</v>
      </c>
      <c r="AB92" s="27">
        <v>61975.71</v>
      </c>
      <c r="AC92" s="27">
        <v>5700.7</v>
      </c>
      <c r="AD92" s="27">
        <v>6906.25</v>
      </c>
      <c r="AE92" s="150">
        <v>60770.16</v>
      </c>
      <c r="AF92" s="5"/>
      <c r="AG92" s="5"/>
      <c r="AH92" s="5"/>
      <c r="AI92" s="5"/>
      <c r="AJ92" s="6"/>
      <c r="AK92" s="4"/>
      <c r="AL92" s="5"/>
      <c r="AM92" s="5"/>
      <c r="AN92" s="5"/>
      <c r="AO92" s="6"/>
      <c r="AP92" s="4"/>
      <c r="AQ92" s="5"/>
      <c r="AR92" s="5"/>
      <c r="AS92" s="5"/>
      <c r="AT92" s="6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</row>
    <row r="93" spans="1:256" ht="6" customHeight="1" x14ac:dyDescent="0.3">
      <c r="A93" s="172"/>
      <c r="B93" s="57"/>
      <c r="C93" s="58"/>
      <c r="D93" s="74"/>
      <c r="E93" s="74"/>
      <c r="F93" s="74"/>
      <c r="G93" s="74"/>
      <c r="H93" s="74"/>
      <c r="I93" s="53"/>
      <c r="J93" s="55"/>
      <c r="K93" s="55"/>
      <c r="L93" s="55"/>
      <c r="M93" s="168"/>
      <c r="N93" s="20"/>
      <c r="O93" s="20"/>
      <c r="P93" s="30"/>
      <c r="Q93" s="23"/>
      <c r="R93" s="30"/>
      <c r="S93" s="23"/>
      <c r="T93" s="24"/>
      <c r="U93" s="59"/>
      <c r="V93" s="25"/>
      <c r="W93" s="26"/>
      <c r="X93" s="26"/>
      <c r="Y93" s="20"/>
      <c r="Z93" s="20"/>
      <c r="AA93" s="27"/>
      <c r="AB93" s="27"/>
      <c r="AC93" s="27"/>
      <c r="AD93" s="27"/>
      <c r="AE93" s="110"/>
      <c r="AF93" s="5"/>
      <c r="AG93" s="5"/>
      <c r="AH93" s="5"/>
      <c r="AI93" s="5"/>
      <c r="AJ93" s="6"/>
      <c r="AK93" s="4"/>
      <c r="AL93" s="5"/>
      <c r="AM93" s="5"/>
      <c r="AN93" s="5"/>
      <c r="AO93" s="6"/>
      <c r="AP93" s="4"/>
      <c r="AQ93" s="5"/>
      <c r="AR93" s="5"/>
      <c r="AS93" s="5"/>
      <c r="AT93" s="6"/>
    </row>
    <row r="94" spans="1:256" ht="16.5" customHeight="1" x14ac:dyDescent="0.3">
      <c r="A94" s="207" t="s">
        <v>179</v>
      </c>
      <c r="B94" s="208"/>
      <c r="C94" s="208"/>
      <c r="D94" s="91"/>
      <c r="E94" s="91"/>
      <c r="F94" s="91"/>
      <c r="G94" s="91"/>
      <c r="H94" s="91"/>
      <c r="I94" s="91"/>
      <c r="J94" s="91"/>
      <c r="K94" s="91"/>
      <c r="L94" s="91"/>
      <c r="M94" s="167"/>
      <c r="N94" s="91"/>
      <c r="O94" s="91"/>
      <c r="P94" s="91"/>
      <c r="Q94" s="92"/>
      <c r="R94" s="91"/>
      <c r="S94" s="92"/>
      <c r="T94" s="92"/>
      <c r="U94" s="93"/>
      <c r="V94" s="94"/>
      <c r="W94" s="95"/>
      <c r="X94" s="95"/>
      <c r="Y94" s="91"/>
      <c r="Z94" s="91"/>
      <c r="AA94" s="91"/>
      <c r="AB94" s="91"/>
      <c r="AC94" s="91"/>
      <c r="AD94" s="91"/>
      <c r="AE94" s="117"/>
      <c r="AF94" s="5"/>
      <c r="AG94" s="5"/>
      <c r="AH94" s="5"/>
      <c r="AI94" s="5"/>
      <c r="AJ94" s="6"/>
      <c r="AK94" s="4"/>
      <c r="AL94" s="5"/>
      <c r="AM94" s="5"/>
      <c r="AN94" s="5"/>
      <c r="AO94" s="6"/>
      <c r="AP94" s="4"/>
      <c r="AQ94" s="5"/>
      <c r="AR94" s="5"/>
      <c r="AS94" s="5"/>
      <c r="AT94" s="6"/>
    </row>
    <row r="95" spans="1:256" ht="16.5" customHeight="1" x14ac:dyDescent="0.3">
      <c r="A95" s="172">
        <v>82</v>
      </c>
      <c r="B95" s="58" t="s">
        <v>23</v>
      </c>
      <c r="C95" s="58" t="s">
        <v>110</v>
      </c>
      <c r="D95" s="53"/>
      <c r="E95" s="53"/>
      <c r="F95" s="53">
        <f>415.69*122840568.03</f>
        <v>51063595724.390701</v>
      </c>
      <c r="G95" s="53">
        <f>415.69*297954909.57</f>
        <v>123856876359.15329</v>
      </c>
      <c r="H95" s="53"/>
      <c r="I95" s="53"/>
      <c r="J95" s="53">
        <f>415.69*422766286.11</f>
        <v>175739717473.06592</v>
      </c>
      <c r="K95" s="53">
        <f>415.69*2426594.24</f>
        <v>1008710959.6256001</v>
      </c>
      <c r="L95" s="53">
        <f>415.69*680506.82</f>
        <v>282879880.00579995</v>
      </c>
      <c r="M95" s="169">
        <f>415.69*1746087.42</f>
        <v>725831079.61979997</v>
      </c>
      <c r="N95" s="53">
        <f>415.69*423605188.31</f>
        <v>176088440728.58389</v>
      </c>
      <c r="O95" s="53">
        <f>415.69*865797.21</f>
        <v>359903242.22490001</v>
      </c>
      <c r="P95" s="30">
        <f>416.25*421932086.38</f>
        <v>175629230955.67499</v>
      </c>
      <c r="Q95" s="23">
        <f t="shared" ref="Q95:Q101" si="69">(P95/$P$102)</f>
        <v>0.66283811568274509</v>
      </c>
      <c r="R95" s="30">
        <f>415.69*422739391.1</f>
        <v>175728537486.35901</v>
      </c>
      <c r="S95" s="23">
        <f t="shared" ref="S95:S101" si="70">(R95/$R$102)</f>
        <v>0.65519812713568171</v>
      </c>
      <c r="T95" s="24">
        <f>((R95-P95)/P95)</f>
        <v>5.6543281630085714E-4</v>
      </c>
      <c r="U95" s="59">
        <f>(L95/R95)</f>
        <v>1.6097549325348401E-3</v>
      </c>
      <c r="V95" s="25">
        <f>M95/R95</f>
        <v>4.1304109736652354E-3</v>
      </c>
      <c r="W95" s="26">
        <f>R95/AE95</f>
        <v>545.65063914844632</v>
      </c>
      <c r="X95" s="26">
        <f>M95/AE95</f>
        <v>2.2537613877261924</v>
      </c>
      <c r="Y95" s="20">
        <f>415.69*1.3126</f>
        <v>545.63469399999997</v>
      </c>
      <c r="Z95" s="20">
        <f>415.69*1.3126</f>
        <v>545.63469399999997</v>
      </c>
      <c r="AA95" s="43">
        <v>4039</v>
      </c>
      <c r="AB95" s="43">
        <v>322754188.42000002</v>
      </c>
      <c r="AC95" s="43">
        <v>7894029.8600000003</v>
      </c>
      <c r="AD95" s="43">
        <v>8595012.6600000001</v>
      </c>
      <c r="AE95" s="150">
        <f>(AB95+AC95)-AD95</f>
        <v>322053205.62</v>
      </c>
      <c r="AF95" s="5"/>
      <c r="AG95" s="5"/>
      <c r="AH95" s="5"/>
      <c r="AI95" s="5"/>
      <c r="AJ95" s="6"/>
      <c r="AK95" s="4"/>
      <c r="AL95" s="5"/>
      <c r="AM95" s="5"/>
      <c r="AN95" s="5"/>
      <c r="AO95" s="6"/>
      <c r="AP95" s="4"/>
      <c r="AQ95" s="5"/>
      <c r="AR95" s="5"/>
      <c r="AS95" s="5"/>
      <c r="AT95" s="6"/>
    </row>
    <row r="96" spans="1:256" ht="16.5" customHeight="1" x14ac:dyDescent="0.3">
      <c r="A96" s="172">
        <v>83</v>
      </c>
      <c r="B96" s="57" t="s">
        <v>44</v>
      </c>
      <c r="C96" s="57" t="s">
        <v>113</v>
      </c>
      <c r="D96" s="53"/>
      <c r="E96" s="53"/>
      <c r="F96" s="53">
        <f>415.69*704973.36</f>
        <v>293050376.01840001</v>
      </c>
      <c r="G96" s="53">
        <f>415.69*3466936.44</f>
        <v>1441170808.7435999</v>
      </c>
      <c r="H96" s="53"/>
      <c r="I96" s="53"/>
      <c r="J96" s="53">
        <f>415.69*4171909.8</f>
        <v>1734221184.7619998</v>
      </c>
      <c r="K96" s="53">
        <f>415.69*23287.37</f>
        <v>9680326.8353000004</v>
      </c>
      <c r="L96" s="53">
        <f>415.69*9736.84</f>
        <v>4047507.0196000002</v>
      </c>
      <c r="M96" s="169">
        <f>415.69*13550.53</f>
        <v>5632819.8157000002</v>
      </c>
      <c r="N96" s="53">
        <f>415.69*4336004.59</f>
        <v>1802433748.0170999</v>
      </c>
      <c r="O96" s="53">
        <f>415.69*31707.31</f>
        <v>13180411.6939</v>
      </c>
      <c r="P96" s="30">
        <f>416.25*4404033.45</f>
        <v>1833178923.5625</v>
      </c>
      <c r="Q96" s="23">
        <f t="shared" si="69"/>
        <v>6.9185571034593649E-3</v>
      </c>
      <c r="R96" s="30">
        <f>415.69*4304297.27</f>
        <v>1789253332.1662998</v>
      </c>
      <c r="S96" s="23">
        <f t="shared" si="70"/>
        <v>6.6711727587082372E-3</v>
      </c>
      <c r="T96" s="24">
        <f>((R96-P96)/P96)</f>
        <v>-2.3961431604743514E-2</v>
      </c>
      <c r="U96" s="59">
        <f>(L96/R96)</f>
        <v>2.2621207108216301E-3</v>
      </c>
      <c r="V96" s="25">
        <f>M96/R96</f>
        <v>3.1481399053090962E-3</v>
      </c>
      <c r="W96" s="26">
        <f>R96/AE96</f>
        <v>444.59251024000179</v>
      </c>
      <c r="X96" s="26">
        <f>M96/AE96</f>
        <v>1.3996394230880926</v>
      </c>
      <c r="Y96" s="20">
        <f>415.69*1.09</f>
        <v>453.10210000000001</v>
      </c>
      <c r="Z96" s="20">
        <f>415.69*1.09</f>
        <v>453.10210000000001</v>
      </c>
      <c r="AA96" s="43">
        <v>258</v>
      </c>
      <c r="AB96" s="43">
        <v>4123298.36</v>
      </c>
      <c r="AC96" s="43">
        <v>36992.83</v>
      </c>
      <c r="AD96" s="43">
        <v>135811.94</v>
      </c>
      <c r="AE96" s="150">
        <v>4024479.25</v>
      </c>
      <c r="AF96" s="5"/>
      <c r="AG96" s="5"/>
      <c r="AH96" s="5"/>
      <c r="AI96" s="5"/>
      <c r="AJ96" s="6"/>
      <c r="AK96" s="4"/>
      <c r="AL96" s="5"/>
      <c r="AM96" s="5"/>
      <c r="AN96" s="5"/>
      <c r="AO96" s="6"/>
      <c r="AP96" s="4"/>
      <c r="AQ96" s="5"/>
      <c r="AR96" s="5"/>
      <c r="AS96" s="5"/>
      <c r="AT96" s="6"/>
    </row>
    <row r="97" spans="1:256" ht="16.5" customHeight="1" x14ac:dyDescent="0.3">
      <c r="A97" s="172">
        <v>84</v>
      </c>
      <c r="B97" s="58" t="s">
        <v>65</v>
      </c>
      <c r="C97" s="58" t="s">
        <v>119</v>
      </c>
      <c r="D97" s="53"/>
      <c r="E97" s="53"/>
      <c r="F97" s="53"/>
      <c r="G97" s="53">
        <f>415.69*10224419.66</f>
        <v>4250189008.4654002</v>
      </c>
      <c r="H97" s="53"/>
      <c r="I97" s="53"/>
      <c r="J97" s="53">
        <v>4250189008.4699998</v>
      </c>
      <c r="K97" s="53">
        <f>415.69*61051.55</f>
        <v>25378518.819499999</v>
      </c>
      <c r="L97" s="53">
        <f>415.69*16147.11</f>
        <v>6712192.1559000006</v>
      </c>
      <c r="M97" s="169">
        <f t="shared" ref="M97" si="71">415.69</f>
        <v>415.69</v>
      </c>
      <c r="N97" s="53">
        <f>415.69*11600628.63</f>
        <v>4822265315.2047005</v>
      </c>
      <c r="O97" s="53">
        <f>415.69*227094.16</f>
        <v>94400771.370399997</v>
      </c>
      <c r="P97" s="30">
        <f>416.25*11020135.69</f>
        <v>4587131480.9624996</v>
      </c>
      <c r="Q97" s="23">
        <f t="shared" si="69"/>
        <v>1.7312184143182554E-2</v>
      </c>
      <c r="R97" s="30">
        <f>415.69*11373534.47</f>
        <v>4727864543.8343</v>
      </c>
      <c r="S97" s="23">
        <f t="shared" si="70"/>
        <v>1.7627688927371214E-2</v>
      </c>
      <c r="T97" s="24">
        <f t="shared" ref="T97:T99" si="72">((R97-P97)/P97)</f>
        <v>3.0679971449667488E-2</v>
      </c>
      <c r="U97" s="59">
        <f t="shared" ref="U97:U99" si="73">(L97/R97)</f>
        <v>1.4197090660419832E-3</v>
      </c>
      <c r="V97" s="25" t="e">
        <f>#REF!/R97</f>
        <v>#REF!</v>
      </c>
      <c r="W97" s="26">
        <f>R97/AE97</f>
        <v>44980.58723643361</v>
      </c>
      <c r="X97" s="26" t="e">
        <f>#REF!/AE97</f>
        <v>#REF!</v>
      </c>
      <c r="Y97" s="20">
        <f>415.69*109.14</f>
        <v>45368.406600000002</v>
      </c>
      <c r="Z97" s="20">
        <f>415.69*109.14</f>
        <v>45368.406600000002</v>
      </c>
      <c r="AA97" s="43">
        <f>SUM(526,49,30)</f>
        <v>605</v>
      </c>
      <c r="AB97" s="43">
        <v>100759</v>
      </c>
      <c r="AC97" s="43">
        <v>9505</v>
      </c>
      <c r="AD97" s="43">
        <v>5155</v>
      </c>
      <c r="AE97" s="150">
        <v>105109</v>
      </c>
      <c r="AF97" s="5"/>
      <c r="AG97" s="5"/>
      <c r="AH97" s="5"/>
      <c r="AI97" s="5"/>
      <c r="AJ97" s="6"/>
      <c r="AK97" s="4"/>
      <c r="AL97" s="5"/>
      <c r="AM97" s="5"/>
      <c r="AN97" s="5"/>
      <c r="AO97" s="6"/>
      <c r="AP97" s="4"/>
      <c r="AQ97" s="5"/>
      <c r="AR97" s="5"/>
      <c r="AS97" s="5"/>
      <c r="AT97" s="6"/>
    </row>
    <row r="98" spans="1:256" ht="16.5" customHeight="1" x14ac:dyDescent="0.3">
      <c r="A98" s="172">
        <v>85</v>
      </c>
      <c r="B98" s="57" t="s">
        <v>121</v>
      </c>
      <c r="C98" s="58" t="s">
        <v>122</v>
      </c>
      <c r="D98" s="53"/>
      <c r="E98" s="53"/>
      <c r="F98" s="53"/>
      <c r="G98" s="53">
        <f>415.69*11600628.63</f>
        <v>4822265315.2047005</v>
      </c>
      <c r="H98" s="53"/>
      <c r="I98" s="53"/>
      <c r="J98" s="53">
        <f>415.69*11600628.63</f>
        <v>4822265315.2047005</v>
      </c>
      <c r="K98" s="53">
        <f>415.69*7408.97</f>
        <v>3079834.7393</v>
      </c>
      <c r="L98" s="53">
        <f>415.69*1673.66</f>
        <v>695723.7254</v>
      </c>
      <c r="M98" s="169">
        <f>415.69*5735.31</f>
        <v>2384111.0139000001</v>
      </c>
      <c r="N98" s="53">
        <f>415.69*1104736.6</f>
        <v>459227957.25400001</v>
      </c>
      <c r="O98" s="53">
        <f>415.69*41344.06</f>
        <v>17186312.301399998</v>
      </c>
      <c r="P98" s="30">
        <f>416.25*1069634.68</f>
        <v>445235435.54999995</v>
      </c>
      <c r="Q98" s="23">
        <f t="shared" si="69"/>
        <v>1.6803524990075822E-3</v>
      </c>
      <c r="R98" s="30">
        <f>415.69*1063392.54</f>
        <v>442041644.9526</v>
      </c>
      <c r="S98" s="23">
        <f t="shared" si="70"/>
        <v>1.6481378723783083E-3</v>
      </c>
      <c r="T98" s="24">
        <f t="shared" si="72"/>
        <v>-7.1732623739946847E-3</v>
      </c>
      <c r="U98" s="59">
        <f t="shared" si="73"/>
        <v>1.573887287191238E-3</v>
      </c>
      <c r="V98" s="25">
        <f>M97/R98</f>
        <v>9.4038651051661504E-7</v>
      </c>
      <c r="W98" s="26">
        <f>R98/AE98</f>
        <v>43632.57772703583</v>
      </c>
      <c r="X98" s="26">
        <f>M97/AE98</f>
        <v>4.1031487513572204E-2</v>
      </c>
      <c r="Y98" s="20">
        <f>415.69*104.96</f>
        <v>43630.822399999997</v>
      </c>
      <c r="Z98" s="20">
        <f>415.69*104.96</f>
        <v>43630.822399999997</v>
      </c>
      <c r="AA98" s="43">
        <v>25</v>
      </c>
      <c r="AB98" s="43">
        <v>9800</v>
      </c>
      <c r="AC98" s="43">
        <v>341</v>
      </c>
      <c r="AD98" s="43">
        <v>10</v>
      </c>
      <c r="AE98" s="150">
        <v>10131</v>
      </c>
      <c r="AF98" s="5"/>
      <c r="AG98" s="5"/>
      <c r="AH98" s="5"/>
      <c r="AI98" s="5"/>
      <c r="AJ98" s="6"/>
      <c r="AK98" s="4"/>
      <c r="AL98" s="5"/>
      <c r="AM98" s="5"/>
      <c r="AN98" s="5"/>
      <c r="AO98" s="6"/>
      <c r="AP98" s="4"/>
      <c r="AQ98" s="5"/>
      <c r="AR98" s="5"/>
      <c r="AS98" s="5"/>
      <c r="AT98" s="6"/>
    </row>
    <row r="99" spans="1:256" ht="15.75" customHeight="1" x14ac:dyDescent="0.3">
      <c r="A99" s="172">
        <v>86</v>
      </c>
      <c r="B99" s="57" t="s">
        <v>82</v>
      </c>
      <c r="C99" s="58" t="s">
        <v>123</v>
      </c>
      <c r="D99" s="53"/>
      <c r="E99" s="53"/>
      <c r="F99" s="53">
        <f>415.69*740898.56</f>
        <v>307984122.40640002</v>
      </c>
      <c r="G99" s="53">
        <f>415.69*5283010</f>
        <v>2196094426.9000001</v>
      </c>
      <c r="H99" s="53"/>
      <c r="I99" s="53"/>
      <c r="J99" s="53">
        <f>415.69*4706386.07</f>
        <v>1956397625.4383001</v>
      </c>
      <c r="K99" s="53">
        <f>415.69*22091.88</f>
        <v>9183373.5972000007</v>
      </c>
      <c r="L99" s="53">
        <f>415.69*2586.22</f>
        <v>1075065.7918</v>
      </c>
      <c r="M99" s="169">
        <f>415.69*20315.54</f>
        <v>8444966.8225999996</v>
      </c>
      <c r="N99" s="53">
        <f>415.69*4779528.68</f>
        <v>1986802276.9891999</v>
      </c>
      <c r="O99" s="53">
        <f>415.69*50756.6</f>
        <v>21099011.053999998</v>
      </c>
      <c r="P99" s="30">
        <f>410.64*4864904.73</f>
        <v>1997724478.3272002</v>
      </c>
      <c r="Q99" s="23">
        <f t="shared" si="69"/>
        <v>7.5395645796677638E-3</v>
      </c>
      <c r="R99" s="30">
        <f>415.69*4728772.08</f>
        <v>1965703265.9352</v>
      </c>
      <c r="S99" s="23">
        <f t="shared" si="70"/>
        <v>7.329060588381734E-3</v>
      </c>
      <c r="T99" s="24">
        <f t="shared" si="72"/>
        <v>-1.602884318602996E-2</v>
      </c>
      <c r="U99" s="59">
        <f t="shared" si="73"/>
        <v>5.4691153564753747E-4</v>
      </c>
      <c r="V99" s="25">
        <f t="shared" ref="V99" si="74">M99/R99</f>
        <v>4.2961554619904627E-3</v>
      </c>
      <c r="W99" s="26">
        <f t="shared" ref="W99" si="75">R99/AE99</f>
        <v>456.06653242022452</v>
      </c>
      <c r="X99" s="26">
        <f t="shared" ref="X99" si="76">M99/AE99</f>
        <v>1.9593327242881979</v>
      </c>
      <c r="Y99" s="20">
        <f>415.69*1.1</f>
        <v>457.25900000000001</v>
      </c>
      <c r="Z99" s="20">
        <f>415.69*1.1</f>
        <v>457.25900000000001</v>
      </c>
      <c r="AA99" s="43">
        <v>184</v>
      </c>
      <c r="AB99" s="43">
        <v>4447732.51</v>
      </c>
      <c r="AC99" s="43">
        <v>141114.37</v>
      </c>
      <c r="AD99" s="43">
        <v>278722.96999999997</v>
      </c>
      <c r="AE99" s="150">
        <f>(AB99+AC99)-AD99</f>
        <v>4310123.91</v>
      </c>
      <c r="AF99" s="5"/>
      <c r="AG99" s="5"/>
      <c r="AH99" s="5"/>
      <c r="AI99" s="5"/>
      <c r="AJ99" s="6"/>
      <c r="AK99" s="4"/>
      <c r="AL99" s="5"/>
      <c r="AM99" s="5"/>
      <c r="AN99" s="5"/>
      <c r="AO99" s="6"/>
      <c r="AP99" s="4"/>
      <c r="AQ99" s="5"/>
      <c r="AR99" s="5"/>
      <c r="AS99" s="5"/>
      <c r="AT99" s="6"/>
    </row>
    <row r="100" spans="1:256" ht="16.5" customHeight="1" x14ac:dyDescent="0.3">
      <c r="A100" s="172">
        <v>87</v>
      </c>
      <c r="B100" s="57" t="s">
        <v>89</v>
      </c>
      <c r="C100" s="58" t="s">
        <v>124</v>
      </c>
      <c r="D100" s="53"/>
      <c r="E100" s="53"/>
      <c r="F100" s="53"/>
      <c r="G100" s="53">
        <f>410.64*185893.13</f>
        <v>76335154.903200001</v>
      </c>
      <c r="H100" s="53"/>
      <c r="I100" s="53"/>
      <c r="J100" s="53">
        <f>410.64*185893.13</f>
        <v>76335154.903200001</v>
      </c>
      <c r="K100" s="53">
        <f>410.64*1257.91</f>
        <v>516548.16240000003</v>
      </c>
      <c r="L100" s="53">
        <f>410.64*92.81</f>
        <v>38111.498399999997</v>
      </c>
      <c r="M100" s="169">
        <f>410.64*1165.1</f>
        <v>478436.66399999993</v>
      </c>
      <c r="N100" s="53">
        <f>410.64*228928.85</f>
        <v>94007342.964000002</v>
      </c>
      <c r="O100" s="53">
        <f>410.64*2637.22</f>
        <v>1082948.0207999998</v>
      </c>
      <c r="P100" s="30">
        <f>410.64*246269.53</f>
        <v>101128119.7992</v>
      </c>
      <c r="Q100" s="23">
        <f t="shared" si="69"/>
        <v>3.8166523878452758E-4</v>
      </c>
      <c r="R100" s="30">
        <f>410.64*226291.63</f>
        <v>92924394.943199992</v>
      </c>
      <c r="S100" s="23">
        <f t="shared" si="70"/>
        <v>3.46465579255886E-4</v>
      </c>
      <c r="T100" s="24">
        <f>((R100-P100)/P100)</f>
        <v>-8.1122094154319521E-2</v>
      </c>
      <c r="U100" s="59">
        <f>(L100/R100)</f>
        <v>4.1013448000705991E-4</v>
      </c>
      <c r="V100" s="25">
        <f>M100/R100</f>
        <v>5.1486659051419616E-3</v>
      </c>
      <c r="W100" s="26">
        <f>R100/AE100</f>
        <v>363.71761529326574</v>
      </c>
      <c r="X100" s="26">
        <f>M100/AE100</f>
        <v>1.8726604849599777</v>
      </c>
      <c r="Y100" s="20">
        <f>410.64*0.8903</f>
        <v>365.59279199999997</v>
      </c>
      <c r="Z100" s="20">
        <f>410.64*0.8903</f>
        <v>365.59279199999997</v>
      </c>
      <c r="AA100" s="43">
        <v>5</v>
      </c>
      <c r="AB100" s="43">
        <v>255485</v>
      </c>
      <c r="AC100" s="43">
        <v>0</v>
      </c>
      <c r="AD100" s="43">
        <v>0</v>
      </c>
      <c r="AE100" s="214">
        <v>255485</v>
      </c>
      <c r="AF100" s="5"/>
      <c r="AG100" s="5"/>
      <c r="AH100" s="5"/>
      <c r="AI100" s="5"/>
      <c r="AJ100" s="6"/>
      <c r="AK100" s="4"/>
      <c r="AL100" s="5"/>
      <c r="AM100" s="5"/>
      <c r="AN100" s="5"/>
      <c r="AO100" s="6"/>
      <c r="AP100" s="4"/>
      <c r="AQ100" s="5"/>
      <c r="AR100" s="5"/>
      <c r="AS100" s="5"/>
      <c r="AT100" s="6"/>
    </row>
    <row r="101" spans="1:256" ht="16.5" customHeight="1" x14ac:dyDescent="0.3">
      <c r="A101" s="172">
        <v>88</v>
      </c>
      <c r="B101" s="57" t="s">
        <v>29</v>
      </c>
      <c r="C101" s="57" t="s">
        <v>182</v>
      </c>
      <c r="D101" s="53"/>
      <c r="E101" s="53"/>
      <c r="F101" s="197">
        <v>41799957.359999999</v>
      </c>
      <c r="G101" s="53">
        <f>415.69*5287835.3</f>
        <v>2198100255.8569999</v>
      </c>
      <c r="H101" s="53"/>
      <c r="I101" s="53"/>
      <c r="J101" s="53">
        <f>415.69*5388390.9</f>
        <v>2239900213.2210002</v>
      </c>
      <c r="K101" s="53">
        <f>415.69*33279.5</f>
        <v>13833955.355</v>
      </c>
      <c r="L101" s="53">
        <f>415.69*11949.6</f>
        <v>4967329.2240000004</v>
      </c>
      <c r="M101" s="169">
        <f>415.69*21450.5</f>
        <v>8916758.3450000007</v>
      </c>
      <c r="N101" s="53">
        <f>415.69*5461863.1</f>
        <v>2270441872.039</v>
      </c>
      <c r="O101" s="53">
        <f>415.69*16735.2</f>
        <v>6956655.2880000006</v>
      </c>
      <c r="P101" s="30">
        <f>410.64*4625983.6</f>
        <v>1899613905.5039997</v>
      </c>
      <c r="Q101" s="147">
        <f t="shared" si="69"/>
        <v>7.1692877933673248E-3</v>
      </c>
      <c r="R101" s="30">
        <f>415.69*5445127.9</f>
        <v>2263485216.7509999</v>
      </c>
      <c r="S101" s="23">
        <f t="shared" si="70"/>
        <v>8.439330890861586E-3</v>
      </c>
      <c r="T101" s="24">
        <f t="shared" ref="T101" si="77">((R101-P101)/P101)</f>
        <v>0.1915501408958464</v>
      </c>
      <c r="U101" s="59">
        <f>(L101/R101)</f>
        <v>2.1945490022373948E-3</v>
      </c>
      <c r="V101" s="25">
        <f>M101/R101</f>
        <v>3.9393932326180995E-3</v>
      </c>
      <c r="W101" s="26">
        <f>R101/AE101</f>
        <v>428.44613520530908</v>
      </c>
      <c r="X101" s="26">
        <f>M101/AE101</f>
        <v>1.6878178055691737</v>
      </c>
      <c r="Y101" s="20">
        <f>415.69*1.0307</f>
        <v>428.451683</v>
      </c>
      <c r="Z101" s="20">
        <f>415.69*1.0307</f>
        <v>428.451683</v>
      </c>
      <c r="AA101" s="43">
        <v>213</v>
      </c>
      <c r="AB101" s="43">
        <v>4506982</v>
      </c>
      <c r="AC101" s="43">
        <v>789791</v>
      </c>
      <c r="AD101" s="43">
        <v>13763</v>
      </c>
      <c r="AE101" s="150">
        <v>5283010</v>
      </c>
      <c r="AF101" s="5"/>
      <c r="AG101" s="5"/>
      <c r="AH101" s="5"/>
      <c r="AI101" s="5"/>
      <c r="AJ101" s="6"/>
      <c r="AK101" s="4"/>
      <c r="AL101" s="5"/>
      <c r="AM101" s="5"/>
      <c r="AN101" s="5"/>
      <c r="AO101" s="6"/>
      <c r="AP101" s="4"/>
      <c r="AQ101" s="5"/>
      <c r="AR101" s="5"/>
      <c r="AS101" s="5"/>
      <c r="AT101" s="6"/>
    </row>
    <row r="102" spans="1:256" ht="16.5" customHeight="1" x14ac:dyDescent="0.3">
      <c r="A102" s="118"/>
      <c r="B102" s="78"/>
      <c r="C102" s="79" t="s">
        <v>52</v>
      </c>
      <c r="D102" s="85">
        <f>SUM(D83:D101)</f>
        <v>0</v>
      </c>
      <c r="E102" s="85"/>
      <c r="F102" s="85">
        <f t="shared" ref="F102:J102" si="78">SUM(F83:F101)</f>
        <v>54684419287.967407</v>
      </c>
      <c r="G102" s="85">
        <f t="shared" si="78"/>
        <v>212611232500.80246</v>
      </c>
      <c r="H102" s="85"/>
      <c r="I102" s="85"/>
      <c r="J102" s="85">
        <f t="shared" si="78"/>
        <v>268082370616.58063</v>
      </c>
      <c r="K102" s="85">
        <f t="shared" ref="K102" si="79">SUM(K83:K101)</f>
        <v>1577240318.9892001</v>
      </c>
      <c r="L102" s="85">
        <f t="shared" ref="L102" si="80">SUM(L83:L101)</f>
        <v>431452991.97929984</v>
      </c>
      <c r="M102" s="85">
        <f t="shared" ref="M102" si="81">SUM(M83:M101)</f>
        <v>1120940305.2675002</v>
      </c>
      <c r="N102" s="85">
        <f t="shared" ref="N102:O102" si="82">SUM(N83:N101)</f>
        <v>269087411568.39169</v>
      </c>
      <c r="O102" s="85">
        <f t="shared" si="82"/>
        <v>1764554795.8441</v>
      </c>
      <c r="P102" s="37">
        <f>SUM(P84:P101)</f>
        <v>264965497306.64038</v>
      </c>
      <c r="Q102" s="88">
        <f>(P102/$P$150)</f>
        <v>0.18755529852356556</v>
      </c>
      <c r="R102" s="37">
        <f>SUM(R84:R101)</f>
        <v>268206715203.21402</v>
      </c>
      <c r="S102" s="88">
        <f>(R102/$R$150)</f>
        <v>0.19052313776439636</v>
      </c>
      <c r="T102" s="38">
        <f t="shared" si="39"/>
        <v>1.2232603601300695E-2</v>
      </c>
      <c r="U102" s="51"/>
      <c r="V102" s="39"/>
      <c r="W102" s="40"/>
      <c r="X102" s="40"/>
      <c r="Y102" s="36"/>
      <c r="Z102" s="36"/>
      <c r="AA102" s="133">
        <f>SUM(AA84:AA101)</f>
        <v>10927</v>
      </c>
      <c r="AB102" s="133"/>
      <c r="AC102" s="133"/>
      <c r="AD102" s="133"/>
      <c r="AE102" s="113"/>
      <c r="AF102" s="5"/>
      <c r="AG102" s="5"/>
      <c r="AH102" s="5"/>
      <c r="AI102" s="5"/>
      <c r="AJ102" s="6"/>
      <c r="AK102" s="4"/>
      <c r="AL102" s="5"/>
      <c r="AM102" s="5"/>
      <c r="AN102" s="5"/>
      <c r="AO102" s="6"/>
      <c r="AP102" s="4"/>
      <c r="AQ102" s="5"/>
      <c r="AR102" s="5"/>
      <c r="AS102" s="5"/>
      <c r="AT102" s="6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</row>
    <row r="103" spans="1:256" s="69" customFormat="1" ht="16.5" customHeight="1" x14ac:dyDescent="0.3">
      <c r="A103" s="209" t="s">
        <v>125</v>
      </c>
      <c r="B103" s="210"/>
      <c r="C103" s="210"/>
      <c r="D103" s="80"/>
      <c r="E103" s="45"/>
      <c r="F103" s="45"/>
      <c r="G103" s="45"/>
      <c r="H103" s="45"/>
      <c r="I103" s="45"/>
      <c r="J103" s="45"/>
      <c r="K103" s="45"/>
      <c r="L103" s="45"/>
      <c r="M103" s="166"/>
      <c r="N103" s="45"/>
      <c r="O103" s="45"/>
      <c r="P103" s="45">
        <v>0</v>
      </c>
      <c r="Q103" s="24"/>
      <c r="R103" s="45">
        <v>0</v>
      </c>
      <c r="S103" s="24"/>
      <c r="T103" s="24"/>
      <c r="U103" s="24"/>
      <c r="V103" s="46"/>
      <c r="W103" s="47"/>
      <c r="X103" s="47"/>
      <c r="Y103" s="45"/>
      <c r="Z103" s="45"/>
      <c r="AA103" s="45"/>
      <c r="AB103" s="45"/>
      <c r="AC103" s="45"/>
      <c r="AD103" s="45"/>
      <c r="AE103" s="116"/>
      <c r="AF103" s="66"/>
      <c r="AG103" s="66"/>
      <c r="AH103" s="66"/>
      <c r="AI103" s="66"/>
      <c r="AJ103" s="67"/>
      <c r="AK103" s="65"/>
      <c r="AL103" s="66"/>
      <c r="AM103" s="66"/>
      <c r="AN103" s="66"/>
      <c r="AO103" s="67"/>
      <c r="AP103" s="65"/>
      <c r="AQ103" s="66"/>
      <c r="AR103" s="66"/>
      <c r="AS103" s="66"/>
      <c r="AT103" s="67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  <c r="IV103" s="68"/>
    </row>
    <row r="104" spans="1:256" ht="16.5" customHeight="1" x14ac:dyDescent="0.3">
      <c r="A104" s="172">
        <v>89</v>
      </c>
      <c r="B104" s="58" t="s">
        <v>104</v>
      </c>
      <c r="C104" s="58" t="s">
        <v>126</v>
      </c>
      <c r="D104" s="20"/>
      <c r="E104" s="49"/>
      <c r="F104" s="49"/>
      <c r="G104" s="20">
        <v>322125355.20999998</v>
      </c>
      <c r="H104" s="20">
        <v>1820390000</v>
      </c>
      <c r="I104" s="70"/>
      <c r="J104" s="20">
        <v>2144370619.1099999</v>
      </c>
      <c r="K104" s="20">
        <v>18679695.550000001</v>
      </c>
      <c r="L104" s="21">
        <v>6837506.79</v>
      </c>
      <c r="M104" s="50">
        <v>11842188.76</v>
      </c>
      <c r="N104" s="20">
        <v>2586158124.5500002</v>
      </c>
      <c r="O104" s="20">
        <v>267135621.28999999</v>
      </c>
      <c r="P104" s="30">
        <v>2307180312.5999999</v>
      </c>
      <c r="Q104" s="23">
        <f>(P104/$P$108)</f>
        <v>5.0722922195298628E-2</v>
      </c>
      <c r="R104" s="30">
        <v>2319022501.3600001</v>
      </c>
      <c r="S104" s="23">
        <f>(R104/$R$108)</f>
        <v>5.0828255705535536E-2</v>
      </c>
      <c r="T104" s="24">
        <f>((R104-P104)/P104)</f>
        <v>5.132753905417591E-3</v>
      </c>
      <c r="U104" s="59">
        <f>(L104/R104)</f>
        <v>2.9484434868528083E-3</v>
      </c>
      <c r="V104" s="25">
        <f>M104/R104</f>
        <v>5.1065432754771028E-3</v>
      </c>
      <c r="W104" s="26" t="e">
        <f>R104/AE104</f>
        <v>#DIV/0!</v>
      </c>
      <c r="X104" s="26" t="e">
        <f>M104/AE104</f>
        <v>#DIV/0!</v>
      </c>
      <c r="Y104" s="20">
        <v>0</v>
      </c>
      <c r="Z104" s="20">
        <v>0</v>
      </c>
      <c r="AA104" s="20">
        <v>2675</v>
      </c>
      <c r="AB104" s="20">
        <v>0</v>
      </c>
      <c r="AC104" s="20">
        <v>0</v>
      </c>
      <c r="AD104" s="20">
        <v>0</v>
      </c>
      <c r="AE104" s="111">
        <v>0</v>
      </c>
      <c r="AF104" s="5"/>
      <c r="AG104" s="5"/>
      <c r="AH104" s="5"/>
      <c r="AI104" s="5"/>
      <c r="AJ104" s="6"/>
      <c r="AK104" s="4"/>
      <c r="AL104" s="5"/>
      <c r="AM104" s="5"/>
      <c r="AN104" s="5"/>
      <c r="AO104" s="6"/>
      <c r="AP104" s="4"/>
      <c r="AQ104" s="5"/>
      <c r="AR104" s="5"/>
      <c r="AS104" s="5"/>
      <c r="AT104" s="6"/>
    </row>
    <row r="105" spans="1:256" ht="16.5" customHeight="1" x14ac:dyDescent="0.3">
      <c r="A105" s="172">
        <v>90</v>
      </c>
      <c r="B105" s="58" t="s">
        <v>104</v>
      </c>
      <c r="C105" s="58" t="s">
        <v>127</v>
      </c>
      <c r="D105" s="20"/>
      <c r="E105" s="49"/>
      <c r="F105" s="49"/>
      <c r="G105" s="20">
        <v>393381358.94</v>
      </c>
      <c r="H105" s="20">
        <v>9932058627.3999996</v>
      </c>
      <c r="I105" s="70"/>
      <c r="J105" s="20">
        <v>10499196807.99</v>
      </c>
      <c r="K105" s="20">
        <v>42481346.75</v>
      </c>
      <c r="L105" s="21">
        <v>16761576.539999999</v>
      </c>
      <c r="M105" s="50">
        <v>25719770.210000001</v>
      </c>
      <c r="N105" s="20">
        <v>11183687036.219999</v>
      </c>
      <c r="O105" s="20">
        <v>1129271780.25</v>
      </c>
      <c r="P105" s="30">
        <v>10028695486</v>
      </c>
      <c r="Q105" s="23">
        <f t="shared" ref="Q105:Q107" si="83">(P105/$P$108)</f>
        <v>0.22047897083668994</v>
      </c>
      <c r="R105" s="30">
        <v>10054415256</v>
      </c>
      <c r="S105" s="23">
        <f t="shared" ref="S105:S107" si="84">(R105/$R$108)</f>
        <v>0.22037232898857131</v>
      </c>
      <c r="T105" s="24">
        <f>((R105-P105)/P105)</f>
        <v>2.5646177048554968E-3</v>
      </c>
      <c r="U105" s="59">
        <f>(L105/R105)</f>
        <v>1.6670861619722222E-3</v>
      </c>
      <c r="V105" s="25">
        <f>M105/R105</f>
        <v>2.5580572867876785E-3</v>
      </c>
      <c r="W105" s="26">
        <f>R105/AE105</f>
        <v>53.444809775537564</v>
      </c>
      <c r="X105" s="26">
        <f>M105/AE105</f>
        <v>0.13671488508729521</v>
      </c>
      <c r="Y105" s="86">
        <v>36.6</v>
      </c>
      <c r="Z105" s="86">
        <v>36.6</v>
      </c>
      <c r="AA105" s="27">
        <v>5251</v>
      </c>
      <c r="AB105" s="27">
        <v>188127066</v>
      </c>
      <c r="AC105" s="27">
        <v>0</v>
      </c>
      <c r="AD105" s="27">
        <v>0</v>
      </c>
      <c r="AE105" s="215">
        <v>188127066</v>
      </c>
      <c r="AF105" s="5"/>
      <c r="AG105" s="5"/>
      <c r="AH105" s="5"/>
      <c r="AI105" s="5"/>
      <c r="AJ105" s="6"/>
      <c r="AK105" s="4"/>
      <c r="AL105" s="5"/>
      <c r="AM105" s="5"/>
      <c r="AN105" s="5"/>
      <c r="AO105" s="6"/>
      <c r="AP105" s="4"/>
      <c r="AQ105" s="5"/>
      <c r="AR105" s="5"/>
      <c r="AS105" s="5"/>
      <c r="AT105" s="6"/>
    </row>
    <row r="106" spans="1:256" ht="16.5" customHeight="1" x14ac:dyDescent="0.3">
      <c r="A106" s="172">
        <v>91</v>
      </c>
      <c r="B106" s="57" t="s">
        <v>195</v>
      </c>
      <c r="C106" s="58" t="s">
        <v>128</v>
      </c>
      <c r="D106" s="20"/>
      <c r="E106" s="49"/>
      <c r="F106" s="20">
        <v>2679776914.52</v>
      </c>
      <c r="G106" s="20">
        <v>1561627295.22</v>
      </c>
      <c r="H106" s="20">
        <v>21480000000</v>
      </c>
      <c r="I106" s="70"/>
      <c r="J106" s="20">
        <v>25721404209.740002</v>
      </c>
      <c r="K106" s="20">
        <v>131472123.25</v>
      </c>
      <c r="L106" s="49" t="s">
        <v>219</v>
      </c>
      <c r="M106" s="50">
        <v>97045905.680000007</v>
      </c>
      <c r="N106" s="20">
        <v>25793452551.779999</v>
      </c>
      <c r="O106" s="20">
        <v>100057304.98999999</v>
      </c>
      <c r="P106" s="30">
        <v>25638262209.029999</v>
      </c>
      <c r="Q106" s="23">
        <f t="shared" si="83"/>
        <v>0.56365233880909715</v>
      </c>
      <c r="R106" s="30">
        <v>25693395246.790001</v>
      </c>
      <c r="S106" s="23">
        <f t="shared" si="84"/>
        <v>0.56314695643589208</v>
      </c>
      <c r="T106" s="24">
        <f>((R106-P106)/P106)</f>
        <v>2.1504202317029057E-3</v>
      </c>
      <c r="U106" s="59">
        <f>(L106/R106)</f>
        <v>1.3398858827075816E-3</v>
      </c>
      <c r="V106" s="25">
        <f>M106/R106</f>
        <v>3.7770759663273549E-3</v>
      </c>
      <c r="W106" s="26">
        <f>R106/AE106</f>
        <v>9.6292354452164606</v>
      </c>
      <c r="X106" s="26">
        <f>M106/AE106</f>
        <v>3.6370353774234573E-2</v>
      </c>
      <c r="Y106" s="86">
        <v>9.6199999999999992</v>
      </c>
      <c r="Z106" s="86">
        <v>9.6199999999999992</v>
      </c>
      <c r="AA106" s="27">
        <v>28836</v>
      </c>
      <c r="AB106" s="27">
        <v>2668269500</v>
      </c>
      <c r="AC106" s="27">
        <v>0</v>
      </c>
      <c r="AD106" s="27">
        <v>0</v>
      </c>
      <c r="AE106" s="150">
        <v>2668269500</v>
      </c>
      <c r="AF106" s="5"/>
      <c r="AG106" s="5"/>
      <c r="AH106" s="5"/>
      <c r="AI106" s="5"/>
      <c r="AJ106" s="6"/>
      <c r="AK106" s="4"/>
      <c r="AL106" s="5"/>
      <c r="AM106" s="5"/>
      <c r="AN106" s="5"/>
      <c r="AO106" s="6"/>
      <c r="AP106" s="4"/>
      <c r="AQ106" s="5"/>
      <c r="AR106" s="5"/>
      <c r="AS106" s="5"/>
      <c r="AT106" s="6"/>
    </row>
    <row r="107" spans="1:256" ht="16.5" customHeight="1" x14ac:dyDescent="0.3">
      <c r="A107" s="172">
        <v>92</v>
      </c>
      <c r="B107" s="58" t="s">
        <v>29</v>
      </c>
      <c r="C107" s="58" t="s">
        <v>129</v>
      </c>
      <c r="D107" s="20"/>
      <c r="E107" s="49"/>
      <c r="F107" s="20">
        <v>6957425458</v>
      </c>
      <c r="G107" s="181"/>
      <c r="H107" s="20"/>
      <c r="I107" s="70"/>
      <c r="J107" s="20">
        <v>7827234470</v>
      </c>
      <c r="K107" s="20">
        <v>61889552</v>
      </c>
      <c r="L107" s="70">
        <v>15860007</v>
      </c>
      <c r="M107" s="50">
        <v>46029545</v>
      </c>
      <c r="N107" s="20">
        <v>7827234470</v>
      </c>
      <c r="O107" s="20">
        <v>269395347</v>
      </c>
      <c r="P107" s="30">
        <v>7511812185</v>
      </c>
      <c r="Q107" s="23">
        <f t="shared" si="83"/>
        <v>0.16514576815891438</v>
      </c>
      <c r="R107" s="30">
        <v>7557839123</v>
      </c>
      <c r="S107" s="23">
        <f t="shared" si="84"/>
        <v>0.16565245887000107</v>
      </c>
      <c r="T107" s="24">
        <f>((R107-P107)/P107)</f>
        <v>6.1272748660981067E-3</v>
      </c>
      <c r="U107" s="59">
        <f>(L107/R107)</f>
        <v>2.0984843341974374E-3</v>
      </c>
      <c r="V107" s="25">
        <f>M107/R107</f>
        <v>6.0903049470744869E-3</v>
      </c>
      <c r="W107" s="26">
        <f>R107/AE107</f>
        <v>101.92635364801079</v>
      </c>
      <c r="X107" s="26">
        <f>M107/AE107</f>
        <v>0.62076257585974381</v>
      </c>
      <c r="Y107" s="86">
        <v>101.31</v>
      </c>
      <c r="Z107" s="86">
        <v>101.31</v>
      </c>
      <c r="AA107" s="27">
        <v>57</v>
      </c>
      <c r="AB107" s="27">
        <v>74150000</v>
      </c>
      <c r="AC107" s="27">
        <v>0</v>
      </c>
      <c r="AD107" s="27">
        <v>0</v>
      </c>
      <c r="AE107" s="215">
        <v>74150000</v>
      </c>
      <c r="AF107" s="5"/>
      <c r="AG107" s="5"/>
      <c r="AH107" s="5"/>
      <c r="AI107" s="5"/>
      <c r="AJ107" s="6"/>
      <c r="AK107" s="4"/>
      <c r="AL107" s="5"/>
      <c r="AM107" s="5"/>
      <c r="AN107" s="5"/>
      <c r="AO107" s="6"/>
      <c r="AP107" s="4"/>
      <c r="AQ107" s="5"/>
      <c r="AR107" s="5"/>
      <c r="AS107" s="5"/>
      <c r="AT107" s="6"/>
    </row>
    <row r="108" spans="1:256" ht="16.5" customHeight="1" x14ac:dyDescent="0.3">
      <c r="A108" s="119"/>
      <c r="B108" s="44"/>
      <c r="C108" s="35" t="s">
        <v>52</v>
      </c>
      <c r="D108" s="36"/>
      <c r="E108" s="36"/>
      <c r="F108" s="36">
        <f>SUM(F104:F107)</f>
        <v>9637202372.5200005</v>
      </c>
      <c r="G108" s="36">
        <f>SUM(G104:G107)</f>
        <v>2277134009.3699999</v>
      </c>
      <c r="H108" s="36">
        <f t="shared" ref="H108:J108" si="85">SUM(H104:H107)</f>
        <v>33232448627.400002</v>
      </c>
      <c r="I108" s="36">
        <f t="shared" si="85"/>
        <v>0</v>
      </c>
      <c r="J108" s="36">
        <f t="shared" si="85"/>
        <v>46192206106.840004</v>
      </c>
      <c r="K108" s="36">
        <f>SUM(K104:K107)</f>
        <v>254522717.55000001</v>
      </c>
      <c r="L108" s="36">
        <f t="shared" ref="L108" si="86">SUM(L104:L107)</f>
        <v>39459090.329999998</v>
      </c>
      <c r="M108" s="36">
        <f t="shared" ref="M108" si="87">SUM(M104:M107)</f>
        <v>180637409.65000001</v>
      </c>
      <c r="N108" s="36">
        <f t="shared" ref="N108" si="88">SUM(N104:N107)</f>
        <v>47390532182.550003</v>
      </c>
      <c r="O108" s="36">
        <f>SUM(O104:O107)</f>
        <v>1765860053.53</v>
      </c>
      <c r="P108" s="37">
        <f>SUM(P104:P107)</f>
        <v>45485950192.629997</v>
      </c>
      <c r="Q108" s="88">
        <f>(P108/$P$150)</f>
        <v>3.2197139075559753E-2</v>
      </c>
      <c r="R108" s="37">
        <f>SUM(R104:R107)</f>
        <v>45624672127.150002</v>
      </c>
      <c r="S108" s="88">
        <f>(R108/$R$150)</f>
        <v>3.2409910715882957E-2</v>
      </c>
      <c r="T108" s="38">
        <f>((R108-P108)/P108)</f>
        <v>3.0497754566525715E-3</v>
      </c>
      <c r="U108" s="51"/>
      <c r="V108" s="39"/>
      <c r="W108" s="40"/>
      <c r="X108" s="40"/>
      <c r="Y108" s="36"/>
      <c r="Z108" s="36"/>
      <c r="AA108" s="41">
        <f>SUM(AA104:AA107)</f>
        <v>36819</v>
      </c>
      <c r="AB108" s="41"/>
      <c r="AC108" s="41"/>
      <c r="AD108" s="41"/>
      <c r="AE108" s="113"/>
      <c r="AF108" s="5"/>
      <c r="AG108" s="5"/>
      <c r="AH108" s="5"/>
      <c r="AI108" s="5"/>
      <c r="AJ108" s="6"/>
      <c r="AK108" s="4"/>
      <c r="AL108" s="5"/>
      <c r="AM108" s="5"/>
      <c r="AN108" s="5"/>
      <c r="AO108" s="6"/>
      <c r="AP108" s="4"/>
      <c r="AQ108" s="5"/>
      <c r="AR108" s="5"/>
      <c r="AS108" s="5"/>
      <c r="AT108" s="6"/>
    </row>
    <row r="109" spans="1:256" ht="16.5" customHeight="1" x14ac:dyDescent="0.3">
      <c r="A109" s="203" t="s">
        <v>183</v>
      </c>
      <c r="B109" s="201"/>
      <c r="C109" s="201"/>
      <c r="D109" s="45"/>
      <c r="E109" s="45"/>
      <c r="F109" s="45"/>
      <c r="G109" s="45"/>
      <c r="H109" s="45"/>
      <c r="I109" s="45"/>
      <c r="J109" s="45"/>
      <c r="K109" s="45"/>
      <c r="L109" s="45"/>
      <c r="M109" s="166"/>
      <c r="N109" s="45"/>
      <c r="O109" s="45"/>
      <c r="P109" s="45"/>
      <c r="Q109" s="24"/>
      <c r="R109" s="45"/>
      <c r="S109" s="24"/>
      <c r="T109" s="24"/>
      <c r="U109" s="24"/>
      <c r="V109" s="46"/>
      <c r="W109" s="47"/>
      <c r="X109" s="47"/>
      <c r="Y109" s="45"/>
      <c r="Z109" s="45"/>
      <c r="AA109" s="45"/>
      <c r="AB109" s="45"/>
      <c r="AC109" s="45"/>
      <c r="AD109" s="45"/>
      <c r="AE109" s="116"/>
      <c r="AF109" s="5"/>
      <c r="AG109" s="5"/>
      <c r="AH109" s="5"/>
      <c r="AI109" s="5"/>
      <c r="AJ109" s="6"/>
      <c r="AK109" s="4"/>
      <c r="AL109" s="5"/>
      <c r="AM109" s="5"/>
      <c r="AN109" s="5"/>
      <c r="AO109" s="6"/>
      <c r="AP109" s="4"/>
      <c r="AQ109" s="5"/>
      <c r="AR109" s="5"/>
      <c r="AS109" s="5"/>
      <c r="AT109" s="6"/>
    </row>
    <row r="110" spans="1:256" s="192" customFormat="1" ht="16.5" customHeight="1" x14ac:dyDescent="0.3">
      <c r="A110" s="172">
        <v>93</v>
      </c>
      <c r="B110" s="58" t="s">
        <v>23</v>
      </c>
      <c r="C110" s="58" t="s">
        <v>130</v>
      </c>
      <c r="D110" s="20">
        <v>959860873.20000005</v>
      </c>
      <c r="E110" s="20"/>
      <c r="F110" s="20">
        <v>392558906.91000003</v>
      </c>
      <c r="G110" s="20">
        <v>340109254.35000002</v>
      </c>
      <c r="H110" s="29"/>
      <c r="I110" s="28"/>
      <c r="J110" s="28">
        <v>1703711283.8599999</v>
      </c>
      <c r="K110" s="28">
        <v>20283776.879999999</v>
      </c>
      <c r="L110" s="20">
        <v>5626128.6299999999</v>
      </c>
      <c r="M110" s="152">
        <v>63203859.399999999</v>
      </c>
      <c r="N110" s="20">
        <v>1756233628.3099999</v>
      </c>
      <c r="O110" s="20">
        <v>4292854.16</v>
      </c>
      <c r="P110" s="81">
        <v>1678022392.97</v>
      </c>
      <c r="Q110" s="23">
        <f t="shared" ref="Q110:Q132" si="89">(P110/$P$150)</f>
        <v>1.1877848023302952E-3</v>
      </c>
      <c r="R110" s="81">
        <v>1751940774.1500001</v>
      </c>
      <c r="S110" s="23">
        <f t="shared" ref="S110:S131" si="90">(R110/$R$132)</f>
        <v>5.673510297923709E-2</v>
      </c>
      <c r="T110" s="24">
        <f t="shared" ref="T110:T132" si="91">((R110-P110)/P110)</f>
        <v>4.4050890792445813E-2</v>
      </c>
      <c r="U110" s="59">
        <f t="shared" ref="U110:U128" si="92">(L110/R110)</f>
        <v>3.2113691929623951E-3</v>
      </c>
      <c r="V110" s="25">
        <f t="shared" ref="V110:V131" si="93">M110/R110</f>
        <v>3.6076481769576375E-2</v>
      </c>
      <c r="W110" s="26">
        <f t="shared" ref="W110:W131" si="94">R110/AE110</f>
        <v>3686.7840866075067</v>
      </c>
      <c r="X110" s="26">
        <f>M110/AE110</f>
        <v>133.00619888885998</v>
      </c>
      <c r="Y110" s="20">
        <v>3660.02</v>
      </c>
      <c r="Z110" s="20">
        <v>3701.43</v>
      </c>
      <c r="AA110" s="27">
        <v>1396</v>
      </c>
      <c r="AB110" s="27">
        <v>472258.47</v>
      </c>
      <c r="AC110" s="27">
        <v>6695.24</v>
      </c>
      <c r="AD110" s="27">
        <v>3758.87</v>
      </c>
      <c r="AE110" s="150">
        <f>(AB110+AC110)-AD110</f>
        <v>475194.83999999997</v>
      </c>
      <c r="AF110" s="190"/>
      <c r="AG110" s="190"/>
      <c r="AH110" s="190"/>
      <c r="AI110" s="190"/>
      <c r="AJ110" s="191"/>
      <c r="AK110" s="189"/>
      <c r="AL110" s="190"/>
      <c r="AM110" s="190"/>
      <c r="AN110" s="190"/>
      <c r="AO110" s="191"/>
      <c r="AP110" s="189"/>
      <c r="AQ110" s="190"/>
      <c r="AR110" s="190"/>
      <c r="AS110" s="190"/>
      <c r="AT110" s="191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  <c r="EQ110" s="75"/>
      <c r="ER110" s="75"/>
      <c r="ES110" s="75"/>
      <c r="ET110" s="75"/>
      <c r="EU110" s="75"/>
      <c r="EV110" s="75"/>
      <c r="EW110" s="75"/>
      <c r="EX110" s="75"/>
      <c r="EY110" s="75"/>
      <c r="EZ110" s="75"/>
      <c r="FA110" s="75"/>
      <c r="FB110" s="75"/>
      <c r="FC110" s="75"/>
      <c r="FD110" s="75"/>
      <c r="FE110" s="75"/>
      <c r="FF110" s="75"/>
      <c r="FG110" s="75"/>
      <c r="FH110" s="75"/>
      <c r="FI110" s="75"/>
      <c r="FJ110" s="75"/>
      <c r="FK110" s="75"/>
      <c r="FL110" s="75"/>
      <c r="FM110" s="75"/>
      <c r="FN110" s="75"/>
      <c r="FO110" s="75"/>
      <c r="FP110" s="75"/>
      <c r="FQ110" s="75"/>
      <c r="FR110" s="75"/>
      <c r="FS110" s="75"/>
      <c r="FT110" s="75"/>
      <c r="FU110" s="75"/>
      <c r="FV110" s="75"/>
      <c r="FW110" s="75"/>
      <c r="FX110" s="75"/>
      <c r="FY110" s="75"/>
      <c r="FZ110" s="75"/>
      <c r="GA110" s="75"/>
      <c r="GB110" s="75"/>
      <c r="GC110" s="75"/>
      <c r="GD110" s="75"/>
      <c r="GE110" s="75"/>
      <c r="GF110" s="75"/>
      <c r="GG110" s="75"/>
      <c r="GH110" s="75"/>
      <c r="GI110" s="75"/>
      <c r="GJ110" s="75"/>
      <c r="GK110" s="75"/>
      <c r="GL110" s="75"/>
      <c r="GM110" s="75"/>
      <c r="GN110" s="75"/>
      <c r="GO110" s="75"/>
      <c r="GP110" s="75"/>
      <c r="GQ110" s="75"/>
      <c r="GR110" s="75"/>
      <c r="GS110" s="75"/>
      <c r="GT110" s="75"/>
      <c r="GU110" s="75"/>
      <c r="GV110" s="75"/>
      <c r="GW110" s="75"/>
      <c r="GX110" s="75"/>
      <c r="GY110" s="75"/>
      <c r="GZ110" s="75"/>
      <c r="HA110" s="75"/>
      <c r="HB110" s="75"/>
      <c r="HC110" s="75"/>
      <c r="HD110" s="75"/>
      <c r="HE110" s="75"/>
      <c r="HF110" s="75"/>
      <c r="HG110" s="75"/>
      <c r="HH110" s="75"/>
      <c r="HI110" s="75"/>
      <c r="HJ110" s="75"/>
      <c r="HK110" s="75"/>
      <c r="HL110" s="75"/>
      <c r="HM110" s="75"/>
      <c r="HN110" s="75"/>
      <c r="HO110" s="75"/>
      <c r="HP110" s="75"/>
      <c r="HQ110" s="75"/>
      <c r="HR110" s="75"/>
      <c r="HS110" s="75"/>
      <c r="HT110" s="75"/>
      <c r="HU110" s="75"/>
      <c r="HV110" s="75"/>
      <c r="HW110" s="75"/>
      <c r="HX110" s="75"/>
      <c r="HY110" s="75"/>
      <c r="HZ110" s="75"/>
      <c r="IA110" s="75"/>
      <c r="IB110" s="75"/>
      <c r="IC110" s="75"/>
      <c r="ID110" s="75"/>
      <c r="IE110" s="75"/>
      <c r="IF110" s="75"/>
      <c r="IG110" s="75"/>
      <c r="IH110" s="75"/>
      <c r="II110" s="75"/>
      <c r="IJ110" s="75"/>
      <c r="IK110" s="75"/>
      <c r="IL110" s="75"/>
      <c r="IM110" s="75"/>
      <c r="IN110" s="75"/>
      <c r="IO110" s="75"/>
      <c r="IP110" s="75"/>
      <c r="IQ110" s="75"/>
      <c r="IR110" s="75"/>
      <c r="IS110" s="75"/>
      <c r="IT110" s="75"/>
      <c r="IU110" s="75"/>
      <c r="IV110" s="75"/>
    </row>
    <row r="111" spans="1:256" ht="16.5" customHeight="1" x14ac:dyDescent="0.3">
      <c r="A111" s="172">
        <v>94</v>
      </c>
      <c r="B111" s="58" t="s">
        <v>29</v>
      </c>
      <c r="C111" s="58" t="s">
        <v>175</v>
      </c>
      <c r="D111" s="20">
        <v>111381262.90000001</v>
      </c>
      <c r="E111" s="36"/>
      <c r="F111" s="20">
        <v>28730408.02</v>
      </c>
      <c r="G111" s="20">
        <v>53998986.719999999</v>
      </c>
      <c r="H111" s="29"/>
      <c r="I111" s="28"/>
      <c r="J111" s="28">
        <v>201848719.13999999</v>
      </c>
      <c r="K111" s="28">
        <v>3762885.71</v>
      </c>
      <c r="L111" s="20">
        <v>382266.45</v>
      </c>
      <c r="M111" s="152">
        <v>3380619.26</v>
      </c>
      <c r="N111" s="20">
        <v>201848719.13999999</v>
      </c>
      <c r="O111" s="20">
        <v>700214.65</v>
      </c>
      <c r="P111" s="81">
        <v>188249340.50999999</v>
      </c>
      <c r="Q111" s="23">
        <f t="shared" si="89"/>
        <v>1.3325192002397571E-4</v>
      </c>
      <c r="R111" s="81">
        <v>201148504.49000001</v>
      </c>
      <c r="S111" s="23">
        <f t="shared" si="90"/>
        <v>6.5140222116792752E-3</v>
      </c>
      <c r="T111" s="24">
        <f t="shared" si="91"/>
        <v>6.8521695454836412E-2</v>
      </c>
      <c r="U111" s="59">
        <f t="shared" si="92"/>
        <v>1.9004190509355947E-3</v>
      </c>
      <c r="V111" s="25">
        <f t="shared" si="93"/>
        <v>1.6806584113420866E-2</v>
      </c>
      <c r="W111" s="26">
        <f t="shared" si="94"/>
        <v>153.53038707996504</v>
      </c>
      <c r="X111" s="26">
        <f t="shared" ref="X111:X131" si="95">M111/AE111</f>
        <v>2.5803213644254965</v>
      </c>
      <c r="Y111" s="20">
        <v>142.77000000000001</v>
      </c>
      <c r="Z111" s="20">
        <v>144.4</v>
      </c>
      <c r="AA111" s="27">
        <v>719</v>
      </c>
      <c r="AB111" s="27">
        <v>1309475.3500000001</v>
      </c>
      <c r="AC111" s="27">
        <v>679</v>
      </c>
      <c r="AD111" s="27">
        <v>0</v>
      </c>
      <c r="AE111" s="111">
        <f>(AB111+AC111)-AD111</f>
        <v>1310154.3500000001</v>
      </c>
      <c r="AF111" s="5"/>
      <c r="AG111" s="5"/>
      <c r="AH111" s="5"/>
      <c r="AI111" s="5"/>
      <c r="AJ111" s="6"/>
      <c r="AK111" s="4"/>
      <c r="AL111" s="5"/>
      <c r="AM111" s="5"/>
      <c r="AN111" s="5"/>
      <c r="AO111" s="6"/>
      <c r="AP111" s="4"/>
      <c r="AQ111" s="5"/>
      <c r="AR111" s="5"/>
      <c r="AS111" s="5"/>
      <c r="AT111" s="6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</row>
    <row r="112" spans="1:256" s="192" customFormat="1" ht="16.5" customHeight="1" x14ac:dyDescent="0.3">
      <c r="A112" s="172">
        <v>95</v>
      </c>
      <c r="B112" s="58" t="s">
        <v>33</v>
      </c>
      <c r="C112" s="58" t="s">
        <v>131</v>
      </c>
      <c r="D112" s="20">
        <v>500493339.89999998</v>
      </c>
      <c r="E112" s="20"/>
      <c r="F112" s="20">
        <v>9483303</v>
      </c>
      <c r="G112" s="20">
        <v>299276950</v>
      </c>
      <c r="H112" s="29"/>
      <c r="I112" s="28"/>
      <c r="J112" s="28">
        <v>809253592</v>
      </c>
      <c r="K112" s="28">
        <v>15774251</v>
      </c>
      <c r="L112" s="20">
        <v>1797645</v>
      </c>
      <c r="M112" s="152">
        <v>26519569</v>
      </c>
      <c r="N112" s="20">
        <v>1036164163</v>
      </c>
      <c r="O112" s="20">
        <v>12086894</v>
      </c>
      <c r="P112" s="81">
        <v>1000312411.23</v>
      </c>
      <c r="Q112" s="23">
        <f t="shared" si="89"/>
        <v>7.080691441419928E-4</v>
      </c>
      <c r="R112" s="81">
        <v>1024077268.39</v>
      </c>
      <c r="S112" s="23">
        <f t="shared" si="90"/>
        <v>3.316386611812934E-2</v>
      </c>
      <c r="T112" s="24">
        <f t="shared" si="91"/>
        <v>2.3757435070487949E-2</v>
      </c>
      <c r="U112" s="59">
        <f t="shared" si="92"/>
        <v>1.7553802388624075E-3</v>
      </c>
      <c r="V112" s="25">
        <f t="shared" si="93"/>
        <v>2.5896062551698528E-2</v>
      </c>
      <c r="W112" s="26">
        <f t="shared" si="94"/>
        <v>1.4688870403202363</v>
      </c>
      <c r="X112" s="26">
        <f t="shared" si="95"/>
        <v>3.8038390677512156E-2</v>
      </c>
      <c r="Y112" s="20">
        <v>1.47</v>
      </c>
      <c r="Z112" s="20">
        <v>1.49</v>
      </c>
      <c r="AA112" s="27">
        <v>1309</v>
      </c>
      <c r="AB112" s="27">
        <v>655554129</v>
      </c>
      <c r="AC112" s="27">
        <v>44656766</v>
      </c>
      <c r="AD112" s="27">
        <v>3031847</v>
      </c>
      <c r="AE112" s="111">
        <v>697179048</v>
      </c>
      <c r="AF112" s="190"/>
      <c r="AG112" s="190"/>
      <c r="AH112" s="190"/>
      <c r="AI112" s="190"/>
      <c r="AJ112" s="191"/>
      <c r="AK112" s="189"/>
      <c r="AL112" s="190"/>
      <c r="AM112" s="190"/>
      <c r="AN112" s="190"/>
      <c r="AO112" s="191"/>
      <c r="AP112" s="189"/>
      <c r="AQ112" s="190"/>
      <c r="AR112" s="190"/>
      <c r="AS112" s="190"/>
      <c r="AT112" s="191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  <c r="IF112" s="75"/>
      <c r="IG112" s="75"/>
      <c r="IH112" s="75"/>
      <c r="II112" s="75"/>
      <c r="IJ112" s="75"/>
      <c r="IK112" s="75"/>
      <c r="IL112" s="75"/>
      <c r="IM112" s="75"/>
      <c r="IN112" s="75"/>
      <c r="IO112" s="75"/>
      <c r="IP112" s="75"/>
      <c r="IQ112" s="75"/>
      <c r="IR112" s="75"/>
      <c r="IS112" s="75"/>
      <c r="IT112" s="75"/>
      <c r="IU112" s="75"/>
      <c r="IV112" s="75"/>
    </row>
    <row r="113" spans="1:256" s="192" customFormat="1" ht="16.5" customHeight="1" x14ac:dyDescent="0.3">
      <c r="A113" s="172">
        <v>96</v>
      </c>
      <c r="B113" s="57" t="s">
        <v>35</v>
      </c>
      <c r="C113" s="58" t="s">
        <v>168</v>
      </c>
      <c r="D113" s="20">
        <v>2927020556.4499998</v>
      </c>
      <c r="E113" s="20"/>
      <c r="F113" s="20">
        <v>98316832.329999998</v>
      </c>
      <c r="G113" s="20">
        <v>521368450.38999999</v>
      </c>
      <c r="H113" s="77">
        <v>62482855.299999997</v>
      </c>
      <c r="I113" s="28"/>
      <c r="J113" s="28">
        <v>3609188694.4699998</v>
      </c>
      <c r="K113" s="28">
        <v>37683635.149999999</v>
      </c>
      <c r="L113" s="20">
        <v>10930575.210000001</v>
      </c>
      <c r="M113" s="152">
        <v>177502069.44</v>
      </c>
      <c r="N113" s="20">
        <v>4994434334</v>
      </c>
      <c r="O113" s="20">
        <v>147969857</v>
      </c>
      <c r="P113" s="81">
        <v>4760317948</v>
      </c>
      <c r="Q113" s="23">
        <f t="shared" si="89"/>
        <v>3.3695815601643307E-3</v>
      </c>
      <c r="R113" s="81">
        <v>4846464477</v>
      </c>
      <c r="S113" s="23">
        <f t="shared" si="90"/>
        <v>0.15694860536664873</v>
      </c>
      <c r="T113" s="24">
        <f t="shared" si="91"/>
        <v>1.8096801503814174E-2</v>
      </c>
      <c r="U113" s="59">
        <f t="shared" si="92"/>
        <v>2.2553709537898262E-3</v>
      </c>
      <c r="V113" s="25">
        <f t="shared" si="93"/>
        <v>3.662506354526613E-2</v>
      </c>
      <c r="W113" s="26">
        <f t="shared" si="94"/>
        <v>500.30979659493664</v>
      </c>
      <c r="X113" s="26">
        <f t="shared" si="95"/>
        <v>18.32387809260873</v>
      </c>
      <c r="Y113" s="20">
        <v>497.80829999999997</v>
      </c>
      <c r="Z113" s="20">
        <v>512.8175</v>
      </c>
      <c r="AA113" s="27">
        <v>1864</v>
      </c>
      <c r="AB113" s="27">
        <v>9875797</v>
      </c>
      <c r="AC113" s="27">
        <v>41438</v>
      </c>
      <c r="AD113" s="27">
        <v>230308</v>
      </c>
      <c r="AE113" s="111">
        <v>9686927</v>
      </c>
      <c r="AF113" s="190"/>
      <c r="AG113" s="190"/>
      <c r="AH113" s="190"/>
      <c r="AI113" s="190"/>
      <c r="AJ113" s="191"/>
      <c r="AK113" s="189"/>
      <c r="AL113" s="190"/>
      <c r="AM113" s="190"/>
      <c r="AN113" s="190"/>
      <c r="AO113" s="191"/>
      <c r="AP113" s="189"/>
      <c r="AQ113" s="190"/>
      <c r="AR113" s="190"/>
      <c r="AS113" s="190"/>
      <c r="AT113" s="191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  <c r="DP113" s="75"/>
      <c r="DQ113" s="75"/>
      <c r="DR113" s="75"/>
      <c r="DS113" s="75"/>
      <c r="DT113" s="75"/>
      <c r="DU113" s="75"/>
      <c r="DV113" s="75"/>
      <c r="DW113" s="75"/>
      <c r="DX113" s="75"/>
      <c r="DY113" s="75"/>
      <c r="DZ113" s="75"/>
      <c r="EA113" s="75"/>
      <c r="EB113" s="75"/>
      <c r="EC113" s="75"/>
      <c r="ED113" s="75"/>
      <c r="EE113" s="75"/>
      <c r="EF113" s="75"/>
      <c r="EG113" s="75"/>
      <c r="EH113" s="75"/>
      <c r="EI113" s="75"/>
      <c r="EJ113" s="75"/>
      <c r="EK113" s="75"/>
      <c r="EL113" s="75"/>
      <c r="EM113" s="75"/>
      <c r="EN113" s="75"/>
      <c r="EO113" s="75"/>
      <c r="EP113" s="75"/>
      <c r="EQ113" s="75"/>
      <c r="ER113" s="75"/>
      <c r="ES113" s="75"/>
      <c r="ET113" s="75"/>
      <c r="EU113" s="75"/>
      <c r="EV113" s="75"/>
      <c r="EW113" s="75"/>
      <c r="EX113" s="75"/>
      <c r="EY113" s="75"/>
      <c r="EZ113" s="75"/>
      <c r="FA113" s="75"/>
      <c r="FB113" s="75"/>
      <c r="FC113" s="75"/>
      <c r="FD113" s="75"/>
      <c r="FE113" s="75"/>
      <c r="FF113" s="75"/>
      <c r="FG113" s="75"/>
      <c r="FH113" s="75"/>
      <c r="FI113" s="75"/>
      <c r="FJ113" s="75"/>
      <c r="FK113" s="75"/>
      <c r="FL113" s="75"/>
      <c r="FM113" s="75"/>
      <c r="FN113" s="75"/>
      <c r="FO113" s="75"/>
      <c r="FP113" s="75"/>
      <c r="FQ113" s="75"/>
      <c r="FR113" s="75"/>
      <c r="FS113" s="75"/>
      <c r="FT113" s="75"/>
      <c r="FU113" s="75"/>
      <c r="FV113" s="75"/>
      <c r="FW113" s="75"/>
      <c r="FX113" s="75"/>
      <c r="FY113" s="75"/>
      <c r="FZ113" s="75"/>
      <c r="GA113" s="75"/>
      <c r="GB113" s="75"/>
      <c r="GC113" s="75"/>
      <c r="GD113" s="75"/>
      <c r="GE113" s="75"/>
      <c r="GF113" s="75"/>
      <c r="GG113" s="75"/>
      <c r="GH113" s="75"/>
      <c r="GI113" s="75"/>
      <c r="GJ113" s="75"/>
      <c r="GK113" s="75"/>
      <c r="GL113" s="75"/>
      <c r="GM113" s="75"/>
      <c r="GN113" s="75"/>
      <c r="GO113" s="75"/>
      <c r="GP113" s="75"/>
      <c r="GQ113" s="75"/>
      <c r="GR113" s="75"/>
      <c r="GS113" s="75"/>
      <c r="GT113" s="75"/>
      <c r="GU113" s="75"/>
      <c r="GV113" s="75"/>
      <c r="GW113" s="75"/>
      <c r="GX113" s="75"/>
      <c r="GY113" s="75"/>
      <c r="GZ113" s="75"/>
      <c r="HA113" s="75"/>
      <c r="HB113" s="75"/>
      <c r="HC113" s="75"/>
      <c r="HD113" s="75"/>
      <c r="HE113" s="75"/>
      <c r="HF113" s="75"/>
      <c r="HG113" s="75"/>
      <c r="HH113" s="75"/>
      <c r="HI113" s="75"/>
      <c r="HJ113" s="75"/>
      <c r="HK113" s="75"/>
      <c r="HL113" s="75"/>
      <c r="HM113" s="75"/>
      <c r="HN113" s="75"/>
      <c r="HO113" s="75"/>
      <c r="HP113" s="75"/>
      <c r="HQ113" s="75"/>
      <c r="HR113" s="75"/>
      <c r="HS113" s="75"/>
      <c r="HT113" s="75"/>
      <c r="HU113" s="75"/>
      <c r="HV113" s="75"/>
      <c r="HW113" s="75"/>
      <c r="HX113" s="75"/>
      <c r="HY113" s="75"/>
      <c r="HZ113" s="75"/>
      <c r="IA113" s="75"/>
      <c r="IB113" s="75"/>
      <c r="IC113" s="75"/>
      <c r="ID113" s="75"/>
      <c r="IE113" s="75"/>
      <c r="IF113" s="75"/>
      <c r="IG113" s="75"/>
      <c r="IH113" s="75"/>
      <c r="II113" s="75"/>
      <c r="IJ113" s="75"/>
      <c r="IK113" s="75"/>
      <c r="IL113" s="75"/>
      <c r="IM113" s="75"/>
      <c r="IN113" s="75"/>
      <c r="IO113" s="75"/>
      <c r="IP113" s="75"/>
      <c r="IQ113" s="75"/>
      <c r="IR113" s="75"/>
      <c r="IS113" s="75"/>
      <c r="IT113" s="75"/>
      <c r="IU113" s="75"/>
      <c r="IV113" s="75"/>
    </row>
    <row r="114" spans="1:256" s="192" customFormat="1" ht="16.5" customHeight="1" x14ac:dyDescent="0.3">
      <c r="A114" s="172">
        <v>97</v>
      </c>
      <c r="B114" s="58" t="s">
        <v>74</v>
      </c>
      <c r="C114" s="58" t="s">
        <v>212</v>
      </c>
      <c r="D114" s="20">
        <v>1155560178.2</v>
      </c>
      <c r="E114" s="20"/>
      <c r="F114" s="20">
        <v>349768099.82999998</v>
      </c>
      <c r="G114" s="20">
        <v>1044353792.73</v>
      </c>
      <c r="H114" s="29"/>
      <c r="I114" s="28"/>
      <c r="J114" s="28">
        <v>2549682070.7600002</v>
      </c>
      <c r="K114" s="28">
        <v>11025956.810000001</v>
      </c>
      <c r="L114" s="20">
        <v>18295459.359999999</v>
      </c>
      <c r="M114" s="152">
        <v>42529186</v>
      </c>
      <c r="N114" s="20">
        <v>2552964473.4400001</v>
      </c>
      <c r="O114" s="20">
        <v>18295459.440000001</v>
      </c>
      <c r="P114" s="81">
        <v>2481196172.3000002</v>
      </c>
      <c r="Q114" s="23">
        <f t="shared" si="89"/>
        <v>1.7563097592766929E-3</v>
      </c>
      <c r="R114" s="81">
        <v>2534669014</v>
      </c>
      <c r="S114" s="23">
        <f t="shared" si="90"/>
        <v>8.2083087310609551E-2</v>
      </c>
      <c r="T114" s="24">
        <f t="shared" si="91"/>
        <v>2.1551234963590953E-2</v>
      </c>
      <c r="U114" s="59">
        <f t="shared" si="92"/>
        <v>7.2180861717829007E-3</v>
      </c>
      <c r="V114" s="25">
        <f t="shared" si="93"/>
        <v>1.6778989984528214E-2</v>
      </c>
      <c r="W114" s="26">
        <f t="shared" si="94"/>
        <v>13.791730962672007</v>
      </c>
      <c r="X114" s="26">
        <f t="shared" si="95"/>
        <v>0.23141131569198126</v>
      </c>
      <c r="Y114" s="20">
        <v>13.461399999999999</v>
      </c>
      <c r="Z114" s="20">
        <v>13.5871</v>
      </c>
      <c r="AA114" s="27">
        <v>6389</v>
      </c>
      <c r="AB114" s="27">
        <v>184320523.15000001</v>
      </c>
      <c r="AC114" s="27">
        <v>0</v>
      </c>
      <c r="AD114" s="27">
        <v>538732.39</v>
      </c>
      <c r="AE114" s="111">
        <v>183781790.75999999</v>
      </c>
      <c r="AF114" s="190"/>
      <c r="AG114" s="190"/>
      <c r="AH114" s="190"/>
      <c r="AI114" s="190"/>
      <c r="AJ114" s="191"/>
      <c r="AK114" s="189"/>
      <c r="AL114" s="190"/>
      <c r="AM114" s="190"/>
      <c r="AN114" s="190"/>
      <c r="AO114" s="191"/>
      <c r="AP114" s="189"/>
      <c r="AQ114" s="190"/>
      <c r="AR114" s="190"/>
      <c r="AS114" s="190"/>
      <c r="AT114" s="191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5"/>
      <c r="ET114" s="75"/>
      <c r="EU114" s="75"/>
      <c r="EV114" s="75"/>
      <c r="EW114" s="75"/>
      <c r="EX114" s="75"/>
      <c r="EY114" s="75"/>
      <c r="EZ114" s="75"/>
      <c r="FA114" s="75"/>
      <c r="FB114" s="75"/>
      <c r="FC114" s="75"/>
      <c r="FD114" s="75"/>
      <c r="FE114" s="75"/>
      <c r="FF114" s="75"/>
      <c r="FG114" s="75"/>
      <c r="FH114" s="75"/>
      <c r="FI114" s="75"/>
      <c r="FJ114" s="75"/>
      <c r="FK114" s="75"/>
      <c r="FL114" s="75"/>
      <c r="FM114" s="75"/>
      <c r="FN114" s="75"/>
      <c r="FO114" s="75"/>
      <c r="FP114" s="75"/>
      <c r="FQ114" s="75"/>
      <c r="FR114" s="75"/>
      <c r="FS114" s="75"/>
      <c r="FT114" s="75"/>
      <c r="FU114" s="75"/>
      <c r="FV114" s="75"/>
      <c r="FW114" s="75"/>
      <c r="FX114" s="75"/>
      <c r="FY114" s="75"/>
      <c r="FZ114" s="75"/>
      <c r="GA114" s="75"/>
      <c r="GB114" s="75"/>
      <c r="GC114" s="75"/>
      <c r="GD114" s="75"/>
      <c r="GE114" s="75"/>
      <c r="GF114" s="75"/>
      <c r="GG114" s="75"/>
      <c r="GH114" s="75"/>
      <c r="GI114" s="75"/>
      <c r="GJ114" s="75"/>
      <c r="GK114" s="75"/>
      <c r="GL114" s="75"/>
      <c r="GM114" s="75"/>
      <c r="GN114" s="75"/>
      <c r="GO114" s="75"/>
      <c r="GP114" s="75"/>
      <c r="GQ114" s="75"/>
      <c r="GR114" s="75"/>
      <c r="GS114" s="75"/>
      <c r="GT114" s="75"/>
      <c r="GU114" s="75"/>
      <c r="GV114" s="75"/>
      <c r="GW114" s="75"/>
      <c r="GX114" s="75"/>
      <c r="GY114" s="75"/>
      <c r="GZ114" s="75"/>
      <c r="HA114" s="75"/>
      <c r="HB114" s="75"/>
      <c r="HC114" s="75"/>
      <c r="HD114" s="75"/>
      <c r="HE114" s="75"/>
      <c r="HF114" s="75"/>
      <c r="HG114" s="75"/>
      <c r="HH114" s="75"/>
      <c r="HI114" s="75"/>
      <c r="HJ114" s="75"/>
      <c r="HK114" s="75"/>
      <c r="HL114" s="75"/>
      <c r="HM114" s="75"/>
      <c r="HN114" s="75"/>
      <c r="HO114" s="75"/>
      <c r="HP114" s="75"/>
      <c r="HQ114" s="75"/>
      <c r="HR114" s="75"/>
      <c r="HS114" s="75"/>
      <c r="HT114" s="75"/>
      <c r="HU114" s="75"/>
      <c r="HV114" s="75"/>
      <c r="HW114" s="75"/>
      <c r="HX114" s="75"/>
      <c r="HY114" s="75"/>
      <c r="HZ114" s="75"/>
      <c r="IA114" s="75"/>
      <c r="IB114" s="75"/>
      <c r="IC114" s="75"/>
      <c r="ID114" s="75"/>
      <c r="IE114" s="75"/>
      <c r="IF114" s="75"/>
      <c r="IG114" s="75"/>
      <c r="IH114" s="75"/>
      <c r="II114" s="75"/>
      <c r="IJ114" s="75"/>
      <c r="IK114" s="75"/>
      <c r="IL114" s="75"/>
      <c r="IM114" s="75"/>
      <c r="IN114" s="75"/>
      <c r="IO114" s="75"/>
      <c r="IP114" s="75"/>
      <c r="IQ114" s="75"/>
      <c r="IR114" s="75"/>
      <c r="IS114" s="75"/>
      <c r="IT114" s="75"/>
      <c r="IU114" s="75"/>
      <c r="IV114" s="75"/>
    </row>
    <row r="115" spans="1:256" ht="16.5" customHeight="1" x14ac:dyDescent="0.3">
      <c r="A115" s="172">
        <v>98</v>
      </c>
      <c r="B115" s="57" t="s">
        <v>55</v>
      </c>
      <c r="C115" s="57" t="s">
        <v>134</v>
      </c>
      <c r="D115" s="20">
        <v>1948968147.8800001</v>
      </c>
      <c r="E115" s="20"/>
      <c r="F115" s="20">
        <v>1214230596.3699999</v>
      </c>
      <c r="G115" s="20">
        <v>1125827105.5599999</v>
      </c>
      <c r="H115" s="187"/>
      <c r="I115" s="188"/>
      <c r="J115" s="28">
        <v>4526276779</v>
      </c>
      <c r="K115" s="28">
        <v>22303089.27</v>
      </c>
      <c r="L115" s="20">
        <v>6451495.6699999999</v>
      </c>
      <c r="M115" s="152">
        <v>47450832.5</v>
      </c>
      <c r="N115" s="20">
        <v>4539519023.2399998</v>
      </c>
      <c r="O115" s="20">
        <v>13242244.25</v>
      </c>
      <c r="P115" s="81">
        <v>4360094062.2799997</v>
      </c>
      <c r="Q115" s="23">
        <f t="shared" si="89"/>
        <v>3.0862838813136935E-3</v>
      </c>
      <c r="R115" s="81">
        <v>4526276779</v>
      </c>
      <c r="S115" s="23">
        <f t="shared" si="90"/>
        <v>0.14657960072519416</v>
      </c>
      <c r="T115" s="24">
        <f t="shared" ref="T115:T124" si="96">((R115-P115)/P115)</f>
        <v>3.8114479721361623E-2</v>
      </c>
      <c r="U115" s="59">
        <f t="shared" ref="U115:U124" si="97">(L115/R115)</f>
        <v>1.4253427231697799E-3</v>
      </c>
      <c r="V115" s="25">
        <f>M115/R115</f>
        <v>1.0483413811579462E-2</v>
      </c>
      <c r="W115" s="26">
        <f t="shared" ref="W115:W124" si="98">R115/AE115</f>
        <v>192.79725248189527</v>
      </c>
      <c r="X115" s="26">
        <f t="shared" ref="X115:X120" si="99">M115/AE115</f>
        <v>2.0211733795032738</v>
      </c>
      <c r="Y115" s="20">
        <v>192.8</v>
      </c>
      <c r="Z115" s="20">
        <v>194.17</v>
      </c>
      <c r="AA115" s="27">
        <v>5469</v>
      </c>
      <c r="AB115" s="27">
        <v>23474756.16</v>
      </c>
      <c r="AC115" s="27">
        <v>24523.599999999999</v>
      </c>
      <c r="AD115" s="27">
        <v>22405.89</v>
      </c>
      <c r="AE115" s="111">
        <v>23476873.870000001</v>
      </c>
      <c r="AF115" s="5"/>
      <c r="AG115" s="5"/>
      <c r="AH115" s="5"/>
      <c r="AI115" s="5"/>
      <c r="AJ115" s="6"/>
      <c r="AK115" s="4"/>
      <c r="AL115" s="5"/>
      <c r="AM115" s="5"/>
      <c r="AN115" s="5"/>
      <c r="AO115" s="6"/>
      <c r="AP115" s="4"/>
      <c r="AQ115" s="5"/>
      <c r="AR115" s="5"/>
      <c r="AS115" s="5"/>
      <c r="AT115" s="6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  <row r="116" spans="1:256" s="192" customFormat="1" ht="16.5" customHeight="1" x14ac:dyDescent="0.3">
      <c r="A116" s="172">
        <v>99</v>
      </c>
      <c r="B116" s="58" t="s">
        <v>87</v>
      </c>
      <c r="C116" s="61" t="s">
        <v>135</v>
      </c>
      <c r="D116" s="20">
        <v>3355375749.3000002</v>
      </c>
      <c r="E116" s="20"/>
      <c r="F116" s="20">
        <v>70002589.189999998</v>
      </c>
      <c r="G116" s="20">
        <v>1030628719.8</v>
      </c>
      <c r="H116" s="29"/>
      <c r="I116" s="28"/>
      <c r="J116" s="28">
        <v>4456007058.29</v>
      </c>
      <c r="K116" s="28">
        <v>85626090</v>
      </c>
      <c r="L116" s="20">
        <v>6779554.4400000004</v>
      </c>
      <c r="M116" s="169">
        <v>315975526.75</v>
      </c>
      <c r="N116" s="20">
        <v>5354385828.6800003</v>
      </c>
      <c r="O116" s="20">
        <v>28153667.789999999</v>
      </c>
      <c r="P116" s="81">
        <v>5017723948.6599998</v>
      </c>
      <c r="Q116" s="23">
        <f t="shared" si="89"/>
        <v>3.5517858840717269E-3</v>
      </c>
      <c r="R116" s="81">
        <v>5326232160.8900003</v>
      </c>
      <c r="S116" s="23">
        <f t="shared" si="90"/>
        <v>0.17248547131168365</v>
      </c>
      <c r="T116" s="24">
        <f t="shared" si="96"/>
        <v>6.1483695672893413E-2</v>
      </c>
      <c r="U116" s="59">
        <f t="shared" si="97"/>
        <v>1.272861233834605E-3</v>
      </c>
      <c r="V116" s="25">
        <f>M116/R116</f>
        <v>5.9324399914479367E-2</v>
      </c>
      <c r="W116" s="26">
        <f t="shared" si="98"/>
        <v>194.0851984088477</v>
      </c>
      <c r="X116" s="26">
        <f t="shared" si="99"/>
        <v>11.513987927887555</v>
      </c>
      <c r="Y116" s="20">
        <v>191.51759999999999</v>
      </c>
      <c r="Z116" s="20">
        <v>195.73580000000001</v>
      </c>
      <c r="AA116" s="27">
        <v>25</v>
      </c>
      <c r="AB116" s="27">
        <v>27442753</v>
      </c>
      <c r="AC116" s="27">
        <v>0</v>
      </c>
      <c r="AD116" s="27">
        <v>0</v>
      </c>
      <c r="AE116" s="111">
        <v>27442753</v>
      </c>
      <c r="AF116" s="190"/>
      <c r="AG116" s="190"/>
      <c r="AH116" s="190"/>
      <c r="AI116" s="190"/>
      <c r="AJ116" s="191"/>
      <c r="AK116" s="189"/>
      <c r="AL116" s="190"/>
      <c r="AM116" s="190"/>
      <c r="AN116" s="190"/>
      <c r="AO116" s="191"/>
      <c r="AP116" s="189"/>
      <c r="AQ116" s="190"/>
      <c r="AR116" s="190"/>
      <c r="AS116" s="190"/>
      <c r="AT116" s="191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  <c r="EQ116" s="75"/>
      <c r="ER116" s="75"/>
      <c r="ES116" s="75"/>
      <c r="ET116" s="75"/>
      <c r="EU116" s="75"/>
      <c r="EV116" s="75"/>
      <c r="EW116" s="75"/>
      <c r="EX116" s="75"/>
      <c r="EY116" s="75"/>
      <c r="EZ116" s="75"/>
      <c r="FA116" s="75"/>
      <c r="FB116" s="75"/>
      <c r="FC116" s="75"/>
      <c r="FD116" s="75"/>
      <c r="FE116" s="75"/>
      <c r="FF116" s="75"/>
      <c r="FG116" s="75"/>
      <c r="FH116" s="75"/>
      <c r="FI116" s="75"/>
      <c r="FJ116" s="75"/>
      <c r="FK116" s="75"/>
      <c r="FL116" s="75"/>
      <c r="FM116" s="75"/>
      <c r="FN116" s="75"/>
      <c r="FO116" s="75"/>
      <c r="FP116" s="75"/>
      <c r="FQ116" s="75"/>
      <c r="FR116" s="75"/>
      <c r="FS116" s="75"/>
      <c r="FT116" s="75"/>
      <c r="FU116" s="75"/>
      <c r="FV116" s="75"/>
      <c r="FW116" s="75"/>
      <c r="FX116" s="75"/>
      <c r="FY116" s="75"/>
      <c r="FZ116" s="75"/>
      <c r="GA116" s="75"/>
      <c r="GB116" s="75"/>
      <c r="GC116" s="75"/>
      <c r="GD116" s="75"/>
      <c r="GE116" s="75"/>
      <c r="GF116" s="75"/>
      <c r="GG116" s="75"/>
      <c r="GH116" s="75"/>
      <c r="GI116" s="75"/>
      <c r="GJ116" s="75"/>
      <c r="GK116" s="75"/>
      <c r="GL116" s="75"/>
      <c r="GM116" s="75"/>
      <c r="GN116" s="75"/>
      <c r="GO116" s="75"/>
      <c r="GP116" s="75"/>
      <c r="GQ116" s="75"/>
      <c r="GR116" s="75"/>
      <c r="GS116" s="75"/>
      <c r="GT116" s="75"/>
      <c r="GU116" s="75"/>
      <c r="GV116" s="75"/>
      <c r="GW116" s="75"/>
      <c r="GX116" s="75"/>
      <c r="GY116" s="75"/>
      <c r="GZ116" s="75"/>
      <c r="HA116" s="75"/>
      <c r="HB116" s="75"/>
      <c r="HC116" s="75"/>
      <c r="HD116" s="75"/>
      <c r="HE116" s="75"/>
      <c r="HF116" s="75"/>
      <c r="HG116" s="75"/>
      <c r="HH116" s="75"/>
      <c r="HI116" s="75"/>
      <c r="HJ116" s="75"/>
      <c r="HK116" s="75"/>
      <c r="HL116" s="75"/>
      <c r="HM116" s="75"/>
      <c r="HN116" s="75"/>
      <c r="HO116" s="75"/>
      <c r="HP116" s="75"/>
      <c r="HQ116" s="75"/>
      <c r="HR116" s="75"/>
      <c r="HS116" s="75"/>
      <c r="HT116" s="75"/>
      <c r="HU116" s="75"/>
      <c r="HV116" s="75"/>
      <c r="HW116" s="75"/>
      <c r="HX116" s="75"/>
      <c r="HY116" s="75"/>
      <c r="HZ116" s="75"/>
      <c r="IA116" s="75"/>
      <c r="IB116" s="75"/>
      <c r="IC116" s="75"/>
      <c r="ID116" s="75"/>
      <c r="IE116" s="75"/>
      <c r="IF116" s="75"/>
      <c r="IG116" s="75"/>
      <c r="IH116" s="75"/>
      <c r="II116" s="75"/>
      <c r="IJ116" s="75"/>
      <c r="IK116" s="75"/>
      <c r="IL116" s="75"/>
      <c r="IM116" s="75"/>
      <c r="IN116" s="75"/>
      <c r="IO116" s="75"/>
      <c r="IP116" s="75"/>
      <c r="IQ116" s="75"/>
      <c r="IR116" s="75"/>
      <c r="IS116" s="75"/>
      <c r="IT116" s="75"/>
      <c r="IU116" s="75"/>
      <c r="IV116" s="75"/>
    </row>
    <row r="117" spans="1:256" s="192" customFormat="1" ht="16.5" customHeight="1" x14ac:dyDescent="0.3">
      <c r="A117" s="172">
        <v>100</v>
      </c>
      <c r="B117" s="58" t="s">
        <v>82</v>
      </c>
      <c r="C117" s="58" t="s">
        <v>174</v>
      </c>
      <c r="D117" s="20">
        <v>1131472244.3499999</v>
      </c>
      <c r="E117" s="20"/>
      <c r="F117" s="20">
        <v>616730848.41999996</v>
      </c>
      <c r="G117" s="20">
        <v>534961315.24000001</v>
      </c>
      <c r="H117" s="29"/>
      <c r="I117" s="28"/>
      <c r="J117" s="28">
        <v>2283164408.0100002</v>
      </c>
      <c r="K117" s="28">
        <v>29238879.120000001</v>
      </c>
      <c r="L117" s="20">
        <v>6220141.5</v>
      </c>
      <c r="M117" s="152">
        <v>23402612.140000001</v>
      </c>
      <c r="N117" s="20">
        <v>2284804611.3800001</v>
      </c>
      <c r="O117" s="20">
        <v>17115628.129999999</v>
      </c>
      <c r="P117" s="81">
        <v>2204449432.75</v>
      </c>
      <c r="Q117" s="23">
        <f t="shared" si="89"/>
        <v>1.5604151319409136E-3</v>
      </c>
      <c r="R117" s="81">
        <v>2283166530.9000001</v>
      </c>
      <c r="S117" s="23">
        <f t="shared" si="90"/>
        <v>7.3938394585402939E-2</v>
      </c>
      <c r="T117" s="24">
        <f t="shared" si="96"/>
        <v>3.5708280253814818E-2</v>
      </c>
      <c r="U117" s="59">
        <f t="shared" si="97"/>
        <v>2.7243485815938648E-3</v>
      </c>
      <c r="V117" s="25">
        <f>M117/R117</f>
        <v>1.0250067975013167E-2</v>
      </c>
      <c r="W117" s="26">
        <f t="shared" si="98"/>
        <v>4178.987553126286</v>
      </c>
      <c r="X117" s="26">
        <f t="shared" si="99"/>
        <v>42.834906486278378</v>
      </c>
      <c r="Y117" s="20">
        <v>4150.13</v>
      </c>
      <c r="Z117" s="20">
        <v>4216.3999999999996</v>
      </c>
      <c r="AA117" s="27">
        <v>830</v>
      </c>
      <c r="AB117" s="27">
        <v>545682.17000000004</v>
      </c>
      <c r="AC117" s="27">
        <v>811.23</v>
      </c>
      <c r="AD117" s="27">
        <v>148.97999999999999</v>
      </c>
      <c r="AE117" s="111">
        <v>546344.42000000004</v>
      </c>
      <c r="AF117" s="190"/>
      <c r="AG117" s="190"/>
      <c r="AH117" s="190"/>
      <c r="AI117" s="190"/>
      <c r="AJ117" s="191"/>
      <c r="AK117" s="189"/>
      <c r="AL117" s="190"/>
      <c r="AM117" s="190"/>
      <c r="AN117" s="190"/>
      <c r="AO117" s="191"/>
      <c r="AP117" s="189"/>
      <c r="AQ117" s="190"/>
      <c r="AR117" s="190"/>
      <c r="AS117" s="190"/>
      <c r="AT117" s="191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5"/>
      <c r="FF117" s="75"/>
      <c r="FG117" s="75"/>
      <c r="FH117" s="75"/>
      <c r="FI117" s="75"/>
      <c r="FJ117" s="75"/>
      <c r="FK117" s="75"/>
      <c r="FL117" s="75"/>
      <c r="FM117" s="75"/>
      <c r="FN117" s="75"/>
      <c r="FO117" s="75"/>
      <c r="FP117" s="75"/>
      <c r="FQ117" s="75"/>
      <c r="FR117" s="75"/>
      <c r="FS117" s="75"/>
      <c r="FT117" s="75"/>
      <c r="FU117" s="75"/>
      <c r="FV117" s="75"/>
      <c r="FW117" s="75"/>
      <c r="FX117" s="75"/>
      <c r="FY117" s="75"/>
      <c r="FZ117" s="75"/>
      <c r="GA117" s="75"/>
      <c r="GB117" s="75"/>
      <c r="GC117" s="75"/>
      <c r="GD117" s="75"/>
      <c r="GE117" s="75"/>
      <c r="GF117" s="75"/>
      <c r="GG117" s="75"/>
      <c r="GH117" s="75"/>
      <c r="GI117" s="75"/>
      <c r="GJ117" s="75"/>
      <c r="GK117" s="75"/>
      <c r="GL117" s="75"/>
      <c r="GM117" s="75"/>
      <c r="GN117" s="75"/>
      <c r="GO117" s="75"/>
      <c r="GP117" s="75"/>
      <c r="GQ117" s="75"/>
      <c r="GR117" s="75"/>
      <c r="GS117" s="75"/>
      <c r="GT117" s="75"/>
      <c r="GU117" s="75"/>
      <c r="GV117" s="75"/>
      <c r="GW117" s="75"/>
      <c r="GX117" s="75"/>
      <c r="GY117" s="75"/>
      <c r="GZ117" s="75"/>
      <c r="HA117" s="75"/>
      <c r="HB117" s="75"/>
      <c r="HC117" s="75"/>
      <c r="HD117" s="75"/>
      <c r="HE117" s="75"/>
      <c r="HF117" s="75"/>
      <c r="HG117" s="75"/>
      <c r="HH117" s="75"/>
      <c r="HI117" s="75"/>
      <c r="HJ117" s="75"/>
      <c r="HK117" s="75"/>
      <c r="HL117" s="75"/>
      <c r="HM117" s="75"/>
      <c r="HN117" s="75"/>
      <c r="HO117" s="75"/>
      <c r="HP117" s="75"/>
      <c r="HQ117" s="75"/>
      <c r="HR117" s="75"/>
      <c r="HS117" s="75"/>
      <c r="HT117" s="75"/>
      <c r="HU117" s="75"/>
      <c r="HV117" s="75"/>
      <c r="HW117" s="75"/>
      <c r="HX117" s="75"/>
      <c r="HY117" s="75"/>
      <c r="HZ117" s="75"/>
      <c r="IA117" s="75"/>
      <c r="IB117" s="75"/>
      <c r="IC117" s="75"/>
      <c r="ID117" s="75"/>
      <c r="IE117" s="75"/>
      <c r="IF117" s="75"/>
      <c r="IG117" s="75"/>
      <c r="IH117" s="75"/>
      <c r="II117" s="75"/>
      <c r="IJ117" s="75"/>
      <c r="IK117" s="75"/>
      <c r="IL117" s="75"/>
      <c r="IM117" s="75"/>
      <c r="IN117" s="75"/>
      <c r="IO117" s="75"/>
      <c r="IP117" s="75"/>
      <c r="IQ117" s="75"/>
      <c r="IR117" s="75"/>
      <c r="IS117" s="75"/>
      <c r="IT117" s="75"/>
      <c r="IU117" s="75"/>
      <c r="IV117" s="75"/>
    </row>
    <row r="118" spans="1:256" s="192" customFormat="1" ht="16.5" customHeight="1" x14ac:dyDescent="0.3">
      <c r="A118" s="172">
        <v>101</v>
      </c>
      <c r="B118" s="58" t="s">
        <v>78</v>
      </c>
      <c r="C118" s="193" t="s">
        <v>176</v>
      </c>
      <c r="D118" s="20">
        <v>974458583.13</v>
      </c>
      <c r="E118" s="20"/>
      <c r="F118" s="20"/>
      <c r="G118" s="20">
        <v>618060357.38</v>
      </c>
      <c r="H118" s="29"/>
      <c r="I118" s="28"/>
      <c r="J118" s="28">
        <v>2144373883.1600001</v>
      </c>
      <c r="K118" s="28">
        <v>39287604.170000002</v>
      </c>
      <c r="L118" s="20">
        <v>8556356.3900000006</v>
      </c>
      <c r="M118" s="152">
        <v>123946844.34</v>
      </c>
      <c r="N118" s="20">
        <v>2229347841.54</v>
      </c>
      <c r="O118" s="20">
        <v>221451866.83000001</v>
      </c>
      <c r="P118" s="81">
        <v>1893922960.97</v>
      </c>
      <c r="Q118" s="23">
        <f t="shared" si="89"/>
        <v>1.3406095885543866E-3</v>
      </c>
      <c r="R118" s="81">
        <v>2007895974.71</v>
      </c>
      <c r="S118" s="23">
        <f t="shared" si="90"/>
        <v>6.502399314956174E-2</v>
      </c>
      <c r="T118" s="24">
        <f t="shared" si="96"/>
        <v>6.017827339799877E-2</v>
      </c>
      <c r="U118" s="59">
        <f t="shared" si="97"/>
        <v>4.2613544216282386E-3</v>
      </c>
      <c r="V118" s="25">
        <f>M118/R118</f>
        <v>6.1729714039544116E-2</v>
      </c>
      <c r="W118" s="26">
        <f t="shared" si="98"/>
        <v>1.3286709711642732</v>
      </c>
      <c r="X118" s="26">
        <f t="shared" si="99"/>
        <v>8.201847910261395E-2</v>
      </c>
      <c r="Y118" s="20">
        <v>1.3130999999999999</v>
      </c>
      <c r="Z118" s="20">
        <v>1.3388</v>
      </c>
      <c r="AA118" s="27">
        <v>10334</v>
      </c>
      <c r="AB118" s="27">
        <v>1507526761.25</v>
      </c>
      <c r="AC118" s="20">
        <v>9981985.1300000008</v>
      </c>
      <c r="AD118" s="20">
        <v>6302421.9500000002</v>
      </c>
      <c r="AE118" s="150">
        <f>(AB118+AC118)-AD118</f>
        <v>1511206324.4300001</v>
      </c>
      <c r="AF118" s="190"/>
      <c r="AG118" s="190"/>
      <c r="AH118" s="190"/>
      <c r="AI118" s="190"/>
      <c r="AJ118" s="191"/>
      <c r="AK118" s="189"/>
      <c r="AL118" s="190"/>
      <c r="AM118" s="190"/>
      <c r="AN118" s="190"/>
      <c r="AO118" s="191"/>
      <c r="AP118" s="189"/>
      <c r="AQ118" s="190"/>
      <c r="AR118" s="190"/>
      <c r="AS118" s="190"/>
      <c r="AT118" s="191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  <c r="EO118" s="75"/>
      <c r="EP118" s="75"/>
      <c r="EQ118" s="75"/>
      <c r="ER118" s="75"/>
      <c r="ES118" s="75"/>
      <c r="ET118" s="75"/>
      <c r="EU118" s="75"/>
      <c r="EV118" s="75"/>
      <c r="EW118" s="75"/>
      <c r="EX118" s="75"/>
      <c r="EY118" s="75"/>
      <c r="EZ118" s="75"/>
      <c r="FA118" s="75"/>
      <c r="FB118" s="75"/>
      <c r="FC118" s="75"/>
      <c r="FD118" s="75"/>
      <c r="FE118" s="75"/>
      <c r="FF118" s="75"/>
      <c r="FG118" s="75"/>
      <c r="FH118" s="75"/>
      <c r="FI118" s="75"/>
      <c r="FJ118" s="75"/>
      <c r="FK118" s="75"/>
      <c r="FL118" s="75"/>
      <c r="FM118" s="75"/>
      <c r="FN118" s="75"/>
      <c r="FO118" s="75"/>
      <c r="FP118" s="75"/>
      <c r="FQ118" s="75"/>
      <c r="FR118" s="75"/>
      <c r="FS118" s="75"/>
      <c r="FT118" s="75"/>
      <c r="FU118" s="75"/>
      <c r="FV118" s="75"/>
      <c r="FW118" s="75"/>
      <c r="FX118" s="75"/>
      <c r="FY118" s="75"/>
      <c r="FZ118" s="75"/>
      <c r="GA118" s="75"/>
      <c r="GB118" s="75"/>
      <c r="GC118" s="75"/>
      <c r="GD118" s="75"/>
      <c r="GE118" s="75"/>
      <c r="GF118" s="75"/>
      <c r="GG118" s="75"/>
      <c r="GH118" s="75"/>
      <c r="GI118" s="75"/>
      <c r="GJ118" s="75"/>
      <c r="GK118" s="75"/>
      <c r="GL118" s="75"/>
      <c r="GM118" s="75"/>
      <c r="GN118" s="75"/>
      <c r="GO118" s="75"/>
      <c r="GP118" s="75"/>
      <c r="GQ118" s="75"/>
      <c r="GR118" s="75"/>
      <c r="GS118" s="75"/>
      <c r="GT118" s="75"/>
      <c r="GU118" s="75"/>
      <c r="GV118" s="75"/>
      <c r="GW118" s="75"/>
      <c r="GX118" s="75"/>
      <c r="GY118" s="75"/>
      <c r="GZ118" s="75"/>
      <c r="HA118" s="75"/>
      <c r="HB118" s="75"/>
      <c r="HC118" s="75"/>
      <c r="HD118" s="75"/>
      <c r="HE118" s="75"/>
      <c r="HF118" s="75"/>
      <c r="HG118" s="75"/>
      <c r="HH118" s="75"/>
      <c r="HI118" s="75"/>
      <c r="HJ118" s="75"/>
      <c r="HK118" s="75"/>
      <c r="HL118" s="75"/>
      <c r="HM118" s="75"/>
      <c r="HN118" s="75"/>
      <c r="HO118" s="75"/>
      <c r="HP118" s="75"/>
      <c r="HQ118" s="75"/>
      <c r="HR118" s="75"/>
      <c r="HS118" s="75"/>
      <c r="HT118" s="75"/>
      <c r="HU118" s="75"/>
      <c r="HV118" s="75"/>
      <c r="HW118" s="75"/>
      <c r="HX118" s="75"/>
      <c r="HY118" s="75"/>
      <c r="HZ118" s="75"/>
      <c r="IA118" s="75"/>
      <c r="IB118" s="75"/>
      <c r="IC118" s="75"/>
      <c r="ID118" s="75"/>
      <c r="IE118" s="75"/>
      <c r="IF118" s="75"/>
      <c r="IG118" s="75"/>
      <c r="IH118" s="75"/>
      <c r="II118" s="75"/>
      <c r="IJ118" s="75"/>
      <c r="IK118" s="75"/>
      <c r="IL118" s="75"/>
      <c r="IM118" s="75"/>
      <c r="IN118" s="75"/>
      <c r="IO118" s="75"/>
      <c r="IP118" s="75"/>
      <c r="IQ118" s="75"/>
      <c r="IR118" s="75"/>
      <c r="IS118" s="75"/>
      <c r="IT118" s="75"/>
      <c r="IU118" s="75"/>
      <c r="IV118" s="75"/>
    </row>
    <row r="119" spans="1:256" s="192" customFormat="1" ht="16.5" customHeight="1" x14ac:dyDescent="0.3">
      <c r="A119" s="172">
        <v>102</v>
      </c>
      <c r="B119" s="57" t="s">
        <v>27</v>
      </c>
      <c r="C119" s="58" t="s">
        <v>137</v>
      </c>
      <c r="D119" s="20">
        <v>177081288.34999999</v>
      </c>
      <c r="E119" s="20"/>
      <c r="F119" s="20">
        <v>988962292.08000004</v>
      </c>
      <c r="G119" s="20"/>
      <c r="H119" s="29"/>
      <c r="I119" s="28"/>
      <c r="J119" s="28">
        <v>1166043580.4300001</v>
      </c>
      <c r="K119" s="28">
        <v>36852150.340000004</v>
      </c>
      <c r="L119" s="20">
        <v>2159273.5099999998</v>
      </c>
      <c r="M119" s="152">
        <v>4681965.74</v>
      </c>
      <c r="N119" s="20">
        <v>1239214875.3499999</v>
      </c>
      <c r="O119" s="20">
        <v>22404826.300000001</v>
      </c>
      <c r="P119" s="81">
        <v>1206621658.98</v>
      </c>
      <c r="Q119" s="23">
        <f t="shared" si="89"/>
        <v>8.5410473346682889E-4</v>
      </c>
      <c r="R119" s="81">
        <v>1216810049.05</v>
      </c>
      <c r="S119" s="23">
        <f t="shared" si="90"/>
        <v>3.9405352314216692E-2</v>
      </c>
      <c r="T119" s="24">
        <f t="shared" si="96"/>
        <v>8.4437321294336294E-3</v>
      </c>
      <c r="U119" s="59">
        <f t="shared" si="97"/>
        <v>1.774536224191943E-3</v>
      </c>
      <c r="V119" s="25">
        <f>M119/R119</f>
        <v>3.8477375689454168E-3</v>
      </c>
      <c r="W119" s="26">
        <f t="shared" si="98"/>
        <v>1631.2219975199409</v>
      </c>
      <c r="X119" s="26">
        <f t="shared" si="99"/>
        <v>6.276514163147664</v>
      </c>
      <c r="Y119" s="20">
        <v>552.20000000000005</v>
      </c>
      <c r="Z119" s="20">
        <v>552.20000000000005</v>
      </c>
      <c r="AA119" s="27">
        <v>830</v>
      </c>
      <c r="AB119" s="27">
        <v>745950</v>
      </c>
      <c r="AC119" s="27">
        <v>0</v>
      </c>
      <c r="AD119" s="27">
        <v>0</v>
      </c>
      <c r="AE119" s="111">
        <v>745950</v>
      </c>
      <c r="AF119" s="190"/>
      <c r="AG119" s="190"/>
      <c r="AH119" s="190"/>
      <c r="AI119" s="190"/>
      <c r="AJ119" s="191"/>
      <c r="AK119" s="189"/>
      <c r="AL119" s="190"/>
      <c r="AM119" s="190"/>
      <c r="AN119" s="190"/>
      <c r="AO119" s="191"/>
      <c r="AP119" s="189"/>
      <c r="AQ119" s="190"/>
      <c r="AR119" s="190"/>
      <c r="AS119" s="190"/>
      <c r="AT119" s="191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  <c r="EQ119" s="75"/>
      <c r="ER119" s="75"/>
      <c r="ES119" s="75"/>
      <c r="ET119" s="75"/>
      <c r="EU119" s="75"/>
      <c r="EV119" s="75"/>
      <c r="EW119" s="75"/>
      <c r="EX119" s="75"/>
      <c r="EY119" s="75"/>
      <c r="EZ119" s="75"/>
      <c r="FA119" s="75"/>
      <c r="FB119" s="75"/>
      <c r="FC119" s="75"/>
      <c r="FD119" s="75"/>
      <c r="FE119" s="75"/>
      <c r="FF119" s="75"/>
      <c r="FG119" s="75"/>
      <c r="FH119" s="75"/>
      <c r="FI119" s="75"/>
      <c r="FJ119" s="75"/>
      <c r="FK119" s="75"/>
      <c r="FL119" s="75"/>
      <c r="FM119" s="75"/>
      <c r="FN119" s="75"/>
      <c r="FO119" s="75"/>
      <c r="FP119" s="75"/>
      <c r="FQ119" s="75"/>
      <c r="FR119" s="75"/>
      <c r="FS119" s="75"/>
      <c r="FT119" s="75"/>
      <c r="FU119" s="75"/>
      <c r="FV119" s="75"/>
      <c r="FW119" s="75"/>
      <c r="FX119" s="75"/>
      <c r="FY119" s="75"/>
      <c r="FZ119" s="75"/>
      <c r="GA119" s="75"/>
      <c r="GB119" s="75"/>
      <c r="GC119" s="75"/>
      <c r="GD119" s="75"/>
      <c r="GE119" s="75"/>
      <c r="GF119" s="75"/>
      <c r="GG119" s="75"/>
      <c r="GH119" s="75"/>
      <c r="GI119" s="75"/>
      <c r="GJ119" s="75"/>
      <c r="GK119" s="75"/>
      <c r="GL119" s="75"/>
      <c r="GM119" s="75"/>
      <c r="GN119" s="75"/>
      <c r="GO119" s="75"/>
      <c r="GP119" s="75"/>
      <c r="GQ119" s="75"/>
      <c r="GR119" s="75"/>
      <c r="GS119" s="75"/>
      <c r="GT119" s="75"/>
      <c r="GU119" s="75"/>
      <c r="GV119" s="75"/>
      <c r="GW119" s="75"/>
      <c r="GX119" s="75"/>
      <c r="GY119" s="75"/>
      <c r="GZ119" s="75"/>
      <c r="HA119" s="75"/>
      <c r="HB119" s="75"/>
      <c r="HC119" s="75"/>
      <c r="HD119" s="75"/>
      <c r="HE119" s="75"/>
      <c r="HF119" s="75"/>
      <c r="HG119" s="75"/>
      <c r="HH119" s="75"/>
      <c r="HI119" s="75"/>
      <c r="HJ119" s="75"/>
      <c r="HK119" s="75"/>
      <c r="HL119" s="75"/>
      <c r="HM119" s="75"/>
      <c r="HN119" s="75"/>
      <c r="HO119" s="75"/>
      <c r="HP119" s="75"/>
      <c r="HQ119" s="75"/>
      <c r="HR119" s="75"/>
      <c r="HS119" s="75"/>
      <c r="HT119" s="75"/>
      <c r="HU119" s="75"/>
      <c r="HV119" s="75"/>
      <c r="HW119" s="75"/>
      <c r="HX119" s="75"/>
      <c r="HY119" s="75"/>
      <c r="HZ119" s="75"/>
      <c r="IA119" s="75"/>
      <c r="IB119" s="75"/>
      <c r="IC119" s="75"/>
      <c r="ID119" s="75"/>
      <c r="IE119" s="75"/>
      <c r="IF119" s="75"/>
      <c r="IG119" s="75"/>
      <c r="IH119" s="75"/>
      <c r="II119" s="75"/>
      <c r="IJ119" s="75"/>
      <c r="IK119" s="75"/>
      <c r="IL119" s="75"/>
      <c r="IM119" s="75"/>
      <c r="IN119" s="75"/>
      <c r="IO119" s="75"/>
      <c r="IP119" s="75"/>
      <c r="IQ119" s="75"/>
      <c r="IR119" s="75"/>
      <c r="IS119" s="75"/>
      <c r="IT119" s="75"/>
      <c r="IU119" s="75"/>
      <c r="IV119" s="75"/>
    </row>
    <row r="120" spans="1:256" s="192" customFormat="1" ht="16.5" customHeight="1" x14ac:dyDescent="0.3">
      <c r="A120" s="172">
        <v>103</v>
      </c>
      <c r="B120" s="57" t="s">
        <v>44</v>
      </c>
      <c r="C120" s="58" t="s">
        <v>140</v>
      </c>
      <c r="D120" s="20">
        <v>1138254935</v>
      </c>
      <c r="E120" s="20"/>
      <c r="F120" s="20">
        <v>522401242.98000002</v>
      </c>
      <c r="G120" s="20">
        <v>492331243.85000002</v>
      </c>
      <c r="H120" s="29"/>
      <c r="I120" s="28"/>
      <c r="J120" s="28">
        <v>2152987421.8299999</v>
      </c>
      <c r="K120" s="28">
        <v>63679791.729999997</v>
      </c>
      <c r="L120" s="20">
        <v>5234035.72</v>
      </c>
      <c r="M120" s="152">
        <v>101865583.61</v>
      </c>
      <c r="N120" s="20">
        <v>2154019090.9899998</v>
      </c>
      <c r="O120" s="20">
        <v>74929363.439999998</v>
      </c>
      <c r="P120" s="81">
        <v>2011516457.0899999</v>
      </c>
      <c r="Q120" s="23">
        <f t="shared" si="89"/>
        <v>1.4238479101223154E-3</v>
      </c>
      <c r="R120" s="81">
        <v>2079089727.54</v>
      </c>
      <c r="S120" s="23">
        <f t="shared" si="90"/>
        <v>6.7329541920323185E-2</v>
      </c>
      <c r="T120" s="24">
        <f t="shared" si="96"/>
        <v>3.3593197913854636E-2</v>
      </c>
      <c r="U120" s="59">
        <f t="shared" si="97"/>
        <v>2.5174650476451365E-3</v>
      </c>
      <c r="V120" s="25">
        <f ca="1">V120/R120</f>
        <v>0</v>
      </c>
      <c r="W120" s="26">
        <f t="shared" si="98"/>
        <v>2.9925065737741217</v>
      </c>
      <c r="X120" s="26">
        <f t="shared" si="99"/>
        <v>0.14661869786396589</v>
      </c>
      <c r="Y120" s="20">
        <v>3.03</v>
      </c>
      <c r="Z120" s="20">
        <v>3.1</v>
      </c>
      <c r="AA120" s="27">
        <v>2026</v>
      </c>
      <c r="AB120" s="27">
        <v>698440773.46000004</v>
      </c>
      <c r="AC120" s="27">
        <v>72615.94</v>
      </c>
      <c r="AD120" s="27">
        <v>3748089.38</v>
      </c>
      <c r="AE120" s="111">
        <v>694765300.01999998</v>
      </c>
      <c r="AF120" s="190"/>
      <c r="AG120" s="190"/>
      <c r="AH120" s="190"/>
      <c r="AI120" s="190"/>
      <c r="AJ120" s="191"/>
      <c r="AK120" s="189"/>
      <c r="AL120" s="190"/>
      <c r="AM120" s="190"/>
      <c r="AN120" s="190"/>
      <c r="AO120" s="191"/>
      <c r="AP120" s="189"/>
      <c r="AQ120" s="190"/>
      <c r="AR120" s="190"/>
      <c r="AS120" s="190"/>
      <c r="AT120" s="191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  <c r="EU120" s="75"/>
      <c r="EV120" s="75"/>
      <c r="EW120" s="75"/>
      <c r="EX120" s="75"/>
      <c r="EY120" s="75"/>
      <c r="EZ120" s="75"/>
      <c r="FA120" s="75"/>
      <c r="FB120" s="75"/>
      <c r="FC120" s="75"/>
      <c r="FD120" s="75"/>
      <c r="FE120" s="75"/>
      <c r="FF120" s="75"/>
      <c r="FG120" s="75"/>
      <c r="FH120" s="75"/>
      <c r="FI120" s="75"/>
      <c r="FJ120" s="75"/>
      <c r="FK120" s="75"/>
      <c r="FL120" s="75"/>
      <c r="FM120" s="75"/>
      <c r="FN120" s="75"/>
      <c r="FO120" s="75"/>
      <c r="FP120" s="75"/>
      <c r="FQ120" s="75"/>
      <c r="FR120" s="75"/>
      <c r="FS120" s="75"/>
      <c r="FT120" s="75"/>
      <c r="FU120" s="75"/>
      <c r="FV120" s="75"/>
      <c r="FW120" s="75"/>
      <c r="FX120" s="75"/>
      <c r="FY120" s="75"/>
      <c r="FZ120" s="75"/>
      <c r="GA120" s="75"/>
      <c r="GB120" s="75"/>
      <c r="GC120" s="75"/>
      <c r="GD120" s="75"/>
      <c r="GE120" s="75"/>
      <c r="GF120" s="75"/>
      <c r="GG120" s="75"/>
      <c r="GH120" s="75"/>
      <c r="GI120" s="75"/>
      <c r="GJ120" s="75"/>
      <c r="GK120" s="75"/>
      <c r="GL120" s="75"/>
      <c r="GM120" s="75"/>
      <c r="GN120" s="75"/>
      <c r="GO120" s="75"/>
      <c r="GP120" s="75"/>
      <c r="GQ120" s="75"/>
      <c r="GR120" s="75"/>
      <c r="GS120" s="75"/>
      <c r="GT120" s="75"/>
      <c r="GU120" s="75"/>
      <c r="GV120" s="75"/>
      <c r="GW120" s="75"/>
      <c r="GX120" s="75"/>
      <c r="GY120" s="75"/>
      <c r="GZ120" s="75"/>
      <c r="HA120" s="75"/>
      <c r="HB120" s="75"/>
      <c r="HC120" s="75"/>
      <c r="HD120" s="75"/>
      <c r="HE120" s="75"/>
      <c r="HF120" s="75"/>
      <c r="HG120" s="75"/>
      <c r="HH120" s="75"/>
      <c r="HI120" s="75"/>
      <c r="HJ120" s="75"/>
      <c r="HK120" s="75"/>
      <c r="HL120" s="75"/>
      <c r="HM120" s="75"/>
      <c r="HN120" s="75"/>
      <c r="HO120" s="75"/>
      <c r="HP120" s="75"/>
      <c r="HQ120" s="75"/>
      <c r="HR120" s="75"/>
      <c r="HS120" s="75"/>
      <c r="HT120" s="75"/>
      <c r="HU120" s="75"/>
      <c r="HV120" s="75"/>
      <c r="HW120" s="75"/>
      <c r="HX120" s="75"/>
      <c r="HY120" s="75"/>
      <c r="HZ120" s="75"/>
      <c r="IA120" s="75"/>
      <c r="IB120" s="75"/>
      <c r="IC120" s="75"/>
      <c r="ID120" s="75"/>
      <c r="IE120" s="75"/>
      <c r="IF120" s="75"/>
      <c r="IG120" s="75"/>
      <c r="IH120" s="75"/>
      <c r="II120" s="75"/>
      <c r="IJ120" s="75"/>
      <c r="IK120" s="75"/>
      <c r="IL120" s="75"/>
      <c r="IM120" s="75"/>
      <c r="IN120" s="75"/>
      <c r="IO120" s="75"/>
      <c r="IP120" s="75"/>
      <c r="IQ120" s="75"/>
      <c r="IR120" s="75"/>
      <c r="IS120" s="75"/>
      <c r="IT120" s="75"/>
      <c r="IU120" s="75"/>
      <c r="IV120" s="75"/>
    </row>
    <row r="121" spans="1:256" s="192" customFormat="1" ht="16.5" customHeight="1" x14ac:dyDescent="0.3">
      <c r="A121" s="172">
        <v>104</v>
      </c>
      <c r="B121" s="57" t="s">
        <v>46</v>
      </c>
      <c r="C121" s="57" t="s">
        <v>141</v>
      </c>
      <c r="D121" s="20">
        <v>79976606.200000003</v>
      </c>
      <c r="E121" s="20"/>
      <c r="F121" s="20">
        <v>29352602.73</v>
      </c>
      <c r="G121" s="20">
        <v>52075081.219999999</v>
      </c>
      <c r="H121" s="77"/>
      <c r="I121" s="28"/>
      <c r="J121" s="28">
        <v>162328290.15000001</v>
      </c>
      <c r="K121" s="28">
        <v>4088785.98</v>
      </c>
      <c r="L121" s="20">
        <v>171727.73</v>
      </c>
      <c r="M121" s="152">
        <v>3917058.25</v>
      </c>
      <c r="N121" s="20">
        <v>172018202.16999999</v>
      </c>
      <c r="O121" s="20">
        <v>2208559.7799999998</v>
      </c>
      <c r="P121" s="81">
        <v>152427445.25999999</v>
      </c>
      <c r="Q121" s="23">
        <f t="shared" si="89"/>
        <v>1.0789546295470555E-4</v>
      </c>
      <c r="R121" s="81">
        <v>169809642.38999999</v>
      </c>
      <c r="S121" s="23">
        <f t="shared" si="90"/>
        <v>5.4991399766572257E-3</v>
      </c>
      <c r="T121" s="24">
        <f t="shared" si="96"/>
        <v>0.11403587523461191</v>
      </c>
      <c r="U121" s="59">
        <f t="shared" si="97"/>
        <v>1.0112955164559782E-3</v>
      </c>
      <c r="V121" s="25">
        <f>M120/R121</f>
        <v>0.59988103252727198</v>
      </c>
      <c r="W121" s="26">
        <f t="shared" si="98"/>
        <v>1.720221796227553</v>
      </c>
      <c r="X121" s="26">
        <f>M120/AE121</f>
        <v>1.0319284272969029</v>
      </c>
      <c r="Y121" s="20">
        <v>1.7202</v>
      </c>
      <c r="Z121" s="20">
        <v>1.7425999999999999</v>
      </c>
      <c r="AA121" s="27">
        <v>100</v>
      </c>
      <c r="AB121" s="27">
        <v>98620919</v>
      </c>
      <c r="AC121" s="27">
        <v>92888</v>
      </c>
      <c r="AD121" s="27">
        <v>0</v>
      </c>
      <c r="AE121" s="111">
        <v>98713807</v>
      </c>
      <c r="AF121" s="190"/>
      <c r="AG121" s="190"/>
      <c r="AH121" s="190"/>
      <c r="AI121" s="190"/>
      <c r="AJ121" s="191"/>
      <c r="AK121" s="189"/>
      <c r="AL121" s="190"/>
      <c r="AM121" s="190"/>
      <c r="AN121" s="190"/>
      <c r="AO121" s="191"/>
      <c r="AP121" s="189"/>
      <c r="AQ121" s="190"/>
      <c r="AR121" s="190"/>
      <c r="AS121" s="190"/>
      <c r="AT121" s="191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  <c r="EQ121" s="75"/>
      <c r="ER121" s="75"/>
      <c r="ES121" s="75"/>
      <c r="ET121" s="75"/>
      <c r="EU121" s="75"/>
      <c r="EV121" s="75"/>
      <c r="EW121" s="75"/>
      <c r="EX121" s="75"/>
      <c r="EY121" s="75"/>
      <c r="EZ121" s="75"/>
      <c r="FA121" s="75"/>
      <c r="FB121" s="75"/>
      <c r="FC121" s="75"/>
      <c r="FD121" s="75"/>
      <c r="FE121" s="75"/>
      <c r="FF121" s="75"/>
      <c r="FG121" s="75"/>
      <c r="FH121" s="75"/>
      <c r="FI121" s="75"/>
      <c r="FJ121" s="75"/>
      <c r="FK121" s="75"/>
      <c r="FL121" s="75"/>
      <c r="FM121" s="75"/>
      <c r="FN121" s="75"/>
      <c r="FO121" s="75"/>
      <c r="FP121" s="75"/>
      <c r="FQ121" s="75"/>
      <c r="FR121" s="75"/>
      <c r="FS121" s="75"/>
      <c r="FT121" s="75"/>
      <c r="FU121" s="75"/>
      <c r="FV121" s="75"/>
      <c r="FW121" s="75"/>
      <c r="FX121" s="75"/>
      <c r="FY121" s="75"/>
      <c r="FZ121" s="75"/>
      <c r="GA121" s="75"/>
      <c r="GB121" s="75"/>
      <c r="GC121" s="75"/>
      <c r="GD121" s="75"/>
      <c r="GE121" s="75"/>
      <c r="GF121" s="75"/>
      <c r="GG121" s="75"/>
      <c r="GH121" s="75"/>
      <c r="GI121" s="75"/>
      <c r="GJ121" s="75"/>
      <c r="GK121" s="75"/>
      <c r="GL121" s="75"/>
      <c r="GM121" s="75"/>
      <c r="GN121" s="75"/>
      <c r="GO121" s="75"/>
      <c r="GP121" s="75"/>
      <c r="GQ121" s="75"/>
      <c r="GR121" s="75"/>
      <c r="GS121" s="75"/>
      <c r="GT121" s="75"/>
      <c r="GU121" s="75"/>
      <c r="GV121" s="75"/>
      <c r="GW121" s="75"/>
      <c r="GX121" s="75"/>
      <c r="GY121" s="75"/>
      <c r="GZ121" s="75"/>
      <c r="HA121" s="75"/>
      <c r="HB121" s="75"/>
      <c r="HC121" s="75"/>
      <c r="HD121" s="75"/>
      <c r="HE121" s="75"/>
      <c r="HF121" s="75"/>
      <c r="HG121" s="75"/>
      <c r="HH121" s="75"/>
      <c r="HI121" s="75"/>
      <c r="HJ121" s="75"/>
      <c r="HK121" s="75"/>
      <c r="HL121" s="75"/>
      <c r="HM121" s="75"/>
      <c r="HN121" s="75"/>
      <c r="HO121" s="75"/>
      <c r="HP121" s="75"/>
      <c r="HQ121" s="75"/>
      <c r="HR121" s="75"/>
      <c r="HS121" s="75"/>
      <c r="HT121" s="75"/>
      <c r="HU121" s="75"/>
      <c r="HV121" s="75"/>
      <c r="HW121" s="75"/>
      <c r="HX121" s="75"/>
      <c r="HY121" s="75"/>
      <c r="HZ121" s="75"/>
      <c r="IA121" s="75"/>
      <c r="IB121" s="75"/>
      <c r="IC121" s="75"/>
      <c r="ID121" s="75"/>
      <c r="IE121" s="75"/>
      <c r="IF121" s="75"/>
      <c r="IG121" s="75"/>
      <c r="IH121" s="75"/>
      <c r="II121" s="75"/>
      <c r="IJ121" s="75"/>
      <c r="IK121" s="75"/>
      <c r="IL121" s="75"/>
      <c r="IM121" s="75"/>
      <c r="IN121" s="75"/>
      <c r="IO121" s="75"/>
      <c r="IP121" s="75"/>
      <c r="IQ121" s="75"/>
      <c r="IR121" s="75"/>
      <c r="IS121" s="75"/>
      <c r="IT121" s="75"/>
      <c r="IU121" s="75"/>
      <c r="IV121" s="75"/>
    </row>
    <row r="122" spans="1:256" s="192" customFormat="1" ht="16.5" customHeight="1" x14ac:dyDescent="0.3">
      <c r="A122" s="172">
        <v>105</v>
      </c>
      <c r="B122" s="58" t="s">
        <v>33</v>
      </c>
      <c r="C122" s="58" t="s">
        <v>136</v>
      </c>
      <c r="D122" s="20">
        <v>267497399</v>
      </c>
      <c r="E122" s="20"/>
      <c r="F122" s="20">
        <v>9483188</v>
      </c>
      <c r="G122" s="20"/>
      <c r="H122" s="29"/>
      <c r="I122" s="28"/>
      <c r="J122" s="28">
        <v>276980587.66000003</v>
      </c>
      <c r="K122" s="28">
        <v>7212269.4400000004</v>
      </c>
      <c r="L122" s="20">
        <v>1116920</v>
      </c>
      <c r="M122" s="152">
        <v>23563867</v>
      </c>
      <c r="N122" s="20">
        <v>647775988</v>
      </c>
      <c r="O122" s="20">
        <v>24934766</v>
      </c>
      <c r="P122" s="81">
        <v>604205097</v>
      </c>
      <c r="Q122" s="23">
        <f t="shared" si="89"/>
        <v>4.2768537220583589E-4</v>
      </c>
      <c r="R122" s="81">
        <v>622841222</v>
      </c>
      <c r="S122" s="23">
        <f t="shared" si="90"/>
        <v>2.0170180060469521E-2</v>
      </c>
      <c r="T122" s="24">
        <f t="shared" si="96"/>
        <v>3.0844038046901813E-2</v>
      </c>
      <c r="U122" s="59">
        <f t="shared" si="97"/>
        <v>1.7932660211754578E-3</v>
      </c>
      <c r="V122" s="25">
        <f>M122/R122</f>
        <v>3.7832863605806746E-2</v>
      </c>
      <c r="W122" s="26">
        <f t="shared" si="98"/>
        <v>1.1863296480471175</v>
      </c>
      <c r="X122" s="26">
        <f>M122/AE122</f>
        <v>4.4882247766091315E-2</v>
      </c>
      <c r="Y122" s="20">
        <v>1.19</v>
      </c>
      <c r="Z122" s="20">
        <v>1.2</v>
      </c>
      <c r="AA122" s="27">
        <v>251</v>
      </c>
      <c r="AB122" s="27">
        <v>526548942</v>
      </c>
      <c r="AC122" s="27">
        <v>0</v>
      </c>
      <c r="AD122" s="27">
        <v>1533637</v>
      </c>
      <c r="AE122" s="111">
        <v>525015305</v>
      </c>
      <c r="AF122" s="190"/>
      <c r="AG122" s="190"/>
      <c r="AH122" s="190"/>
      <c r="AI122" s="190"/>
      <c r="AJ122" s="191"/>
      <c r="AK122" s="189"/>
      <c r="AL122" s="190"/>
      <c r="AM122" s="190"/>
      <c r="AN122" s="190"/>
      <c r="AO122" s="191"/>
      <c r="AP122" s="189"/>
      <c r="AQ122" s="190"/>
      <c r="AR122" s="190"/>
      <c r="AS122" s="190"/>
      <c r="AT122" s="191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75"/>
      <c r="DW122" s="75"/>
      <c r="DX122" s="75"/>
      <c r="DY122" s="75"/>
      <c r="DZ122" s="75"/>
      <c r="EA122" s="75"/>
      <c r="EB122" s="75"/>
      <c r="EC122" s="75"/>
      <c r="ED122" s="75"/>
      <c r="EE122" s="75"/>
      <c r="EF122" s="75"/>
      <c r="EG122" s="75"/>
      <c r="EH122" s="75"/>
      <c r="EI122" s="75"/>
      <c r="EJ122" s="75"/>
      <c r="EK122" s="75"/>
      <c r="EL122" s="75"/>
      <c r="EM122" s="75"/>
      <c r="EN122" s="75"/>
      <c r="EO122" s="75"/>
      <c r="EP122" s="75"/>
      <c r="EQ122" s="75"/>
      <c r="ER122" s="75"/>
      <c r="ES122" s="75"/>
      <c r="ET122" s="75"/>
      <c r="EU122" s="75"/>
      <c r="EV122" s="75"/>
      <c r="EW122" s="75"/>
      <c r="EX122" s="75"/>
      <c r="EY122" s="75"/>
      <c r="EZ122" s="75"/>
      <c r="FA122" s="75"/>
      <c r="FB122" s="75"/>
      <c r="FC122" s="75"/>
      <c r="FD122" s="75"/>
      <c r="FE122" s="75"/>
      <c r="FF122" s="75"/>
      <c r="FG122" s="75"/>
      <c r="FH122" s="75"/>
      <c r="FI122" s="75"/>
      <c r="FJ122" s="75"/>
      <c r="FK122" s="75"/>
      <c r="FL122" s="75"/>
      <c r="FM122" s="75"/>
      <c r="FN122" s="75"/>
      <c r="FO122" s="75"/>
      <c r="FP122" s="75"/>
      <c r="FQ122" s="75"/>
      <c r="FR122" s="75"/>
      <c r="FS122" s="75"/>
      <c r="FT122" s="75"/>
      <c r="FU122" s="75"/>
      <c r="FV122" s="75"/>
      <c r="FW122" s="75"/>
      <c r="FX122" s="75"/>
      <c r="FY122" s="75"/>
      <c r="FZ122" s="75"/>
      <c r="GA122" s="75"/>
      <c r="GB122" s="75"/>
      <c r="GC122" s="75"/>
      <c r="GD122" s="75"/>
      <c r="GE122" s="75"/>
      <c r="GF122" s="75"/>
      <c r="GG122" s="75"/>
      <c r="GH122" s="75"/>
      <c r="GI122" s="75"/>
      <c r="GJ122" s="75"/>
      <c r="GK122" s="75"/>
      <c r="GL122" s="75"/>
      <c r="GM122" s="75"/>
      <c r="GN122" s="75"/>
      <c r="GO122" s="75"/>
      <c r="GP122" s="75"/>
      <c r="GQ122" s="75"/>
      <c r="GR122" s="75"/>
      <c r="GS122" s="75"/>
      <c r="GT122" s="75"/>
      <c r="GU122" s="75"/>
      <c r="GV122" s="75"/>
      <c r="GW122" s="75"/>
      <c r="GX122" s="75"/>
      <c r="GY122" s="75"/>
      <c r="GZ122" s="75"/>
      <c r="HA122" s="75"/>
      <c r="HB122" s="75"/>
      <c r="HC122" s="75"/>
      <c r="HD122" s="75"/>
      <c r="HE122" s="75"/>
      <c r="HF122" s="75"/>
      <c r="HG122" s="75"/>
      <c r="HH122" s="75"/>
      <c r="HI122" s="75"/>
      <c r="HJ122" s="75"/>
      <c r="HK122" s="75"/>
      <c r="HL122" s="75"/>
      <c r="HM122" s="75"/>
      <c r="HN122" s="75"/>
      <c r="HO122" s="75"/>
      <c r="HP122" s="75"/>
      <c r="HQ122" s="75"/>
      <c r="HR122" s="75"/>
      <c r="HS122" s="75"/>
      <c r="HT122" s="75"/>
      <c r="HU122" s="75"/>
      <c r="HV122" s="75"/>
      <c r="HW122" s="75"/>
      <c r="HX122" s="75"/>
      <c r="HY122" s="75"/>
      <c r="HZ122" s="75"/>
      <c r="IA122" s="75"/>
      <c r="IB122" s="75"/>
      <c r="IC122" s="75"/>
      <c r="ID122" s="75"/>
      <c r="IE122" s="75"/>
      <c r="IF122" s="75"/>
      <c r="IG122" s="75"/>
      <c r="IH122" s="75"/>
      <c r="II122" s="75"/>
      <c r="IJ122" s="75"/>
      <c r="IK122" s="75"/>
      <c r="IL122" s="75"/>
      <c r="IM122" s="75"/>
      <c r="IN122" s="75"/>
      <c r="IO122" s="75"/>
      <c r="IP122" s="75"/>
      <c r="IQ122" s="75"/>
      <c r="IR122" s="75"/>
      <c r="IS122" s="75"/>
      <c r="IT122" s="75"/>
      <c r="IU122" s="75"/>
      <c r="IV122" s="75"/>
    </row>
    <row r="123" spans="1:256" s="192" customFormat="1" ht="16.5" customHeight="1" x14ac:dyDescent="0.3">
      <c r="A123" s="172">
        <v>106</v>
      </c>
      <c r="B123" s="57" t="s">
        <v>72</v>
      </c>
      <c r="C123" s="58" t="s">
        <v>138</v>
      </c>
      <c r="D123" s="20">
        <v>61074239.5</v>
      </c>
      <c r="E123" s="20"/>
      <c r="F123" s="20">
        <v>53086605.350000001</v>
      </c>
      <c r="G123" s="20">
        <v>3668211.99</v>
      </c>
      <c r="H123" s="29"/>
      <c r="I123" s="28"/>
      <c r="J123" s="28">
        <v>117829056.84</v>
      </c>
      <c r="K123" s="28">
        <v>1532521.56</v>
      </c>
      <c r="L123" s="20">
        <v>312008.7</v>
      </c>
      <c r="M123" s="152">
        <v>4124952.96</v>
      </c>
      <c r="N123" s="20">
        <v>124732179.73</v>
      </c>
      <c r="O123" s="20">
        <v>1099699.06</v>
      </c>
      <c r="P123" s="81">
        <v>137723711.78999999</v>
      </c>
      <c r="Q123" s="23">
        <f t="shared" si="89"/>
        <v>9.7487454559615233E-5</v>
      </c>
      <c r="R123" s="81">
        <v>123632480.68000001</v>
      </c>
      <c r="S123" s="23">
        <f t="shared" si="90"/>
        <v>4.0037321046777468E-3</v>
      </c>
      <c r="T123" s="24">
        <f t="shared" si="96"/>
        <v>-0.10231521447436866</v>
      </c>
      <c r="U123" s="59">
        <f t="shared" si="97"/>
        <v>2.523679038743688E-3</v>
      </c>
      <c r="V123" s="25">
        <f>M123/R123</f>
        <v>3.3364637976299155E-2</v>
      </c>
      <c r="W123" s="26">
        <f t="shared" si="98"/>
        <v>1.19653377842067</v>
      </c>
      <c r="X123" s="26">
        <f>M123/AE123</f>
        <v>3.9921916343419003E-2</v>
      </c>
      <c r="Y123" s="20">
        <v>1.1891</v>
      </c>
      <c r="Z123" s="20">
        <v>1.2019</v>
      </c>
      <c r="AA123" s="27">
        <v>113</v>
      </c>
      <c r="AB123" s="27">
        <v>118832941.86</v>
      </c>
      <c r="AC123" s="27">
        <v>387399.11</v>
      </c>
      <c r="AD123" s="27">
        <v>15894816.1</v>
      </c>
      <c r="AE123" s="150">
        <f>(AB123+AC123)-AD123</f>
        <v>103325524.87</v>
      </c>
      <c r="AF123" s="190"/>
      <c r="AG123" s="190"/>
      <c r="AH123" s="190"/>
      <c r="AI123" s="190"/>
      <c r="AJ123" s="191"/>
      <c r="AK123" s="189"/>
      <c r="AL123" s="190"/>
      <c r="AM123" s="190"/>
      <c r="AN123" s="190"/>
      <c r="AO123" s="191"/>
      <c r="AP123" s="189"/>
      <c r="AQ123" s="190"/>
      <c r="AR123" s="190"/>
      <c r="AS123" s="190"/>
      <c r="AT123" s="191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  <c r="IF123" s="75"/>
      <c r="IG123" s="75"/>
      <c r="IH123" s="75"/>
      <c r="II123" s="75"/>
      <c r="IJ123" s="75"/>
      <c r="IK123" s="75"/>
      <c r="IL123" s="75"/>
      <c r="IM123" s="75"/>
      <c r="IN123" s="75"/>
      <c r="IO123" s="75"/>
      <c r="IP123" s="75"/>
      <c r="IQ123" s="75"/>
      <c r="IR123" s="75"/>
      <c r="IS123" s="75"/>
      <c r="IT123" s="75"/>
      <c r="IU123" s="75"/>
      <c r="IV123" s="75"/>
    </row>
    <row r="124" spans="1:256" s="192" customFormat="1" ht="16.5" customHeight="1" x14ac:dyDescent="0.3">
      <c r="A124" s="172">
        <v>107</v>
      </c>
      <c r="B124" s="57" t="s">
        <v>63</v>
      </c>
      <c r="C124" s="58" t="s">
        <v>218</v>
      </c>
      <c r="D124" s="20">
        <v>57639146.100000001</v>
      </c>
      <c r="E124" s="20"/>
      <c r="F124" s="20"/>
      <c r="G124" s="20"/>
      <c r="H124" s="29"/>
      <c r="I124" s="28"/>
      <c r="J124" s="28">
        <v>57639146.100000001</v>
      </c>
      <c r="K124" s="28">
        <v>1301671.8500000001</v>
      </c>
      <c r="L124" s="20">
        <v>318573.98</v>
      </c>
      <c r="M124" s="152">
        <v>983097.87</v>
      </c>
      <c r="N124" s="20">
        <v>231003752.72</v>
      </c>
      <c r="O124" s="20">
        <v>1266651.04</v>
      </c>
      <c r="P124" s="81">
        <v>224448392.86000001</v>
      </c>
      <c r="Q124" s="23">
        <f t="shared" si="89"/>
        <v>1.5887534699385493E-4</v>
      </c>
      <c r="R124" s="81">
        <v>228161322.97</v>
      </c>
      <c r="S124" s="23">
        <f t="shared" si="90"/>
        <v>7.3888092255073009E-3</v>
      </c>
      <c r="T124" s="24">
        <f t="shared" si="96"/>
        <v>1.6542466901582717E-2</v>
      </c>
      <c r="U124" s="59">
        <f t="shared" si="97"/>
        <v>1.3962663603676946E-3</v>
      </c>
      <c r="V124" s="25">
        <f>M124/R124</f>
        <v>4.3087840533308245E-3</v>
      </c>
      <c r="W124" s="26">
        <f t="shared" si="98"/>
        <v>149.53122532185466</v>
      </c>
      <c r="X124" s="26">
        <f>M124/AE124</f>
        <v>0.64429775914182574</v>
      </c>
      <c r="Y124" s="20">
        <v>149.04</v>
      </c>
      <c r="Z124" s="20">
        <v>150.9</v>
      </c>
      <c r="AA124" s="27">
        <v>39</v>
      </c>
      <c r="AB124" s="27">
        <v>1525844</v>
      </c>
      <c r="AC124" s="27">
        <v>0</v>
      </c>
      <c r="AD124" s="27">
        <v>0</v>
      </c>
      <c r="AE124" s="111">
        <v>1525844</v>
      </c>
      <c r="AF124" s="190"/>
      <c r="AG124" s="190"/>
      <c r="AH124" s="190"/>
      <c r="AI124" s="190"/>
      <c r="AJ124" s="191"/>
      <c r="AK124" s="189"/>
      <c r="AL124" s="190"/>
      <c r="AM124" s="190"/>
      <c r="AN124" s="190"/>
      <c r="AO124" s="191"/>
      <c r="AP124" s="189"/>
      <c r="AQ124" s="190"/>
      <c r="AR124" s="190"/>
      <c r="AS124" s="190"/>
      <c r="AT124" s="191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5"/>
      <c r="CM124" s="75"/>
      <c r="CN124" s="75"/>
      <c r="CO124" s="75"/>
      <c r="CP124" s="75"/>
      <c r="CQ124" s="75"/>
      <c r="CR124" s="75"/>
      <c r="CS124" s="75"/>
      <c r="CT124" s="75"/>
      <c r="CU124" s="75"/>
      <c r="CV124" s="75"/>
      <c r="CW124" s="75"/>
      <c r="CX124" s="75"/>
      <c r="CY124" s="75"/>
      <c r="CZ124" s="75"/>
      <c r="DA124" s="75"/>
      <c r="DB124" s="75"/>
      <c r="DC124" s="75"/>
      <c r="DD124" s="75"/>
      <c r="DE124" s="75"/>
      <c r="DF124" s="75"/>
      <c r="DG124" s="75"/>
      <c r="DH124" s="75"/>
      <c r="DI124" s="75"/>
      <c r="DJ124" s="75"/>
      <c r="DK124" s="75"/>
      <c r="DL124" s="75"/>
      <c r="DM124" s="75"/>
      <c r="DN124" s="75"/>
      <c r="DO124" s="75"/>
      <c r="DP124" s="75"/>
      <c r="DQ124" s="75"/>
      <c r="DR124" s="75"/>
      <c r="DS124" s="75"/>
      <c r="DT124" s="75"/>
      <c r="DU124" s="75"/>
      <c r="DV124" s="75"/>
      <c r="DW124" s="75"/>
      <c r="DX124" s="75"/>
      <c r="DY124" s="75"/>
      <c r="DZ124" s="75"/>
      <c r="EA124" s="75"/>
      <c r="EB124" s="75"/>
      <c r="EC124" s="75"/>
      <c r="ED124" s="75"/>
      <c r="EE124" s="75"/>
      <c r="EF124" s="75"/>
      <c r="EG124" s="75"/>
      <c r="EH124" s="75"/>
      <c r="EI124" s="75"/>
      <c r="EJ124" s="75"/>
      <c r="EK124" s="75"/>
      <c r="EL124" s="75"/>
      <c r="EM124" s="75"/>
      <c r="EN124" s="75"/>
      <c r="EO124" s="75"/>
      <c r="EP124" s="75"/>
      <c r="EQ124" s="75"/>
      <c r="ER124" s="75"/>
      <c r="ES124" s="75"/>
      <c r="ET124" s="75"/>
      <c r="EU124" s="75"/>
      <c r="EV124" s="75"/>
      <c r="EW124" s="75"/>
      <c r="EX124" s="75"/>
      <c r="EY124" s="75"/>
      <c r="EZ124" s="75"/>
      <c r="FA124" s="75"/>
      <c r="FB124" s="75"/>
      <c r="FC124" s="75"/>
      <c r="FD124" s="75"/>
      <c r="FE124" s="75"/>
      <c r="FF124" s="75"/>
      <c r="FG124" s="75"/>
      <c r="FH124" s="75"/>
      <c r="FI124" s="75"/>
      <c r="FJ124" s="75"/>
      <c r="FK124" s="75"/>
      <c r="FL124" s="75"/>
      <c r="FM124" s="75"/>
      <c r="FN124" s="75"/>
      <c r="FO124" s="75"/>
      <c r="FP124" s="75"/>
      <c r="FQ124" s="75"/>
      <c r="FR124" s="75"/>
      <c r="FS124" s="75"/>
      <c r="FT124" s="75"/>
      <c r="FU124" s="75"/>
      <c r="FV124" s="75"/>
      <c r="FW124" s="75"/>
      <c r="FX124" s="75"/>
      <c r="FY124" s="75"/>
      <c r="FZ124" s="75"/>
      <c r="GA124" s="75"/>
      <c r="GB124" s="75"/>
      <c r="GC124" s="75"/>
      <c r="GD124" s="75"/>
      <c r="GE124" s="75"/>
      <c r="GF124" s="75"/>
      <c r="GG124" s="75"/>
      <c r="GH124" s="75"/>
      <c r="GI124" s="75"/>
      <c r="GJ124" s="75"/>
      <c r="GK124" s="75"/>
      <c r="GL124" s="75"/>
      <c r="GM124" s="75"/>
      <c r="GN124" s="75"/>
      <c r="GO124" s="75"/>
      <c r="GP124" s="75"/>
      <c r="GQ124" s="75"/>
      <c r="GR124" s="75"/>
      <c r="GS124" s="75"/>
      <c r="GT124" s="75"/>
      <c r="GU124" s="75"/>
      <c r="GV124" s="75"/>
      <c r="GW124" s="75"/>
      <c r="GX124" s="75"/>
      <c r="GY124" s="75"/>
      <c r="GZ124" s="75"/>
      <c r="HA124" s="75"/>
      <c r="HB124" s="75"/>
      <c r="HC124" s="75"/>
      <c r="HD124" s="75"/>
      <c r="HE124" s="75"/>
      <c r="HF124" s="75"/>
      <c r="HG124" s="75"/>
      <c r="HH124" s="75"/>
      <c r="HI124" s="75"/>
      <c r="HJ124" s="75"/>
      <c r="HK124" s="75"/>
      <c r="HL124" s="75"/>
      <c r="HM124" s="75"/>
      <c r="HN124" s="75"/>
      <c r="HO124" s="75"/>
      <c r="HP124" s="75"/>
      <c r="HQ124" s="75"/>
      <c r="HR124" s="75"/>
      <c r="HS124" s="75"/>
      <c r="HT124" s="75"/>
      <c r="HU124" s="75"/>
      <c r="HV124" s="75"/>
      <c r="HW124" s="75"/>
      <c r="HX124" s="75"/>
      <c r="HY124" s="75"/>
      <c r="HZ124" s="75"/>
      <c r="IA124" s="75"/>
      <c r="IB124" s="75"/>
      <c r="IC124" s="75"/>
      <c r="ID124" s="75"/>
      <c r="IE124" s="75"/>
      <c r="IF124" s="75"/>
      <c r="IG124" s="75"/>
      <c r="IH124" s="75"/>
      <c r="II124" s="75"/>
      <c r="IJ124" s="75"/>
      <c r="IK124" s="75"/>
      <c r="IL124" s="75"/>
      <c r="IM124" s="75"/>
      <c r="IN124" s="75"/>
      <c r="IO124" s="75"/>
      <c r="IP124" s="75"/>
      <c r="IQ124" s="75"/>
      <c r="IR124" s="75"/>
      <c r="IS124" s="75"/>
      <c r="IT124" s="75"/>
      <c r="IU124" s="75"/>
      <c r="IV124" s="75"/>
    </row>
    <row r="125" spans="1:256" s="192" customFormat="1" ht="16.5" customHeight="1" x14ac:dyDescent="0.3">
      <c r="A125" s="172">
        <v>108</v>
      </c>
      <c r="B125" s="58" t="s">
        <v>58</v>
      </c>
      <c r="C125" s="58" t="s">
        <v>133</v>
      </c>
      <c r="D125" s="20">
        <v>77349835.230000004</v>
      </c>
      <c r="E125" s="20"/>
      <c r="F125" s="20">
        <v>61896357.619999997</v>
      </c>
      <c r="G125" s="20">
        <v>33798948.310000002</v>
      </c>
      <c r="H125" s="29"/>
      <c r="I125" s="28"/>
      <c r="J125" s="28">
        <v>173802071.41</v>
      </c>
      <c r="K125" s="28">
        <v>5595260.5899999999</v>
      </c>
      <c r="L125" s="20">
        <v>415366.49</v>
      </c>
      <c r="M125" s="152">
        <v>5179894.0999999996</v>
      </c>
      <c r="N125" s="20">
        <v>173802071.41</v>
      </c>
      <c r="O125" s="20">
        <v>11558656.460000001</v>
      </c>
      <c r="P125" s="81">
        <v>153285734.97</v>
      </c>
      <c r="Q125" s="23">
        <f t="shared" si="89"/>
        <v>1.0850300161319156E-4</v>
      </c>
      <c r="R125" s="81">
        <v>162243414.94999999</v>
      </c>
      <c r="S125" s="23">
        <f t="shared" si="90"/>
        <v>5.2541141748112695E-3</v>
      </c>
      <c r="T125" s="24">
        <f t="shared" ref="T125:T126" si="100">((R125-P125)/P125)</f>
        <v>5.843779254314254E-2</v>
      </c>
      <c r="U125" s="59">
        <f t="shared" ref="U125:U126" si="101">(L125/R125)</f>
        <v>2.5601439055508491E-3</v>
      </c>
      <c r="V125" s="25">
        <f t="shared" ref="V125:V126" si="102">M125/R125</f>
        <v>3.1926683135930875E-2</v>
      </c>
      <c r="W125" s="26">
        <f t="shared" ref="W125:W126" si="103">R125/AE125</f>
        <v>3.6942705026924281</v>
      </c>
      <c r="X125" s="26">
        <f t="shared" ref="X125:X126" si="104">M125/AE125</f>
        <v>0.11794580375787722</v>
      </c>
      <c r="Y125" s="20">
        <v>3.6604000000000001</v>
      </c>
      <c r="Z125" s="20">
        <v>3.7212999999999998</v>
      </c>
      <c r="AA125" s="27">
        <v>11811</v>
      </c>
      <c r="AB125" s="27">
        <v>43890283.729999997</v>
      </c>
      <c r="AC125" s="27">
        <v>27294.81</v>
      </c>
      <c r="AD125" s="27">
        <v>0</v>
      </c>
      <c r="AE125" s="111">
        <v>43917578.539999999</v>
      </c>
      <c r="AF125" s="190"/>
      <c r="AG125" s="190"/>
      <c r="AH125" s="190"/>
      <c r="AI125" s="190"/>
      <c r="AJ125" s="191"/>
      <c r="AK125" s="189"/>
      <c r="AL125" s="190"/>
      <c r="AM125" s="190"/>
      <c r="AN125" s="190"/>
      <c r="AO125" s="191"/>
      <c r="AP125" s="189"/>
      <c r="AQ125" s="190"/>
      <c r="AR125" s="190"/>
      <c r="AS125" s="190"/>
      <c r="AT125" s="191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75"/>
      <c r="EX125" s="75"/>
      <c r="EY125" s="75"/>
      <c r="EZ125" s="75"/>
      <c r="FA125" s="75"/>
      <c r="FB125" s="75"/>
      <c r="FC125" s="75"/>
      <c r="FD125" s="75"/>
      <c r="FE125" s="75"/>
      <c r="FF125" s="75"/>
      <c r="FG125" s="75"/>
      <c r="FH125" s="75"/>
      <c r="FI125" s="75"/>
      <c r="FJ125" s="75"/>
      <c r="FK125" s="75"/>
      <c r="FL125" s="75"/>
      <c r="FM125" s="75"/>
      <c r="FN125" s="75"/>
      <c r="FO125" s="75"/>
      <c r="FP125" s="75"/>
      <c r="FQ125" s="75"/>
      <c r="FR125" s="75"/>
      <c r="FS125" s="75"/>
      <c r="FT125" s="75"/>
      <c r="FU125" s="75"/>
      <c r="FV125" s="75"/>
      <c r="FW125" s="75"/>
      <c r="FX125" s="75"/>
      <c r="FY125" s="75"/>
      <c r="FZ125" s="75"/>
      <c r="GA125" s="75"/>
      <c r="GB125" s="75"/>
      <c r="GC125" s="75"/>
      <c r="GD125" s="75"/>
      <c r="GE125" s="75"/>
      <c r="GF125" s="75"/>
      <c r="GG125" s="75"/>
      <c r="GH125" s="75"/>
      <c r="GI125" s="75"/>
      <c r="GJ125" s="75"/>
      <c r="GK125" s="75"/>
      <c r="GL125" s="75"/>
      <c r="GM125" s="75"/>
      <c r="GN125" s="75"/>
      <c r="GO125" s="75"/>
      <c r="GP125" s="75"/>
      <c r="GQ125" s="75"/>
      <c r="GR125" s="75"/>
      <c r="GS125" s="75"/>
      <c r="GT125" s="75"/>
      <c r="GU125" s="75"/>
      <c r="GV125" s="75"/>
      <c r="GW125" s="75"/>
      <c r="GX125" s="75"/>
      <c r="GY125" s="75"/>
      <c r="GZ125" s="75"/>
      <c r="HA125" s="75"/>
      <c r="HB125" s="75"/>
      <c r="HC125" s="75"/>
      <c r="HD125" s="75"/>
      <c r="HE125" s="75"/>
      <c r="HF125" s="75"/>
      <c r="HG125" s="75"/>
      <c r="HH125" s="75"/>
      <c r="HI125" s="75"/>
      <c r="HJ125" s="75"/>
      <c r="HK125" s="75"/>
      <c r="HL125" s="75"/>
      <c r="HM125" s="75"/>
      <c r="HN125" s="75"/>
      <c r="HO125" s="75"/>
      <c r="HP125" s="75"/>
      <c r="HQ125" s="75"/>
      <c r="HR125" s="75"/>
      <c r="HS125" s="75"/>
      <c r="HT125" s="75"/>
      <c r="HU125" s="75"/>
      <c r="HV125" s="75"/>
      <c r="HW125" s="75"/>
      <c r="HX125" s="75"/>
      <c r="HY125" s="75"/>
      <c r="HZ125" s="75"/>
      <c r="IA125" s="75"/>
      <c r="IB125" s="75"/>
      <c r="IC125" s="75"/>
      <c r="ID125" s="75"/>
      <c r="IE125" s="75"/>
      <c r="IF125" s="75"/>
      <c r="IG125" s="75"/>
      <c r="IH125" s="75"/>
      <c r="II125" s="75"/>
      <c r="IJ125" s="75"/>
      <c r="IK125" s="75"/>
      <c r="IL125" s="75"/>
      <c r="IM125" s="75"/>
      <c r="IN125" s="75"/>
      <c r="IO125" s="75"/>
      <c r="IP125" s="75"/>
      <c r="IQ125" s="75"/>
      <c r="IR125" s="75"/>
      <c r="IS125" s="75"/>
      <c r="IT125" s="75"/>
      <c r="IU125" s="75"/>
      <c r="IV125" s="75"/>
    </row>
    <row r="126" spans="1:256" ht="16.5" customHeight="1" x14ac:dyDescent="0.3">
      <c r="A126" s="172">
        <v>109</v>
      </c>
      <c r="B126" s="57" t="s">
        <v>65</v>
      </c>
      <c r="C126" s="58" t="s">
        <v>139</v>
      </c>
      <c r="D126" s="20">
        <v>152356237.27000001</v>
      </c>
      <c r="E126" s="20"/>
      <c r="F126" s="20">
        <v>55555544.549999997</v>
      </c>
      <c r="G126" s="20">
        <v>97213860</v>
      </c>
      <c r="H126" s="29"/>
      <c r="I126" s="28"/>
      <c r="J126" s="28">
        <v>305125641.81999999</v>
      </c>
      <c r="K126" s="28">
        <v>2053737.63</v>
      </c>
      <c r="L126" s="28">
        <v>673378.84</v>
      </c>
      <c r="M126" s="152">
        <v>8464044.4299999997</v>
      </c>
      <c r="N126" s="20">
        <v>361215869.29000002</v>
      </c>
      <c r="O126" s="20">
        <v>2691705.2</v>
      </c>
      <c r="P126" s="81">
        <v>357364352.81</v>
      </c>
      <c r="Q126" s="23">
        <f t="shared" si="89"/>
        <v>2.5295964400750908E-4</v>
      </c>
      <c r="R126" s="81">
        <v>358524164.08999997</v>
      </c>
      <c r="S126" s="23">
        <f t="shared" si="90"/>
        <v>1.1610498294418639E-2</v>
      </c>
      <c r="T126" s="24">
        <f t="shared" si="100"/>
        <v>3.2454587898323719E-3</v>
      </c>
      <c r="U126" s="59">
        <f t="shared" si="101"/>
        <v>1.8781965274479026E-3</v>
      </c>
      <c r="V126" s="25">
        <f t="shared" si="102"/>
        <v>2.3608016635317444E-2</v>
      </c>
      <c r="W126" s="26">
        <f t="shared" si="103"/>
        <v>137.27706007582083</v>
      </c>
      <c r="X126" s="26">
        <f t="shared" si="104"/>
        <v>3.2408391179174498</v>
      </c>
      <c r="Y126" s="20">
        <v>136.41</v>
      </c>
      <c r="Z126" s="20">
        <v>137.32</v>
      </c>
      <c r="AA126" s="27">
        <v>615</v>
      </c>
      <c r="AB126" s="27">
        <v>2509402</v>
      </c>
      <c r="AC126" s="27">
        <v>108852</v>
      </c>
      <c r="AD126" s="27">
        <v>6571</v>
      </c>
      <c r="AE126" s="111">
        <v>2611683</v>
      </c>
      <c r="AF126" s="5"/>
      <c r="AG126" s="5"/>
      <c r="AH126" s="5"/>
      <c r="AI126" s="5"/>
      <c r="AJ126" s="6"/>
      <c r="AK126" s="4"/>
      <c r="AL126" s="5"/>
      <c r="AM126" s="5"/>
      <c r="AN126" s="5"/>
      <c r="AO126" s="6"/>
      <c r="AP126" s="4"/>
      <c r="AQ126" s="5"/>
      <c r="AR126" s="5"/>
      <c r="AS126" s="5"/>
      <c r="AT126" s="6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  <c r="IS126" s="18"/>
      <c r="IT126" s="18"/>
      <c r="IU126" s="18"/>
      <c r="IV126" s="18"/>
    </row>
    <row r="127" spans="1:256" ht="16.5" customHeight="1" x14ac:dyDescent="0.3">
      <c r="A127" s="172">
        <v>110</v>
      </c>
      <c r="B127" s="62" t="s">
        <v>114</v>
      </c>
      <c r="C127" s="62" t="s">
        <v>142</v>
      </c>
      <c r="D127" s="20">
        <v>61959208.420000002</v>
      </c>
      <c r="E127" s="20"/>
      <c r="F127" s="20">
        <v>14423610.470000001</v>
      </c>
      <c r="G127" s="20">
        <v>25273777.170000002</v>
      </c>
      <c r="H127" s="29"/>
      <c r="I127" s="188">
        <v>56641250.43</v>
      </c>
      <c r="J127" s="28">
        <v>158297846.49000001</v>
      </c>
      <c r="K127" s="28">
        <v>527388.18999999994</v>
      </c>
      <c r="L127" s="20">
        <v>1548488.17</v>
      </c>
      <c r="M127" s="152">
        <v>1410528.55</v>
      </c>
      <c r="N127" s="20">
        <v>158297846.49000001</v>
      </c>
      <c r="O127" s="20">
        <v>4924614.09</v>
      </c>
      <c r="P127" s="81">
        <v>160450087.03</v>
      </c>
      <c r="Q127" s="23">
        <f t="shared" si="89"/>
        <v>1.1357427392222795E-4</v>
      </c>
      <c r="R127" s="81">
        <v>153373232.41</v>
      </c>
      <c r="S127" s="23">
        <f t="shared" si="90"/>
        <v>4.9668609027389322E-3</v>
      </c>
      <c r="T127" s="24">
        <f>((R127-P127)/P127)</f>
        <v>-4.4106268503779723E-2</v>
      </c>
      <c r="U127" s="59">
        <f>(L127/R127)</f>
        <v>1.0096208742999916E-2</v>
      </c>
      <c r="V127" s="25">
        <f>M127/R127</f>
        <v>9.1967061516272323E-3</v>
      </c>
      <c r="W127" s="26">
        <f>R127/AE127</f>
        <v>141.21909388310283</v>
      </c>
      <c r="X127" s="26">
        <f>M127/AE127</f>
        <v>1.2987505094419551</v>
      </c>
      <c r="Y127" s="20">
        <v>141.2191</v>
      </c>
      <c r="Z127" s="20">
        <v>145.7535</v>
      </c>
      <c r="AA127" s="27">
        <v>129</v>
      </c>
      <c r="AB127" s="27">
        <v>1192477.1100000001</v>
      </c>
      <c r="AC127" s="27">
        <v>8975.51</v>
      </c>
      <c r="AD127" s="27">
        <v>115386.79</v>
      </c>
      <c r="AE127" s="111">
        <f>(AB127+AC127)-AD127</f>
        <v>1086065.83</v>
      </c>
      <c r="AF127" s="5"/>
      <c r="AG127" s="5"/>
      <c r="AH127" s="5"/>
      <c r="AI127" s="5"/>
      <c r="AJ127" s="6"/>
      <c r="AK127" s="4"/>
      <c r="AL127" s="5"/>
      <c r="AM127" s="5"/>
      <c r="AN127" s="5"/>
      <c r="AO127" s="6"/>
      <c r="AP127" s="4"/>
      <c r="AQ127" s="5"/>
      <c r="AR127" s="5"/>
      <c r="AS127" s="5"/>
      <c r="AT127" s="6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  <c r="IS127" s="18"/>
      <c r="IT127" s="18"/>
      <c r="IU127" s="18"/>
      <c r="IV127" s="18"/>
    </row>
    <row r="128" spans="1:256" s="192" customFormat="1" ht="17.25" customHeight="1" x14ac:dyDescent="0.3">
      <c r="A128" s="172">
        <v>111</v>
      </c>
      <c r="B128" s="58" t="s">
        <v>101</v>
      </c>
      <c r="C128" s="58" t="s">
        <v>132</v>
      </c>
      <c r="D128" s="20">
        <v>524340438.97000003</v>
      </c>
      <c r="E128" s="20"/>
      <c r="F128" s="20">
        <v>232057295.27000001</v>
      </c>
      <c r="G128" s="20">
        <v>302451546.07999998</v>
      </c>
      <c r="H128" s="21"/>
      <c r="I128" s="28"/>
      <c r="J128" s="28">
        <v>1084038906.9300001</v>
      </c>
      <c r="K128" s="28">
        <v>13121777.939999999</v>
      </c>
      <c r="L128" s="20">
        <v>2275160.67</v>
      </c>
      <c r="M128" s="152">
        <v>54925858</v>
      </c>
      <c r="N128" s="20">
        <v>1099244317.72</v>
      </c>
      <c r="O128" s="20">
        <v>64335244.990000002</v>
      </c>
      <c r="P128" s="81">
        <v>979883214.72000003</v>
      </c>
      <c r="Q128" s="23">
        <f t="shared" si="89"/>
        <v>6.9360837815933584E-4</v>
      </c>
      <c r="R128" s="81">
        <v>1034909072.72</v>
      </c>
      <c r="S128" s="23">
        <f t="shared" si="90"/>
        <v>3.3514644833472419E-2</v>
      </c>
      <c r="T128" s="24">
        <f t="shared" si="91"/>
        <v>5.6155526672353039E-2</v>
      </c>
      <c r="U128" s="59">
        <f t="shared" si="92"/>
        <v>2.1984160057852311E-3</v>
      </c>
      <c r="V128" s="25">
        <f t="shared" si="93"/>
        <v>5.3073124439465102E-2</v>
      </c>
      <c r="W128" s="26">
        <f t="shared" si="94"/>
        <v>2.3957878384858189</v>
      </c>
      <c r="X128" s="26">
        <f t="shared" si="95"/>
        <v>0.12715194608251498</v>
      </c>
      <c r="Y128" s="20">
        <v>2.3571</v>
      </c>
      <c r="Z128" s="20">
        <v>2.4100999999999999</v>
      </c>
      <c r="AA128" s="27">
        <v>2777</v>
      </c>
      <c r="AB128" s="27">
        <v>431927100.54350001</v>
      </c>
      <c r="AC128" s="27">
        <v>43149.95</v>
      </c>
      <c r="AD128" s="27">
        <v>0</v>
      </c>
      <c r="AE128" s="111">
        <v>431970250.49349999</v>
      </c>
      <c r="AF128" s="190"/>
      <c r="AG128" s="190"/>
      <c r="AH128" s="190"/>
      <c r="AI128" s="190"/>
      <c r="AJ128" s="191"/>
      <c r="AK128" s="189"/>
      <c r="AL128" s="190"/>
      <c r="AM128" s="190"/>
      <c r="AN128" s="190"/>
      <c r="AO128" s="191"/>
      <c r="AP128" s="189"/>
      <c r="AQ128" s="190"/>
      <c r="AR128" s="190"/>
      <c r="AS128" s="190"/>
      <c r="AT128" s="191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75"/>
      <c r="DW128" s="75"/>
      <c r="DX128" s="75"/>
      <c r="DY128" s="75"/>
      <c r="DZ128" s="75"/>
      <c r="EA128" s="75"/>
      <c r="EB128" s="75"/>
      <c r="EC128" s="75"/>
      <c r="ED128" s="75"/>
      <c r="EE128" s="75"/>
      <c r="EF128" s="75"/>
      <c r="EG128" s="75"/>
      <c r="EH128" s="75"/>
      <c r="EI128" s="75"/>
      <c r="EJ128" s="75"/>
      <c r="EK128" s="75"/>
      <c r="EL128" s="75"/>
      <c r="EM128" s="75"/>
      <c r="EN128" s="75"/>
      <c r="EO128" s="75"/>
      <c r="EP128" s="75"/>
      <c r="EQ128" s="75"/>
      <c r="ER128" s="75"/>
      <c r="ES128" s="75"/>
      <c r="ET128" s="75"/>
      <c r="EU128" s="75"/>
      <c r="EV128" s="75"/>
      <c r="EW128" s="75"/>
      <c r="EX128" s="75"/>
      <c r="EY128" s="75"/>
      <c r="EZ128" s="75"/>
      <c r="FA128" s="75"/>
      <c r="FB128" s="75"/>
      <c r="FC128" s="75"/>
      <c r="FD128" s="75"/>
      <c r="FE128" s="75"/>
      <c r="FF128" s="75"/>
      <c r="FG128" s="75"/>
      <c r="FH128" s="75"/>
      <c r="FI128" s="75"/>
      <c r="FJ128" s="75"/>
      <c r="FK128" s="75"/>
      <c r="FL128" s="75"/>
      <c r="FM128" s="75"/>
      <c r="FN128" s="75"/>
      <c r="FO128" s="75"/>
      <c r="FP128" s="75"/>
      <c r="FQ128" s="75"/>
      <c r="FR128" s="75"/>
      <c r="FS128" s="75"/>
      <c r="FT128" s="75"/>
      <c r="FU128" s="75"/>
      <c r="FV128" s="75"/>
      <c r="FW128" s="75"/>
      <c r="FX128" s="75"/>
      <c r="FY128" s="75"/>
      <c r="FZ128" s="75"/>
      <c r="GA128" s="75"/>
      <c r="GB128" s="75"/>
      <c r="GC128" s="75"/>
      <c r="GD128" s="75"/>
      <c r="GE128" s="75"/>
      <c r="GF128" s="75"/>
      <c r="GG128" s="75"/>
      <c r="GH128" s="75"/>
      <c r="GI128" s="75"/>
      <c r="GJ128" s="75"/>
      <c r="GK128" s="75"/>
      <c r="GL128" s="75"/>
      <c r="GM128" s="75"/>
      <c r="GN128" s="75"/>
      <c r="GO128" s="75"/>
      <c r="GP128" s="75"/>
      <c r="GQ128" s="75"/>
      <c r="GR128" s="75"/>
      <c r="GS128" s="75"/>
      <c r="GT128" s="75"/>
      <c r="GU128" s="75"/>
      <c r="GV128" s="75"/>
      <c r="GW128" s="75"/>
      <c r="GX128" s="75"/>
      <c r="GY128" s="75"/>
      <c r="GZ128" s="75"/>
      <c r="HA128" s="75"/>
      <c r="HB128" s="75"/>
      <c r="HC128" s="75"/>
      <c r="HD128" s="75"/>
      <c r="HE128" s="75"/>
      <c r="HF128" s="75"/>
      <c r="HG128" s="75"/>
      <c r="HH128" s="75"/>
      <c r="HI128" s="75"/>
      <c r="HJ128" s="75"/>
      <c r="HK128" s="75"/>
      <c r="HL128" s="75"/>
      <c r="HM128" s="75"/>
      <c r="HN128" s="75"/>
      <c r="HO128" s="75"/>
      <c r="HP128" s="75"/>
      <c r="HQ128" s="75"/>
      <c r="HR128" s="75"/>
      <c r="HS128" s="75"/>
      <c r="HT128" s="75"/>
      <c r="HU128" s="75"/>
      <c r="HV128" s="75"/>
      <c r="HW128" s="75"/>
      <c r="HX128" s="75"/>
      <c r="HY128" s="75"/>
      <c r="HZ128" s="75"/>
      <c r="IA128" s="75"/>
      <c r="IB128" s="75"/>
      <c r="IC128" s="75"/>
      <c r="ID128" s="75"/>
      <c r="IE128" s="75"/>
      <c r="IF128" s="75"/>
      <c r="IG128" s="75"/>
      <c r="IH128" s="75"/>
      <c r="II128" s="75"/>
      <c r="IJ128" s="75"/>
      <c r="IK128" s="75"/>
      <c r="IL128" s="75"/>
      <c r="IM128" s="75"/>
      <c r="IN128" s="75"/>
      <c r="IO128" s="75"/>
      <c r="IP128" s="75"/>
      <c r="IQ128" s="75"/>
      <c r="IR128" s="75"/>
      <c r="IS128" s="75"/>
      <c r="IT128" s="75"/>
      <c r="IU128" s="75"/>
      <c r="IV128" s="75"/>
    </row>
    <row r="129" spans="1:256" ht="15.75" customHeight="1" x14ac:dyDescent="0.3">
      <c r="A129" s="172">
        <v>112</v>
      </c>
      <c r="B129" s="57" t="s">
        <v>89</v>
      </c>
      <c r="C129" s="58" t="s">
        <v>192</v>
      </c>
      <c r="D129" s="20">
        <v>8421576.6300000008</v>
      </c>
      <c r="E129" s="20"/>
      <c r="F129" s="20">
        <v>5269968.87</v>
      </c>
      <c r="G129" s="20">
        <v>3703658.56</v>
      </c>
      <c r="H129" s="29"/>
      <c r="I129" s="188"/>
      <c r="J129" s="28">
        <f>SUM(D129:G129)</f>
        <v>17395204.059999999</v>
      </c>
      <c r="K129" s="28">
        <v>571702.38</v>
      </c>
      <c r="L129" s="20">
        <v>7981.39</v>
      </c>
      <c r="M129" s="152">
        <v>658503.82999999996</v>
      </c>
      <c r="N129" s="20">
        <v>19060914.25</v>
      </c>
      <c r="O129" s="20">
        <v>335298.78000000003</v>
      </c>
      <c r="P129" s="81">
        <v>17831901.219999999</v>
      </c>
      <c r="Q129" s="23">
        <f t="shared" si="89"/>
        <v>1.2622275694594807E-5</v>
      </c>
      <c r="R129" s="81">
        <v>18446706.899999999</v>
      </c>
      <c r="S129" s="23">
        <f t="shared" si="90"/>
        <v>5.9738081962678051E-4</v>
      </c>
      <c r="T129" s="24">
        <f>((R129-P129)/P129)</f>
        <v>3.4477853618347924E-2</v>
      </c>
      <c r="U129" s="59">
        <f>(L129/R129)</f>
        <v>4.3267289079114717E-4</v>
      </c>
      <c r="V129" s="25">
        <f>M129/R129</f>
        <v>3.5697636091350265E-2</v>
      </c>
      <c r="W129" s="26">
        <f>R129/AE129</f>
        <v>1.1931799706498418</v>
      </c>
      <c r="X129" s="26">
        <f>M129/AE129</f>
        <v>4.2593704383746045E-2</v>
      </c>
      <c r="Y129" s="20">
        <v>1.1932</v>
      </c>
      <c r="Z129" s="20">
        <v>1.1932</v>
      </c>
      <c r="AA129" s="27">
        <v>7</v>
      </c>
      <c r="AB129" s="27">
        <v>15460121.15</v>
      </c>
      <c r="AC129" s="27">
        <v>0</v>
      </c>
      <c r="AD129" s="27">
        <v>0</v>
      </c>
      <c r="AE129" s="111">
        <v>15460121.15</v>
      </c>
      <c r="AF129" s="211"/>
    </row>
    <row r="130" spans="1:256" ht="15.75" customHeight="1" x14ac:dyDescent="0.3">
      <c r="A130" s="172">
        <v>113</v>
      </c>
      <c r="B130" s="57" t="s">
        <v>159</v>
      </c>
      <c r="C130" s="58" t="s">
        <v>193</v>
      </c>
      <c r="D130" s="20">
        <v>92363035.640000001</v>
      </c>
      <c r="E130" s="20"/>
      <c r="F130" s="20"/>
      <c r="G130" s="20">
        <v>73635458.590000004</v>
      </c>
      <c r="H130" s="29"/>
      <c r="I130" s="28"/>
      <c r="J130" s="28">
        <v>165998494.22999999</v>
      </c>
      <c r="K130" s="28">
        <v>3645709.05</v>
      </c>
      <c r="L130" s="20">
        <v>661148.53</v>
      </c>
      <c r="M130" s="152">
        <v>3284958.33</v>
      </c>
      <c r="N130" s="20">
        <v>209131835.34</v>
      </c>
      <c r="O130" s="20">
        <v>198854483.18000001</v>
      </c>
      <c r="P130" s="81">
        <v>201273766.06</v>
      </c>
      <c r="Q130" s="23">
        <f t="shared" si="89"/>
        <v>1.4247123365899284E-4</v>
      </c>
      <c r="R130" s="81">
        <v>205413740.69999999</v>
      </c>
      <c r="S130" s="23">
        <f t="shared" si="90"/>
        <v>6.652148236928346E-3</v>
      </c>
      <c r="T130" s="24">
        <f>((R130-P130)/P130)</f>
        <v>2.0568873534993395E-2</v>
      </c>
      <c r="U130" s="59">
        <f>(L130/R130)</f>
        <v>3.2186188117063973E-3</v>
      </c>
      <c r="V130" s="25">
        <f>M130/R130</f>
        <v>1.5991911343445974E-2</v>
      </c>
      <c r="W130" s="26">
        <f>R130/AE130</f>
        <v>1.0411276407163599</v>
      </c>
      <c r="X130" s="26">
        <f>M130/AE130</f>
        <v>1.6649620927547102E-2</v>
      </c>
      <c r="Y130" s="20">
        <v>1.04</v>
      </c>
      <c r="Z130" s="20">
        <v>1.04</v>
      </c>
      <c r="AA130" s="27">
        <v>82</v>
      </c>
      <c r="AB130" s="27">
        <v>198122333.38</v>
      </c>
      <c r="AC130" s="27">
        <v>3766894.28</v>
      </c>
      <c r="AD130" s="27">
        <v>4589941.13</v>
      </c>
      <c r="AE130" s="111">
        <v>197299286.53</v>
      </c>
      <c r="AF130" s="211"/>
    </row>
    <row r="131" spans="1:256" ht="15.75" customHeight="1" x14ac:dyDescent="0.3">
      <c r="A131" s="172">
        <v>114</v>
      </c>
      <c r="B131" s="57" t="s">
        <v>155</v>
      </c>
      <c r="C131" s="58" t="s">
        <v>157</v>
      </c>
      <c r="D131" s="20">
        <v>590006.80000000005</v>
      </c>
      <c r="E131" s="20"/>
      <c r="F131" s="20">
        <v>2674257.5299999998</v>
      </c>
      <c r="G131" s="20">
        <v>950778.43</v>
      </c>
      <c r="H131" s="187"/>
      <c r="I131" s="188"/>
      <c r="J131" s="28">
        <v>4215042.76</v>
      </c>
      <c r="K131" s="28">
        <v>13682.3</v>
      </c>
      <c r="L131" s="28">
        <v>8355.09</v>
      </c>
      <c r="M131" s="152">
        <v>5327.21</v>
      </c>
      <c r="N131" s="20">
        <v>4398055.0999999996</v>
      </c>
      <c r="O131" s="20">
        <v>215348.39</v>
      </c>
      <c r="P131" s="81">
        <v>4257398.3499999996</v>
      </c>
      <c r="Q131" s="23">
        <f t="shared" si="89"/>
        <v>3.0135909263080271E-6</v>
      </c>
      <c r="R131" s="81">
        <v>4182706.71</v>
      </c>
      <c r="S131" s="23">
        <f t="shared" si="90"/>
        <v>1.3545337800527609E-4</v>
      </c>
      <c r="T131" s="24">
        <f t="shared" si="91"/>
        <v>-1.7543963204664573E-2</v>
      </c>
      <c r="U131" s="59">
        <f>(L131/R131)</f>
        <v>1.9975318804985017E-3</v>
      </c>
      <c r="V131" s="25">
        <f t="shared" si="93"/>
        <v>1.2736274305974469E-3</v>
      </c>
      <c r="W131" s="26">
        <f t="shared" si="94"/>
        <v>107.60204543115867</v>
      </c>
      <c r="X131" s="26">
        <f t="shared" si="95"/>
        <v>0.13704491664951637</v>
      </c>
      <c r="Y131" s="20">
        <v>102.46</v>
      </c>
      <c r="Z131" s="20">
        <v>102.24</v>
      </c>
      <c r="AA131" s="27">
        <v>87</v>
      </c>
      <c r="AB131" s="27">
        <v>40592</v>
      </c>
      <c r="AC131" s="27">
        <v>0</v>
      </c>
      <c r="AD131" s="27">
        <v>1720</v>
      </c>
      <c r="AE131" s="111">
        <f>(AB131+AC131)-AD131</f>
        <v>38872</v>
      </c>
      <c r="AF131" s="213"/>
    </row>
    <row r="132" spans="1:256" ht="15.75" customHeight="1" x14ac:dyDescent="0.3">
      <c r="A132" s="118"/>
      <c r="B132" s="56"/>
      <c r="C132" s="79" t="s">
        <v>52</v>
      </c>
      <c r="D132" s="36">
        <f>SUM(D110:D131)</f>
        <v>15763494888.419998</v>
      </c>
      <c r="E132" s="36"/>
      <c r="F132" s="36">
        <f t="shared" ref="F132:J132" si="105">SUM(F110:F131)</f>
        <v>4754984549.5200005</v>
      </c>
      <c r="G132" s="36">
        <f t="shared" si="105"/>
        <v>6653687496.3700018</v>
      </c>
      <c r="H132" s="36">
        <f t="shared" si="105"/>
        <v>62482855.299999997</v>
      </c>
      <c r="I132" s="36"/>
      <c r="J132" s="36">
        <f t="shared" si="105"/>
        <v>28126187779.399998</v>
      </c>
      <c r="K132" s="36">
        <f>SUM(K110:K131)</f>
        <v>405182617.09000009</v>
      </c>
      <c r="L132" s="36">
        <f t="shared" ref="L132" si="106">SUM(L110:L131)</f>
        <v>79942041.470000014</v>
      </c>
      <c r="M132" s="36">
        <f t="shared" ref="M132" si="107">SUM(M110:M131)</f>
        <v>1036976758.7100002</v>
      </c>
      <c r="N132" s="36">
        <f t="shared" ref="N132" si="108">SUM(N110:N131)</f>
        <v>31543617621.290001</v>
      </c>
      <c r="O132" s="36">
        <f t="shared" ref="O132:P132" si="109">SUM(O110:O131)</f>
        <v>873067902.95999992</v>
      </c>
      <c r="P132" s="160">
        <f t="shared" si="109"/>
        <v>29795577887.810005</v>
      </c>
      <c r="Q132" s="88">
        <f t="shared" si="89"/>
        <v>2.1090740350103328E-2</v>
      </c>
      <c r="R132" s="160">
        <f t="shared" ref="R132" si="110">SUM(R110:R131)</f>
        <v>30879308966.640007</v>
      </c>
      <c r="S132" s="88">
        <f>(R132/$R$150)</f>
        <v>2.1935404681657326E-2</v>
      </c>
      <c r="T132" s="38">
        <f t="shared" si="91"/>
        <v>3.6372212108474626E-2</v>
      </c>
      <c r="U132" s="51"/>
      <c r="V132" s="39"/>
      <c r="W132" s="40"/>
      <c r="X132" s="40"/>
      <c r="Y132" s="36"/>
      <c r="Z132" s="36"/>
      <c r="AA132" s="41">
        <f>SUM(AA110:AA131)</f>
        <v>47202</v>
      </c>
      <c r="AB132" s="41"/>
      <c r="AC132" s="41"/>
      <c r="AD132" s="41"/>
      <c r="AE132" s="120"/>
      <c r="AF132" s="211"/>
    </row>
    <row r="133" spans="1:256" ht="15.75" customHeight="1" x14ac:dyDescent="0.3">
      <c r="A133" s="203" t="s">
        <v>143</v>
      </c>
      <c r="B133" s="201"/>
      <c r="C133" s="201"/>
      <c r="D133" s="45"/>
      <c r="E133" s="45"/>
      <c r="F133" s="45"/>
      <c r="G133" s="45"/>
      <c r="H133" s="45"/>
      <c r="I133" s="45"/>
      <c r="J133" s="45"/>
      <c r="K133" s="45"/>
      <c r="L133" s="45"/>
      <c r="M133" s="166"/>
      <c r="N133" s="45"/>
      <c r="O133" s="45"/>
      <c r="P133" s="45"/>
      <c r="Q133" s="24"/>
      <c r="R133" s="45"/>
      <c r="S133" s="24"/>
      <c r="T133" s="24"/>
      <c r="U133" s="24"/>
      <c r="V133" s="46"/>
      <c r="W133" s="47"/>
      <c r="X133" s="47"/>
      <c r="Y133" s="45"/>
      <c r="Z133" s="45"/>
      <c r="AA133" s="45"/>
      <c r="AB133" s="45"/>
      <c r="AC133" s="45"/>
      <c r="AD133" s="45"/>
      <c r="AE133" s="116"/>
      <c r="AF133" s="211"/>
    </row>
    <row r="134" spans="1:256" ht="15.75" customHeight="1" x14ac:dyDescent="0.3">
      <c r="A134" s="172">
        <v>115</v>
      </c>
      <c r="B134" s="58" t="s">
        <v>74</v>
      </c>
      <c r="C134" s="57" t="s">
        <v>211</v>
      </c>
      <c r="D134" s="20">
        <v>317982713.30000001</v>
      </c>
      <c r="E134" s="20"/>
      <c r="F134" s="20">
        <v>42689149.57</v>
      </c>
      <c r="G134" s="20">
        <v>242710212.06</v>
      </c>
      <c r="H134" s="29"/>
      <c r="I134" s="20"/>
      <c r="J134" s="20">
        <v>603382074.92999995</v>
      </c>
      <c r="K134" s="20">
        <v>2590366.7799999998</v>
      </c>
      <c r="L134" s="21">
        <v>4864190.83</v>
      </c>
      <c r="M134" s="152">
        <v>11863784.449999999</v>
      </c>
      <c r="N134" s="20">
        <v>603722373.84000003</v>
      </c>
      <c r="O134" s="20">
        <v>4864190.84</v>
      </c>
      <c r="P134" s="30">
        <v>579066206.09000003</v>
      </c>
      <c r="Q134" s="23">
        <f>(P134/$P$137)</f>
        <v>0.21528091196700341</v>
      </c>
      <c r="R134" s="30">
        <v>598858183</v>
      </c>
      <c r="S134" s="23">
        <f>(R134/$R$137)</f>
        <v>0.2091963378523613</v>
      </c>
      <c r="T134" s="24">
        <f t="shared" ref="T134:T149" si="111">((R134-P134)/P134)</f>
        <v>3.4179126154918187E-2</v>
      </c>
      <c r="U134" s="59">
        <f t="shared" ref="U134:U149" si="112">(L134/R134)</f>
        <v>8.1224419538406811E-3</v>
      </c>
      <c r="V134" s="25">
        <f t="shared" ref="V134:V148" si="113">M134/R134</f>
        <v>1.9810674357938929E-2</v>
      </c>
      <c r="W134" s="26">
        <f t="shared" ref="W134:W148" si="114">R134/AE134</f>
        <v>16.006992906179111</v>
      </c>
      <c r="X134" s="26">
        <f t="shared" ref="X134:X148" si="115">M134/AE134</f>
        <v>0.31710932391415281</v>
      </c>
      <c r="Y134" s="20">
        <v>16.007100000000001</v>
      </c>
      <c r="Z134" s="20">
        <v>16.185099999999998</v>
      </c>
      <c r="AA134" s="27">
        <v>1531</v>
      </c>
      <c r="AB134" s="27">
        <v>37412285.149999999</v>
      </c>
      <c r="AC134" s="27">
        <v>0</v>
      </c>
      <c r="AD134" s="27">
        <v>0</v>
      </c>
      <c r="AE134" s="111">
        <v>37412285.149999999</v>
      </c>
      <c r="AF134" s="211"/>
    </row>
    <row r="135" spans="1:256" ht="15.75" customHeight="1" x14ac:dyDescent="0.3">
      <c r="A135" s="172">
        <v>116</v>
      </c>
      <c r="B135" s="58" t="s">
        <v>23</v>
      </c>
      <c r="C135" s="57" t="s">
        <v>144</v>
      </c>
      <c r="D135" s="20">
        <v>1393502003.9000001</v>
      </c>
      <c r="E135" s="20"/>
      <c r="F135" s="20">
        <v>338859405.89999998</v>
      </c>
      <c r="G135" s="20">
        <v>12219795.49</v>
      </c>
      <c r="H135" s="29"/>
      <c r="I135" s="20"/>
      <c r="J135" s="20">
        <v>1756845745.55</v>
      </c>
      <c r="K135" s="20">
        <v>24567470.559999999</v>
      </c>
      <c r="L135" s="20">
        <v>8069533.0899999999</v>
      </c>
      <c r="M135" s="152">
        <v>94227426.590000004</v>
      </c>
      <c r="N135" s="20">
        <v>1784662489.9300001</v>
      </c>
      <c r="O135" s="20">
        <v>6846064.2599999998</v>
      </c>
      <c r="P135" s="30">
        <v>1672376677.4300001</v>
      </c>
      <c r="Q135" s="23">
        <f t="shared" ref="Q135:Q136" si="116">(P135/$P$137)</f>
        <v>0.62174371856457555</v>
      </c>
      <c r="R135" s="30">
        <v>1777816425.6700001</v>
      </c>
      <c r="S135" s="23">
        <f>(R135/$R$137)</f>
        <v>0.6210363257638557</v>
      </c>
      <c r="T135" s="24">
        <f>((R135-P135)/P135)</f>
        <v>6.3047846614336295E-2</v>
      </c>
      <c r="U135" s="59">
        <f t="shared" si="112"/>
        <v>4.5390136875121181E-3</v>
      </c>
      <c r="V135" s="25">
        <f t="shared" si="113"/>
        <v>5.3001775227995665E-2</v>
      </c>
      <c r="W135" s="26">
        <f t="shared" si="114"/>
        <v>1.4569864020320031</v>
      </c>
      <c r="X135" s="26">
        <f>M135/AE135</f>
        <v>7.7222865790746359E-2</v>
      </c>
      <c r="Y135" s="20">
        <v>1.44</v>
      </c>
      <c r="Z135" s="20">
        <v>1.47</v>
      </c>
      <c r="AA135" s="27">
        <v>9479</v>
      </c>
      <c r="AB135" s="27">
        <v>1219961997.52</v>
      </c>
      <c r="AC135" s="27">
        <v>8260652.5599999996</v>
      </c>
      <c r="AD135" s="27">
        <v>8021539.6299999999</v>
      </c>
      <c r="AE135" s="150">
        <f>(AB135+AC135)-AD135</f>
        <v>1220201110.4499998</v>
      </c>
      <c r="AF135" s="211"/>
    </row>
    <row r="136" spans="1:256" ht="15.75" customHeight="1" x14ac:dyDescent="0.3">
      <c r="A136" s="172">
        <v>117</v>
      </c>
      <c r="B136" s="57" t="s">
        <v>35</v>
      </c>
      <c r="C136" s="57" t="s">
        <v>145</v>
      </c>
      <c r="D136" s="20">
        <v>173091268.55000001</v>
      </c>
      <c r="E136" s="20"/>
      <c r="F136" s="20">
        <v>9831683.2400000002</v>
      </c>
      <c r="G136" s="20"/>
      <c r="H136" s="21"/>
      <c r="I136" s="20"/>
      <c r="J136" s="20">
        <v>334502983.87</v>
      </c>
      <c r="K136" s="20">
        <v>3391361.01</v>
      </c>
      <c r="L136" s="21">
        <v>1294137.95</v>
      </c>
      <c r="M136" s="152">
        <v>7022922.5199999996</v>
      </c>
      <c r="N136" s="20">
        <v>492118128</v>
      </c>
      <c r="O136" s="20">
        <v>6131807</v>
      </c>
      <c r="P136" s="30">
        <v>438373881</v>
      </c>
      <c r="Q136" s="23">
        <f t="shared" si="116"/>
        <v>0.16297536946842109</v>
      </c>
      <c r="R136" s="30">
        <v>485986321</v>
      </c>
      <c r="S136" s="23">
        <f t="shared" ref="S136" si="117">(R136/$R$137)</f>
        <v>0.16976733638378305</v>
      </c>
      <c r="T136" s="24">
        <f t="shared" si="111"/>
        <v>0.10861148910466224</v>
      </c>
      <c r="U136" s="59">
        <f t="shared" si="112"/>
        <v>2.6629102385785051E-3</v>
      </c>
      <c r="V136" s="25">
        <f t="shared" si="113"/>
        <v>1.4450864595425515E-2</v>
      </c>
      <c r="W136" s="26">
        <f t="shared" si="114"/>
        <v>42.047388307832229</v>
      </c>
      <c r="X136" s="26">
        <f t="shared" si="115"/>
        <v>0.6076211150277615</v>
      </c>
      <c r="Y136" s="20">
        <v>41.837200000000003</v>
      </c>
      <c r="Z136" s="20">
        <v>43.098599999999998</v>
      </c>
      <c r="AA136" s="27">
        <v>187</v>
      </c>
      <c r="AB136" s="27">
        <v>10932117</v>
      </c>
      <c r="AC136" s="27">
        <v>893535</v>
      </c>
      <c r="AD136" s="27">
        <v>267590</v>
      </c>
      <c r="AE136" s="111">
        <v>11558062</v>
      </c>
      <c r="AF136" s="211"/>
    </row>
    <row r="137" spans="1:256" ht="15" customHeight="1" x14ac:dyDescent="0.3">
      <c r="A137" s="109"/>
      <c r="B137" s="87"/>
      <c r="C137" s="79" t="s">
        <v>52</v>
      </c>
      <c r="D137" s="36">
        <f>SUM(D134:D136)</f>
        <v>1884575985.75</v>
      </c>
      <c r="E137" s="36"/>
      <c r="F137" s="36">
        <f t="shared" ref="F137:H137" si="118">SUM(F134:F136)</f>
        <v>391380238.70999998</v>
      </c>
      <c r="G137" s="36">
        <f t="shared" si="118"/>
        <v>254930007.55000001</v>
      </c>
      <c r="H137" s="36">
        <f t="shared" si="118"/>
        <v>0</v>
      </c>
      <c r="I137" s="36"/>
      <c r="J137" s="36">
        <f t="shared" ref="J137" si="119">SUM(J134:J136)</f>
        <v>2694730804.3499999</v>
      </c>
      <c r="K137" s="36">
        <f t="shared" ref="K137" si="120">SUM(K134:K136)</f>
        <v>30549198.350000001</v>
      </c>
      <c r="L137" s="36">
        <f t="shared" ref="L137" si="121">SUM(L134:L136)</f>
        <v>14227861.869999999</v>
      </c>
      <c r="M137" s="36">
        <f t="shared" ref="M137:N137" si="122">SUM(M134:M136)</f>
        <v>113114133.56</v>
      </c>
      <c r="N137" s="36">
        <f t="shared" si="122"/>
        <v>2880502991.77</v>
      </c>
      <c r="O137" s="36">
        <f t="shared" ref="O137" si="123">SUM(O134:O136)</f>
        <v>17842062.100000001</v>
      </c>
      <c r="P137" s="37">
        <f>SUM(P134:P136)</f>
        <v>2689816764.52</v>
      </c>
      <c r="Q137" s="88">
        <f>(P137/$P$150)</f>
        <v>1.9039814291722755E-3</v>
      </c>
      <c r="R137" s="37">
        <f>SUM(R134:R136)</f>
        <v>2862660929.6700001</v>
      </c>
      <c r="S137" s="88">
        <f>(R137/$R$150)</f>
        <v>2.0335178493313751E-3</v>
      </c>
      <c r="T137" s="38">
        <f t="shared" si="111"/>
        <v>6.4258713615700236E-2</v>
      </c>
      <c r="U137" s="51"/>
      <c r="V137" s="39"/>
      <c r="W137" s="40"/>
      <c r="X137" s="40"/>
      <c r="Y137" s="36"/>
      <c r="Z137" s="36"/>
      <c r="AA137" s="41">
        <f>SUM(AA134:AA136)</f>
        <v>11197</v>
      </c>
      <c r="AB137" s="41"/>
      <c r="AC137" s="41"/>
      <c r="AD137" s="41"/>
      <c r="AE137" s="120"/>
      <c r="AF137" s="211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  <c r="IS137" s="18"/>
      <c r="IT137" s="18"/>
      <c r="IU137" s="18"/>
      <c r="IV137" s="18"/>
    </row>
    <row r="138" spans="1:256" ht="15.75" customHeight="1" x14ac:dyDescent="0.3">
      <c r="A138" s="203" t="s">
        <v>184</v>
      </c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4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2"/>
      <c r="AF138" s="211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  <c r="IS138" s="18"/>
      <c r="IT138" s="18"/>
      <c r="IU138" s="18"/>
      <c r="IV138" s="18"/>
    </row>
    <row r="139" spans="1:256" ht="15.75" customHeight="1" x14ac:dyDescent="0.3">
      <c r="A139" s="199" t="s">
        <v>185</v>
      </c>
      <c r="B139" s="200"/>
      <c r="C139" s="200"/>
      <c r="D139" s="105"/>
      <c r="E139" s="105"/>
      <c r="F139" s="105"/>
      <c r="G139" s="105"/>
      <c r="H139" s="105"/>
      <c r="I139" s="105"/>
      <c r="J139" s="105"/>
      <c r="K139" s="105"/>
      <c r="L139" s="91"/>
      <c r="M139" s="167"/>
      <c r="N139" s="91"/>
      <c r="O139" s="96"/>
      <c r="P139" s="91"/>
      <c r="Q139" s="92"/>
      <c r="R139" s="91"/>
      <c r="S139" s="92"/>
      <c r="T139" s="92"/>
      <c r="U139" s="97"/>
      <c r="V139" s="94"/>
      <c r="W139" s="95"/>
      <c r="X139" s="95"/>
      <c r="Y139" s="91"/>
      <c r="Z139" s="91"/>
      <c r="AA139" s="98"/>
      <c r="AB139" s="98"/>
      <c r="AC139" s="98"/>
      <c r="AD139" s="98"/>
      <c r="AE139" s="117"/>
      <c r="AF139" s="211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  <c r="IG139" s="18"/>
      <c r="IH139" s="18"/>
      <c r="II139" s="18"/>
      <c r="IJ139" s="18"/>
      <c r="IK139" s="18"/>
      <c r="IL139" s="18"/>
      <c r="IM139" s="18"/>
      <c r="IN139" s="18"/>
      <c r="IO139" s="18"/>
      <c r="IP139" s="18"/>
      <c r="IQ139" s="18"/>
      <c r="IR139" s="18"/>
      <c r="IS139" s="18"/>
      <c r="IT139" s="18"/>
      <c r="IU139" s="18"/>
      <c r="IV139" s="18"/>
    </row>
    <row r="140" spans="1:256" ht="15.75" customHeight="1" x14ac:dyDescent="0.3">
      <c r="A140" s="172">
        <v>118</v>
      </c>
      <c r="B140" s="58" t="s">
        <v>108</v>
      </c>
      <c r="C140" s="57" t="s">
        <v>167</v>
      </c>
      <c r="D140" s="21">
        <v>1423011290.95</v>
      </c>
      <c r="E140" s="138"/>
      <c r="F140" s="21"/>
      <c r="G140" s="20">
        <v>819515726.73000002</v>
      </c>
      <c r="H140" s="20"/>
      <c r="I140" s="21"/>
      <c r="J140" s="179">
        <v>3280932177.3499999</v>
      </c>
      <c r="K140" s="28">
        <v>66140628.57</v>
      </c>
      <c r="L140" s="21">
        <v>51779497.689999998</v>
      </c>
      <c r="M140" s="152">
        <v>74101284.680000007</v>
      </c>
      <c r="N140" s="21">
        <v>3374814061.02</v>
      </c>
      <c r="O140" s="21">
        <v>354070519</v>
      </c>
      <c r="P140" s="22">
        <v>2976417800.5</v>
      </c>
      <c r="Q140" s="23">
        <f>(P140/$P$149)</f>
        <v>0.16056063998321898</v>
      </c>
      <c r="R140" s="22">
        <v>3020743542.02</v>
      </c>
      <c r="S140" s="23">
        <f>(R140/$R$149)</f>
        <v>0.16121989472358411</v>
      </c>
      <c r="T140" s="24">
        <f>((R140-P140)/P140)</f>
        <v>1.4892311661539528E-2</v>
      </c>
      <c r="U140" s="59">
        <f>(L140/R140)</f>
        <v>1.7141308743930824E-2</v>
      </c>
      <c r="V140" s="25">
        <f>M140/R140</f>
        <v>2.4530809600091959E-2</v>
      </c>
      <c r="W140" s="26">
        <f>R140/AE140</f>
        <v>1.517047651393215</v>
      </c>
      <c r="X140" s="26">
        <f>M140/AE140</f>
        <v>3.7214407090593642E-2</v>
      </c>
      <c r="Y140" s="28">
        <v>1.5</v>
      </c>
      <c r="Z140" s="28">
        <v>1.53</v>
      </c>
      <c r="AA140" s="31">
        <v>15183</v>
      </c>
      <c r="AB140" s="28">
        <v>1981134639.0899999</v>
      </c>
      <c r="AC140" s="28">
        <v>12001436</v>
      </c>
      <c r="AD140" s="28">
        <v>1937223</v>
      </c>
      <c r="AE140" s="150">
        <f>(AB140+AC140)-AD140</f>
        <v>1991198852.0899999</v>
      </c>
      <c r="AF140" s="211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  <c r="IG140" s="18"/>
      <c r="IH140" s="18"/>
      <c r="II140" s="18"/>
      <c r="IJ140" s="18"/>
      <c r="IK140" s="18"/>
      <c r="IL140" s="18"/>
      <c r="IM140" s="18"/>
      <c r="IN140" s="18"/>
      <c r="IO140" s="18"/>
      <c r="IP140" s="18"/>
      <c r="IQ140" s="18"/>
      <c r="IR140" s="18"/>
      <c r="IS140" s="18"/>
      <c r="IT140" s="18"/>
      <c r="IU140" s="18"/>
      <c r="IV140" s="18"/>
    </row>
    <row r="141" spans="1:256" ht="15.75" customHeight="1" x14ac:dyDescent="0.3">
      <c r="A141" s="172">
        <v>119</v>
      </c>
      <c r="B141" s="58" t="s">
        <v>23</v>
      </c>
      <c r="C141" s="58" t="s">
        <v>146</v>
      </c>
      <c r="D141" s="53">
        <v>225428374.69999999</v>
      </c>
      <c r="E141" s="53"/>
      <c r="F141" s="53">
        <v>50178894.579999998</v>
      </c>
      <c r="G141" s="53">
        <v>23493288.039999999</v>
      </c>
      <c r="H141" s="53"/>
      <c r="I141" s="53"/>
      <c r="J141" s="53">
        <v>301412233.43000001</v>
      </c>
      <c r="K141" s="53">
        <v>4452807.2300000004</v>
      </c>
      <c r="L141" s="53">
        <v>2959621.26</v>
      </c>
      <c r="M141" s="152">
        <v>8715954.8699999992</v>
      </c>
      <c r="N141" s="20">
        <v>311713983.19</v>
      </c>
      <c r="O141" s="20">
        <v>5069142.1500000004</v>
      </c>
      <c r="P141" s="30">
        <v>296098804.31</v>
      </c>
      <c r="Q141" s="23">
        <f>(P141/$P$149)</f>
        <v>1.5972829321976606E-2</v>
      </c>
      <c r="R141" s="30">
        <v>306644841.04000002</v>
      </c>
      <c r="S141" s="23">
        <f>(R141/$R$149)</f>
        <v>1.6365920609380771E-2</v>
      </c>
      <c r="T141" s="24">
        <f t="shared" si="111"/>
        <v>3.5616613699523313E-2</v>
      </c>
      <c r="U141" s="59">
        <f t="shared" si="112"/>
        <v>9.6516258025483442E-3</v>
      </c>
      <c r="V141" s="25">
        <f t="shared" si="113"/>
        <v>2.8423614890892797E-2</v>
      </c>
      <c r="W141" s="26">
        <f t="shared" si="114"/>
        <v>262.84673662807626</v>
      </c>
      <c r="X141" s="26">
        <f t="shared" si="115"/>
        <v>7.4710544172443649</v>
      </c>
      <c r="Y141" s="20">
        <v>260.29000000000002</v>
      </c>
      <c r="Z141" s="20">
        <v>264.25</v>
      </c>
      <c r="AA141" s="27">
        <v>473</v>
      </c>
      <c r="AB141" s="27">
        <v>1160539.97</v>
      </c>
      <c r="AC141" s="27">
        <v>18634.57</v>
      </c>
      <c r="AD141" s="27">
        <v>12544.72</v>
      </c>
      <c r="AE141" s="150">
        <f>(AB141+AC141)-AD141</f>
        <v>1166629.82</v>
      </c>
      <c r="AF141" s="211"/>
    </row>
    <row r="142" spans="1:256" ht="4.5" customHeight="1" x14ac:dyDescent="0.3">
      <c r="A142" s="172"/>
      <c r="B142" s="58"/>
      <c r="C142" s="58"/>
      <c r="D142" s="53"/>
      <c r="E142" s="53"/>
      <c r="F142" s="53"/>
      <c r="G142" s="53"/>
      <c r="H142" s="53"/>
      <c r="I142" s="53"/>
      <c r="J142" s="53"/>
      <c r="K142" s="53"/>
      <c r="L142" s="53"/>
      <c r="M142" s="152"/>
      <c r="N142" s="20"/>
      <c r="O142" s="20"/>
      <c r="P142" s="30"/>
      <c r="Q142" s="23"/>
      <c r="R142" s="30"/>
      <c r="S142" s="23"/>
      <c r="T142" s="24"/>
      <c r="U142" s="59"/>
      <c r="V142" s="25"/>
      <c r="W142" s="26"/>
      <c r="X142" s="26"/>
      <c r="Y142" s="20"/>
      <c r="Z142" s="20"/>
      <c r="AA142" s="27"/>
      <c r="AB142" s="27"/>
      <c r="AC142" s="27"/>
      <c r="AD142" s="27"/>
      <c r="AE142" s="111"/>
      <c r="AF142" s="211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  <c r="IS142" s="18"/>
      <c r="IT142" s="18"/>
      <c r="IU142" s="18"/>
      <c r="IV142" s="18"/>
    </row>
    <row r="143" spans="1:256" ht="15.75" customHeight="1" x14ac:dyDescent="0.3">
      <c r="A143" s="199" t="s">
        <v>186</v>
      </c>
      <c r="B143" s="200"/>
      <c r="C143" s="200"/>
      <c r="D143" s="105"/>
      <c r="E143" s="105"/>
      <c r="F143" s="105"/>
      <c r="G143" s="105"/>
      <c r="H143" s="105"/>
      <c r="I143" s="105"/>
      <c r="J143" s="105"/>
      <c r="K143" s="105"/>
      <c r="L143" s="91"/>
      <c r="M143" s="167"/>
      <c r="N143" s="91"/>
      <c r="O143" s="91"/>
      <c r="P143" s="91"/>
      <c r="Q143" s="92"/>
      <c r="R143" s="91"/>
      <c r="S143" s="92"/>
      <c r="T143" s="92"/>
      <c r="U143" s="97"/>
      <c r="V143" s="94"/>
      <c r="W143" s="95"/>
      <c r="X143" s="95"/>
      <c r="Y143" s="91"/>
      <c r="Z143" s="91"/>
      <c r="AA143" s="98"/>
      <c r="AB143" s="98"/>
      <c r="AC143" s="98"/>
      <c r="AD143" s="98"/>
      <c r="AE143" s="117"/>
      <c r="AF143" s="211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  <c r="IS143" s="18"/>
      <c r="IT143" s="18"/>
      <c r="IU143" s="18"/>
      <c r="IV143" s="18"/>
    </row>
    <row r="144" spans="1:256" ht="15.75" customHeight="1" x14ac:dyDescent="0.3">
      <c r="A144" s="172">
        <v>120</v>
      </c>
      <c r="B144" s="57" t="s">
        <v>23</v>
      </c>
      <c r="C144" s="57" t="s">
        <v>117</v>
      </c>
      <c r="D144" s="74"/>
      <c r="E144" s="74"/>
      <c r="F144" s="74">
        <v>460921384.47000003</v>
      </c>
      <c r="G144" s="74">
        <v>6636371370.29</v>
      </c>
      <c r="H144" s="74"/>
      <c r="I144" s="53"/>
      <c r="J144" s="53">
        <v>7097292754.7600002</v>
      </c>
      <c r="K144" s="53">
        <v>32130783</v>
      </c>
      <c r="L144" s="53">
        <v>13778285.58</v>
      </c>
      <c r="M144" s="152">
        <v>18352497.420000002</v>
      </c>
      <c r="N144" s="20">
        <v>7185704861.6000004</v>
      </c>
      <c r="O144" s="20">
        <v>50088229.729999997</v>
      </c>
      <c r="P144" s="30">
        <v>7238796822.5</v>
      </c>
      <c r="Q144" s="23">
        <f>(P144/$P$149)</f>
        <v>0.39049149965903518</v>
      </c>
      <c r="R144" s="30">
        <v>7135616631.8699999</v>
      </c>
      <c r="S144" s="23">
        <f>(R144/$R$149)</f>
        <v>0.38083450189507034</v>
      </c>
      <c r="T144" s="24">
        <f>((R144-P144)/P144)</f>
        <v>-1.425377630565485E-2</v>
      </c>
      <c r="U144" s="59">
        <f>(L144/R144)</f>
        <v>1.9309172971066952E-3</v>
      </c>
      <c r="V144" s="25">
        <f>M144/R144</f>
        <v>2.5719567581632317E-3</v>
      </c>
      <c r="W144" s="26">
        <f>R144/AE144</f>
        <v>118.17243989724483</v>
      </c>
      <c r="X144" s="26">
        <f>M144/AE144</f>
        <v>0.30393440542235711</v>
      </c>
      <c r="Y144" s="20">
        <v>118.17</v>
      </c>
      <c r="Z144" s="20">
        <v>118.17</v>
      </c>
      <c r="AA144" s="27">
        <v>964</v>
      </c>
      <c r="AB144" s="27">
        <v>61397331.289999999</v>
      </c>
      <c r="AC144" s="27">
        <v>475158.99</v>
      </c>
      <c r="AD144" s="27">
        <v>1489404.02</v>
      </c>
      <c r="AE144" s="150">
        <v>60383086.259999998</v>
      </c>
      <c r="AF144" s="211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  <c r="IS144" s="18"/>
      <c r="IT144" s="18"/>
      <c r="IU144" s="18"/>
      <c r="IV144" s="18"/>
    </row>
    <row r="145" spans="1:256" ht="15.75" customHeight="1" x14ac:dyDescent="0.3">
      <c r="A145" s="172">
        <v>121</v>
      </c>
      <c r="B145" s="58" t="s">
        <v>55</v>
      </c>
      <c r="C145" s="58" t="s">
        <v>187</v>
      </c>
      <c r="D145" s="74"/>
      <c r="E145" s="74"/>
      <c r="F145" s="74">
        <v>540211786</v>
      </c>
      <c r="G145" s="74">
        <v>5039874199.6300001</v>
      </c>
      <c r="H145" s="74"/>
      <c r="I145" s="53"/>
      <c r="J145" s="53">
        <v>5566677926.79</v>
      </c>
      <c r="K145" s="53">
        <v>60270990.119999997</v>
      </c>
      <c r="L145" s="53">
        <v>8840073.4100000001</v>
      </c>
      <c r="M145" s="152">
        <v>51430916.719999999</v>
      </c>
      <c r="N145" s="20">
        <v>5578606814.4300003</v>
      </c>
      <c r="O145" s="20">
        <v>11928887.640000001</v>
      </c>
      <c r="P145" s="30">
        <v>5349697050.8999996</v>
      </c>
      <c r="Q145" s="23">
        <f t="shared" ref="Q145:Q147" si="124">(P145/$P$149)</f>
        <v>0.28858542038841134</v>
      </c>
      <c r="R145" s="30">
        <v>5566677926.79</v>
      </c>
      <c r="S145" s="23">
        <f t="shared" ref="S145:S147" si="125">(R145/$R$149)</f>
        <v>0.29709878274441121</v>
      </c>
      <c r="T145" s="24">
        <f>((R145-P145)/P145)</f>
        <v>4.0559469784087462E-2</v>
      </c>
      <c r="U145" s="59">
        <f t="shared" si="112"/>
        <v>1.5880339272830158E-3</v>
      </c>
      <c r="V145" s="25">
        <f>M145/R145</f>
        <v>9.2390681473568572E-3</v>
      </c>
      <c r="W145" s="26">
        <f>R145/AE145</f>
        <v>115.632141778858</v>
      </c>
      <c r="X145" s="26">
        <f>M145/AE145</f>
        <v>1.068333237919699</v>
      </c>
      <c r="Y145" s="20">
        <v>119.08</v>
      </c>
      <c r="Z145" s="20">
        <v>119.08</v>
      </c>
      <c r="AA145" s="27">
        <v>382</v>
      </c>
      <c r="AB145" s="27">
        <v>46187383</v>
      </c>
      <c r="AC145" s="27">
        <v>2333593</v>
      </c>
      <c r="AD145" s="27">
        <v>379708</v>
      </c>
      <c r="AE145" s="150">
        <v>48141268</v>
      </c>
      <c r="AF145" s="211"/>
    </row>
    <row r="146" spans="1:256" ht="15.75" customHeight="1" x14ac:dyDescent="0.3">
      <c r="A146" s="172">
        <v>122</v>
      </c>
      <c r="B146" s="58" t="s">
        <v>33</v>
      </c>
      <c r="C146" s="58" t="s">
        <v>158</v>
      </c>
      <c r="D146" s="74"/>
      <c r="E146" s="74"/>
      <c r="F146" s="74"/>
      <c r="G146" s="74">
        <v>1465431463</v>
      </c>
      <c r="H146" s="74"/>
      <c r="I146" s="53"/>
      <c r="J146" s="53">
        <v>1465431463</v>
      </c>
      <c r="K146" s="53">
        <v>13812909</v>
      </c>
      <c r="L146" s="53">
        <v>3147290</v>
      </c>
      <c r="M146" s="152">
        <v>10665619</v>
      </c>
      <c r="N146" s="20">
        <v>1887268982</v>
      </c>
      <c r="O146" s="20">
        <v>19564743.43</v>
      </c>
      <c r="P146" s="30">
        <v>1867114170</v>
      </c>
      <c r="Q146" s="23">
        <f t="shared" si="124"/>
        <v>0.10072008237774169</v>
      </c>
      <c r="R146" s="30">
        <v>1867704239</v>
      </c>
      <c r="S146" s="23">
        <f t="shared" si="125"/>
        <v>9.9681113804522409E-2</v>
      </c>
      <c r="T146" s="24">
        <f>((R146-P146)/P146)</f>
        <v>3.1603262911340872E-4</v>
      </c>
      <c r="U146" s="59">
        <f t="shared" si="112"/>
        <v>1.6851115579654687E-3</v>
      </c>
      <c r="V146" s="25">
        <f>M146/R146</f>
        <v>5.7105502987510222E-3</v>
      </c>
      <c r="W146" s="26">
        <f>R146/AE146</f>
        <v>1.0981448359427961</v>
      </c>
      <c r="X146" s="26">
        <f>M146/AE146</f>
        <v>6.2710113209650262E-3</v>
      </c>
      <c r="Y146" s="20">
        <v>1.1000000000000001</v>
      </c>
      <c r="Z146" s="20">
        <v>1.1000000000000001</v>
      </c>
      <c r="AA146" s="27">
        <v>114</v>
      </c>
      <c r="AB146" s="27">
        <v>1706748506</v>
      </c>
      <c r="AC146" s="27">
        <v>68695437</v>
      </c>
      <c r="AD146" s="27">
        <v>74662609</v>
      </c>
      <c r="AE146" s="150">
        <v>1700781334</v>
      </c>
      <c r="AF146" s="211"/>
    </row>
    <row r="147" spans="1:256" ht="15.75" customHeight="1" x14ac:dyDescent="0.3">
      <c r="A147" s="172">
        <v>123</v>
      </c>
      <c r="B147" s="58" t="s">
        <v>188</v>
      </c>
      <c r="C147" s="58" t="s">
        <v>154</v>
      </c>
      <c r="D147" s="74"/>
      <c r="E147" s="74"/>
      <c r="F147" s="74"/>
      <c r="G147" s="74">
        <v>260942841.75</v>
      </c>
      <c r="H147" s="74"/>
      <c r="I147" s="53"/>
      <c r="J147" s="53">
        <v>304624514.60000002</v>
      </c>
      <c r="K147" s="53">
        <v>2803735.94</v>
      </c>
      <c r="L147" s="53">
        <v>914542.5</v>
      </c>
      <c r="M147" s="152">
        <v>1889193.44</v>
      </c>
      <c r="N147" s="20">
        <v>313495349.86000001</v>
      </c>
      <c r="O147" s="20">
        <v>787913.23</v>
      </c>
      <c r="P147" s="30">
        <v>287068864.64999998</v>
      </c>
      <c r="Q147" s="23">
        <f t="shared" si="124"/>
        <v>1.5485715956851625E-2</v>
      </c>
      <c r="R147" s="30">
        <v>312707436.63</v>
      </c>
      <c r="S147" s="23">
        <f t="shared" si="125"/>
        <v>1.6689486979440064E-2</v>
      </c>
      <c r="T147" s="24">
        <f>((R147-P147)/P147)</f>
        <v>8.9311573413783735E-2</v>
      </c>
      <c r="U147" s="59">
        <f t="shared" si="112"/>
        <v>2.9245946622052997E-3</v>
      </c>
      <c r="V147" s="25">
        <f t="shared" si="113"/>
        <v>6.0414087376991967E-3</v>
      </c>
      <c r="W147" s="26">
        <f t="shared" si="114"/>
        <v>101.16877949095229</v>
      </c>
      <c r="X147" s="26">
        <f t="shared" si="115"/>
        <v>0.61120194839900244</v>
      </c>
      <c r="Y147" s="20">
        <v>101.17</v>
      </c>
      <c r="Z147" s="20">
        <v>101.17</v>
      </c>
      <c r="AA147" s="27">
        <v>212</v>
      </c>
      <c r="AB147" s="27">
        <v>2804718</v>
      </c>
      <c r="AC147" s="27">
        <v>451071</v>
      </c>
      <c r="AD147" s="27">
        <v>164841</v>
      </c>
      <c r="AE147" s="150">
        <v>3090948</v>
      </c>
      <c r="AF147" s="211"/>
    </row>
    <row r="148" spans="1:256" ht="16.5" customHeight="1" x14ac:dyDescent="0.3">
      <c r="A148" s="172">
        <v>124</v>
      </c>
      <c r="B148" s="58" t="s">
        <v>203</v>
      </c>
      <c r="C148" s="57" t="s">
        <v>208</v>
      </c>
      <c r="D148" s="20"/>
      <c r="E148" s="20"/>
      <c r="F148" s="20">
        <v>100001182</v>
      </c>
      <c r="G148" s="20">
        <v>248422682</v>
      </c>
      <c r="H148" s="20"/>
      <c r="I148" s="20"/>
      <c r="J148" s="20">
        <v>348423864</v>
      </c>
      <c r="K148" s="20">
        <v>3349118</v>
      </c>
      <c r="L148" s="20">
        <v>750652</v>
      </c>
      <c r="M148" s="152">
        <v>2598465</v>
      </c>
      <c r="N148" s="20">
        <v>514102556.73000002</v>
      </c>
      <c r="O148" s="20">
        <v>12594257.17</v>
      </c>
      <c r="P148" s="30">
        <v>522461798</v>
      </c>
      <c r="Q148" s="23">
        <f>(P148/$P$81)</f>
        <v>1.2554452954496151E-3</v>
      </c>
      <c r="R148" s="30">
        <v>526696814</v>
      </c>
      <c r="S148" s="23">
        <f>(R148/$R$149)</f>
        <v>2.8110299243590983E-2</v>
      </c>
      <c r="T148" s="24">
        <f t="shared" ref="T148" si="126">((R148-P148)/P148)</f>
        <v>8.1058864326765574E-3</v>
      </c>
      <c r="U148" s="59">
        <f t="shared" si="112"/>
        <v>1.4252070262190727E-3</v>
      </c>
      <c r="V148" s="25">
        <f t="shared" si="113"/>
        <v>4.9335119008333322E-3</v>
      </c>
      <c r="W148" s="26">
        <f t="shared" si="114"/>
        <v>1028.1785765877617</v>
      </c>
      <c r="X148" s="26">
        <f t="shared" si="115"/>
        <v>5.0725312437775978</v>
      </c>
      <c r="Y148" s="74">
        <v>1028.18</v>
      </c>
      <c r="Z148" s="74">
        <v>1028.18</v>
      </c>
      <c r="AA148" s="27">
        <v>19</v>
      </c>
      <c r="AB148" s="149">
        <v>500834</v>
      </c>
      <c r="AC148" s="149">
        <v>11428</v>
      </c>
      <c r="AD148" s="149">
        <v>0</v>
      </c>
      <c r="AE148" s="195">
        <v>512262</v>
      </c>
      <c r="AF148" s="5"/>
      <c r="AG148" s="5"/>
      <c r="AH148" s="5"/>
      <c r="AI148" s="5"/>
      <c r="AJ148" s="6"/>
      <c r="AK148" s="4"/>
      <c r="AL148" s="5"/>
      <c r="AM148" s="5"/>
      <c r="AN148" s="5"/>
      <c r="AO148" s="6"/>
      <c r="AP148" s="4"/>
      <c r="AQ148" s="5"/>
      <c r="AR148" s="5"/>
      <c r="AS148" s="5"/>
      <c r="AT148" s="6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  <c r="IS148" s="18"/>
      <c r="IT148" s="18"/>
      <c r="IU148" s="18"/>
      <c r="IV148" s="18"/>
    </row>
    <row r="149" spans="1:256" ht="15.75" customHeight="1" x14ac:dyDescent="0.3">
      <c r="A149" s="121"/>
      <c r="B149" s="53"/>
      <c r="C149" s="79" t="s">
        <v>52</v>
      </c>
      <c r="D149" s="36">
        <f>SUM(D140:D148)</f>
        <v>1648439665.6500001</v>
      </c>
      <c r="E149" s="36"/>
      <c r="F149" s="36">
        <f t="shared" ref="F149" si="127">SUM(F140:F148)</f>
        <v>1151313247.05</v>
      </c>
      <c r="G149" s="36">
        <f>SUM(G140:G148)</f>
        <v>14494051571.439999</v>
      </c>
      <c r="H149" s="36"/>
      <c r="I149" s="36">
        <f t="shared" ref="I149:L149" si="128">SUM(I140:I148)</f>
        <v>0</v>
      </c>
      <c r="J149" s="36">
        <f t="shared" si="128"/>
        <v>18364794933.93</v>
      </c>
      <c r="K149" s="36">
        <f t="shared" si="128"/>
        <v>182960971.85999998</v>
      </c>
      <c r="L149" s="36">
        <f t="shared" si="128"/>
        <v>82169962.439999998</v>
      </c>
      <c r="M149" s="36">
        <f t="shared" ref="M149" si="129">SUM(M140:M148)</f>
        <v>167753931.13</v>
      </c>
      <c r="N149" s="36">
        <f t="shared" ref="N149" si="130">SUM(N140:N148)</f>
        <v>19165706608.830002</v>
      </c>
      <c r="O149" s="36">
        <f t="shared" ref="O149" si="131">SUM(O140:O148)</f>
        <v>454103692.35000002</v>
      </c>
      <c r="P149" s="37">
        <f>SUM(P140:P148)</f>
        <v>18537655310.860001</v>
      </c>
      <c r="Q149" s="88">
        <f>(P149/$P$150)</f>
        <v>1.3121842319461018E-2</v>
      </c>
      <c r="R149" s="37">
        <f>SUM(R140:R148)</f>
        <v>18736791431.350002</v>
      </c>
      <c r="S149" s="88">
        <f>(R149/$R$150)</f>
        <v>1.3309854275770496E-2</v>
      </c>
      <c r="T149" s="38">
        <f t="shared" si="111"/>
        <v>1.0742249607658896E-2</v>
      </c>
      <c r="U149" s="59">
        <f t="shared" si="112"/>
        <v>4.3854873840627247E-3</v>
      </c>
      <c r="V149" s="39"/>
      <c r="W149" s="40"/>
      <c r="X149" s="40"/>
      <c r="Y149" s="36"/>
      <c r="Z149" s="36"/>
      <c r="AA149" s="41">
        <f>SUM(AA140:AA148)</f>
        <v>17347</v>
      </c>
      <c r="AB149" s="41"/>
      <c r="AC149" s="41"/>
      <c r="AD149" s="41"/>
      <c r="AE149" s="113"/>
      <c r="AF149" s="211"/>
    </row>
    <row r="150" spans="1:256" ht="15.75" customHeight="1" thickBot="1" x14ac:dyDescent="0.35">
      <c r="A150" s="122"/>
      <c r="B150" s="123"/>
      <c r="C150" s="124" t="s">
        <v>147</v>
      </c>
      <c r="D150" s="125">
        <f>SUM(D149,D137,D132,D108,D102,D81,D51,D20)</f>
        <v>31931934891</v>
      </c>
      <c r="E150" s="125"/>
      <c r="F150" s="125">
        <f t="shared" ref="F150:O150" si="132">SUM(F149,F137,F132,F108,F102,F81,F51,F20)</f>
        <v>682007734451.8374</v>
      </c>
      <c r="G150" s="125">
        <f t="shared" si="132"/>
        <v>510502020857.72247</v>
      </c>
      <c r="H150" s="125">
        <f t="shared" si="132"/>
        <v>33296305555.400002</v>
      </c>
      <c r="I150" s="125">
        <f t="shared" si="132"/>
        <v>8070871.4900000002</v>
      </c>
      <c r="J150" s="125">
        <f t="shared" si="132"/>
        <v>1278934824366.4304</v>
      </c>
      <c r="K150" s="125">
        <f t="shared" si="132"/>
        <v>9971681367.4892006</v>
      </c>
      <c r="L150" s="125">
        <f t="shared" si="132"/>
        <v>2252382631.3092999</v>
      </c>
      <c r="M150" s="125">
        <f t="shared" si="132"/>
        <v>9081568139.1774998</v>
      </c>
      <c r="N150" s="125">
        <f t="shared" si="132"/>
        <v>1420511148305.532</v>
      </c>
      <c r="O150" s="125">
        <f t="shared" si="132"/>
        <v>12650854704.794098</v>
      </c>
      <c r="P150" s="125">
        <f>SUM(P20,P51,P81,P102,P108,P132,P137,P149)</f>
        <v>1412732668138.1306</v>
      </c>
      <c r="Q150" s="126"/>
      <c r="R150" s="125">
        <f>SUM(R20,R51,R81,R102,R108,R132,R137,R149)</f>
        <v>1407738284968.2136</v>
      </c>
      <c r="S150" s="126"/>
      <c r="T150" s="127"/>
      <c r="U150" s="128"/>
      <c r="V150" s="129"/>
      <c r="W150" s="130"/>
      <c r="X150" s="130"/>
      <c r="Y150" s="125"/>
      <c r="Z150" s="125"/>
      <c r="AA150" s="132">
        <f>SUM(AA20,AA51,AA81,AA102,AA108,AA132,AA137,AA149)</f>
        <v>808195</v>
      </c>
      <c r="AB150" s="125">
        <f>SUM(AB4:AB148)</f>
        <v>260664224545.61523</v>
      </c>
      <c r="AC150" s="125">
        <f>SUM(AC4:AC148)</f>
        <v>30632383421.455505</v>
      </c>
      <c r="AD150" s="125">
        <f>SUM(AD4:AD148)</f>
        <v>29887818969.379108</v>
      </c>
      <c r="AE150" s="131">
        <f>SUM(AE4:AE148)</f>
        <v>261408609190.54178</v>
      </c>
      <c r="AF150" s="211"/>
    </row>
    <row r="151" spans="1:256" ht="6" customHeight="1" x14ac:dyDescent="0.25">
      <c r="A151" s="145"/>
      <c r="B151" s="145"/>
      <c r="C151" s="145"/>
      <c r="D151" s="5"/>
      <c r="E151" s="5"/>
      <c r="F151" s="5"/>
      <c r="G151" s="5"/>
      <c r="H151" s="5"/>
      <c r="I151" s="146"/>
      <c r="J151" s="5"/>
      <c r="K151" s="5"/>
      <c r="L151" s="5"/>
      <c r="M151" s="17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256" ht="15.75" customHeight="1" x14ac:dyDescent="0.3">
      <c r="A152" s="139" t="s">
        <v>164</v>
      </c>
      <c r="B152" s="140" t="s">
        <v>165</v>
      </c>
      <c r="C152" s="141"/>
      <c r="D152" s="5"/>
      <c r="E152" s="5"/>
      <c r="F152" s="5"/>
      <c r="G152" s="5"/>
      <c r="H152" s="142"/>
      <c r="I152" s="5"/>
      <c r="J152" s="5"/>
      <c r="K152" s="5"/>
      <c r="L152" s="5"/>
      <c r="M152" s="170"/>
      <c r="N152" s="5"/>
      <c r="O152" s="5"/>
      <c r="P152" s="143"/>
      <c r="Q152" s="5"/>
      <c r="R152" s="143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144"/>
    </row>
    <row r="155" spans="1:256" ht="15.75" customHeight="1" x14ac:dyDescent="0.25">
      <c r="E155" s="75"/>
    </row>
  </sheetData>
  <mergeCells count="24">
    <mergeCell ref="A83:C83"/>
    <mergeCell ref="A94:C94"/>
    <mergeCell ref="A103:C103"/>
    <mergeCell ref="A109:C109"/>
    <mergeCell ref="A133:C133"/>
    <mergeCell ref="A1:AE1"/>
    <mergeCell ref="A3:C3"/>
    <mergeCell ref="A21:C21"/>
    <mergeCell ref="A52:C52"/>
    <mergeCell ref="A82:C82"/>
    <mergeCell ref="AA138:AE138"/>
    <mergeCell ref="J138:K138"/>
    <mergeCell ref="A139:C139"/>
    <mergeCell ref="L138:M138"/>
    <mergeCell ref="N138:O138"/>
    <mergeCell ref="P138:Q138"/>
    <mergeCell ref="A138:C138"/>
    <mergeCell ref="D138:F138"/>
    <mergeCell ref="G138:I138"/>
    <mergeCell ref="A143:C143"/>
    <mergeCell ref="R138:S138"/>
    <mergeCell ref="U138:V138"/>
    <mergeCell ref="W138:X138"/>
    <mergeCell ref="Y138:Z138"/>
  </mergeCells>
  <phoneticPr fontId="1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60" max="16383" man="1"/>
    <brk id="94" max="16383" man="1"/>
    <brk id="129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N1" sqref="N1"/>
    </sheetView>
  </sheetViews>
  <sheetFormatPr defaultColWidth="10" defaultRowHeight="12.95" customHeight="1" x14ac:dyDescent="0.25"/>
  <cols>
    <col min="1" max="256" width="10" style="13" customWidth="1"/>
  </cols>
  <sheetData>
    <row r="1" spans="1:12" ht="12.9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3"/>
      <c r="L1" s="7"/>
    </row>
    <row r="2" spans="1:12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15"/>
    </row>
    <row r="3" spans="1:12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15"/>
    </row>
    <row r="4" spans="1:12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15"/>
    </row>
    <row r="5" spans="1:12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15"/>
    </row>
    <row r="6" spans="1:12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15"/>
    </row>
    <row r="7" spans="1:12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6"/>
      <c r="L7" s="15"/>
    </row>
    <row r="8" spans="1:12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6"/>
      <c r="L8" s="15"/>
    </row>
    <row r="9" spans="1:12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  <c r="L9" s="15"/>
    </row>
    <row r="10" spans="1:12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6"/>
      <c r="L10" s="15"/>
    </row>
    <row r="11" spans="1:12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  <c r="L11" s="15"/>
    </row>
    <row r="12" spans="1:12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  <c r="L12" s="15"/>
    </row>
    <row r="13" spans="1:12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  <c r="L13" s="15"/>
    </row>
    <row r="14" spans="1:12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6"/>
      <c r="L14" s="15"/>
    </row>
    <row r="15" spans="1:12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6"/>
      <c r="L15" s="15"/>
    </row>
    <row r="16" spans="1:12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6"/>
      <c r="L16" s="15"/>
    </row>
    <row r="17" spans="1:12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6"/>
      <c r="L17" s="15"/>
    </row>
    <row r="18" spans="1:12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6"/>
      <c r="L18" s="15"/>
    </row>
    <row r="19" spans="1:12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6"/>
      <c r="L19" s="15"/>
    </row>
    <row r="20" spans="1:12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  <c r="L20" s="15"/>
    </row>
    <row r="21" spans="1:12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  <c r="L21" s="15"/>
    </row>
    <row r="22" spans="1:12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6"/>
      <c r="L22" s="15"/>
    </row>
    <row r="23" spans="1:12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6"/>
      <c r="L23" s="15"/>
    </row>
    <row r="24" spans="1:12" ht="12.95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 x14ac:dyDescent="0.25"/>
  <cols>
    <col min="1" max="256" width="10" style="16" customWidth="1"/>
  </cols>
  <sheetData>
    <row r="1" spans="1:14" ht="12.9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2.9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ht="12.9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2.9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2.9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12.9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ht="12.9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2.9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2.9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ht="12.9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ht="12.9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ht="12.9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ht="12.9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ht="12.9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ht="12.9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12.9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12.9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12.9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12.9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ht="12.9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ht="12.95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ht="12.95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ht="12.95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R1" sqref="R1"/>
    </sheetView>
  </sheetViews>
  <sheetFormatPr defaultColWidth="8.85546875" defaultRowHeight="15" customHeight="1" x14ac:dyDescent="0.25"/>
  <cols>
    <col min="1" max="3" width="8.85546875" style="17" customWidth="1"/>
    <col min="4" max="4" width="10.42578125" style="17" customWidth="1"/>
    <col min="5" max="256" width="8.85546875" style="17" customWidth="1"/>
  </cols>
  <sheetData>
    <row r="1" spans="1:14" ht="15" customHeight="1" x14ac:dyDescent="0.25">
      <c r="A1" s="1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7"/>
    </row>
    <row r="2" spans="1:14" ht="1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15"/>
    </row>
    <row r="3" spans="1:14" ht="1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15"/>
    </row>
    <row r="4" spans="1:14" ht="15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15"/>
    </row>
    <row r="5" spans="1:14" ht="1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15"/>
    </row>
    <row r="6" spans="1:14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5"/>
    </row>
    <row r="7" spans="1:14" ht="1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15"/>
    </row>
    <row r="8" spans="1:14" ht="15" customHeigh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15"/>
    </row>
    <row r="9" spans="1:14" ht="1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15"/>
    </row>
    <row r="10" spans="1:14" ht="15" customHeight="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5"/>
    </row>
    <row r="11" spans="1:14" ht="1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  <c r="N11" s="15"/>
    </row>
    <row r="12" spans="1:14" ht="1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15"/>
    </row>
    <row r="13" spans="1:14" ht="1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15"/>
    </row>
    <row r="14" spans="1:14" ht="15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15"/>
    </row>
    <row r="15" spans="1:14" ht="15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15"/>
    </row>
    <row r="16" spans="1:14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15"/>
    </row>
    <row r="17" spans="1:14" ht="15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15"/>
    </row>
    <row r="18" spans="1:14" ht="15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15"/>
    </row>
    <row r="19" spans="1:14" ht="15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15"/>
    </row>
    <row r="20" spans="1:14" ht="15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15"/>
    </row>
    <row r="21" spans="1:14" ht="15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15"/>
    </row>
    <row r="22" spans="1:14" ht="1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2022</vt:lpstr>
      <vt:lpstr>Market Share</vt:lpstr>
      <vt:lpstr>Unit Holders</vt:lpstr>
      <vt:lpstr>NAV Comparison Mar &amp; Apr '22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2022-05-29T21:59:43Z</dcterms:modified>
</cp:coreProperties>
</file>