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tisaac\Desktop\Monthly NAVs\2022\"/>
    </mc:Choice>
  </mc:AlternateContent>
  <bookViews>
    <workbookView xWindow="0" yWindow="495" windowWidth="28800" windowHeight="16380"/>
  </bookViews>
  <sheets>
    <sheet name="APRIL 2022" sheetId="1" r:id="rId1"/>
    <sheet name="Market Share" sheetId="2" r:id="rId2"/>
    <sheet name="Unit Holders" sheetId="3" r:id="rId3"/>
    <sheet name="NAV Comparison Mar &amp; Apr '22" sheetId="4" r:id="rId4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E127" i="1" l="1"/>
  <c r="AE72" i="1"/>
  <c r="AE141" i="1" l="1"/>
  <c r="AE135" i="1"/>
  <c r="AE123" i="1"/>
  <c r="AE110" i="1"/>
  <c r="AE99" i="1"/>
  <c r="AE95" i="1"/>
  <c r="AE91" i="1"/>
  <c r="AE60" i="1"/>
  <c r="AE4" i="1"/>
  <c r="AE7" i="1"/>
  <c r="AE9" i="1"/>
  <c r="AE26" i="1"/>
  <c r="AE23" i="1"/>
  <c r="AE59" i="1"/>
  <c r="AE62" i="1"/>
  <c r="AE64" i="1"/>
  <c r="AE68" i="1"/>
  <c r="AE69" i="1"/>
  <c r="AE70" i="1"/>
  <c r="AE85" i="1"/>
  <c r="AE111" i="1"/>
  <c r="AE140" i="1"/>
  <c r="AE131" i="1"/>
  <c r="AE118" i="1"/>
  <c r="AE49" i="1" l="1"/>
  <c r="AE47" i="1"/>
  <c r="AE8" i="1"/>
  <c r="X17" i="1" l="1"/>
  <c r="W17" i="1"/>
  <c r="V17" i="1"/>
  <c r="U17" i="1"/>
  <c r="T17" i="1"/>
  <c r="Z86" i="1" l="1"/>
  <c r="Y86" i="1"/>
  <c r="R86" i="1"/>
  <c r="O86" i="1"/>
  <c r="N86" i="1"/>
  <c r="M86" i="1"/>
  <c r="L86" i="1"/>
  <c r="K86" i="1"/>
  <c r="G86" i="1"/>
  <c r="F87" i="1"/>
  <c r="AC63" i="1"/>
  <c r="Z95" i="1"/>
  <c r="Y95" i="1"/>
  <c r="R95" i="1"/>
  <c r="O95" i="1"/>
  <c r="N95" i="1"/>
  <c r="M95" i="1"/>
  <c r="L95" i="1"/>
  <c r="K95" i="1"/>
  <c r="J95" i="1"/>
  <c r="F95" i="1"/>
  <c r="G95" i="1"/>
  <c r="F96" i="1"/>
  <c r="Z96" i="1"/>
  <c r="Y96" i="1"/>
  <c r="N96" i="1"/>
  <c r="O96" i="1"/>
  <c r="R96" i="1"/>
  <c r="M96" i="1"/>
  <c r="L96" i="1"/>
  <c r="K96" i="1"/>
  <c r="J96" i="1"/>
  <c r="G96" i="1"/>
  <c r="Z90" i="1"/>
  <c r="Y90" i="1"/>
  <c r="R90" i="1"/>
  <c r="O90" i="1"/>
  <c r="N90" i="1"/>
  <c r="M90" i="1"/>
  <c r="L90" i="1"/>
  <c r="K90" i="1"/>
  <c r="J90" i="1"/>
  <c r="G90" i="1"/>
  <c r="Z99" i="1"/>
  <c r="Y99" i="1"/>
  <c r="R99" i="1"/>
  <c r="O99" i="1"/>
  <c r="N99" i="1"/>
  <c r="M99" i="1"/>
  <c r="L99" i="1"/>
  <c r="K99" i="1"/>
  <c r="J99" i="1"/>
  <c r="F99" i="1"/>
  <c r="G99" i="1"/>
  <c r="Z101" i="1"/>
  <c r="Y101" i="1"/>
  <c r="R101" i="1"/>
  <c r="O101" i="1"/>
  <c r="N101" i="1"/>
  <c r="M101" i="1"/>
  <c r="L101" i="1"/>
  <c r="K101" i="1"/>
  <c r="J101" i="1"/>
  <c r="G101" i="1"/>
  <c r="Z100" i="1"/>
  <c r="Y100" i="1"/>
  <c r="R100" i="1"/>
  <c r="O100" i="1"/>
  <c r="N100" i="1"/>
  <c r="M100" i="1"/>
  <c r="L100" i="1"/>
  <c r="K100" i="1"/>
  <c r="J100" i="1"/>
  <c r="G100" i="1"/>
  <c r="Z87" i="1"/>
  <c r="Y87" i="1"/>
  <c r="R87" i="1"/>
  <c r="O87" i="1"/>
  <c r="N87" i="1"/>
  <c r="M87" i="1"/>
  <c r="L87" i="1"/>
  <c r="K87" i="1"/>
  <c r="J87" i="1"/>
  <c r="G87" i="1"/>
  <c r="G92" i="1"/>
  <c r="Z98" i="1"/>
  <c r="Y98" i="1"/>
  <c r="R98" i="1"/>
  <c r="O98" i="1"/>
  <c r="N98" i="1"/>
  <c r="M98" i="1"/>
  <c r="L98" i="1"/>
  <c r="K98" i="1"/>
  <c r="J98" i="1"/>
  <c r="G98" i="1"/>
  <c r="AA97" i="1"/>
  <c r="Z97" i="1"/>
  <c r="Y97" i="1"/>
  <c r="R97" i="1"/>
  <c r="O97" i="1"/>
  <c r="N97" i="1"/>
  <c r="K97" i="1"/>
  <c r="L97" i="1"/>
  <c r="G97" i="1"/>
  <c r="Z92" i="1"/>
  <c r="Y92" i="1"/>
  <c r="R92" i="1"/>
  <c r="O92" i="1"/>
  <c r="N92" i="1"/>
  <c r="M92" i="1"/>
  <c r="L92" i="1"/>
  <c r="K92" i="1"/>
  <c r="Z85" i="1"/>
  <c r="Y85" i="1"/>
  <c r="M97" i="1"/>
  <c r="O81" i="1" l="1"/>
  <c r="N81" i="1"/>
  <c r="F81" i="1"/>
  <c r="G81" i="1"/>
  <c r="J129" i="1" l="1"/>
  <c r="P101" i="1"/>
  <c r="P100" i="1"/>
  <c r="P99" i="1"/>
  <c r="P98" i="1"/>
  <c r="P97" i="1"/>
  <c r="P96" i="1"/>
  <c r="P95" i="1"/>
  <c r="P92" i="1"/>
  <c r="P90" i="1"/>
  <c r="P87" i="1"/>
  <c r="P86" i="1"/>
  <c r="AB150" i="1" l="1"/>
  <c r="AC150" i="1"/>
  <c r="R137" i="1" l="1"/>
  <c r="AA81" i="1" l="1"/>
  <c r="X80" i="1"/>
  <c r="L81" i="1"/>
  <c r="K81" i="1"/>
  <c r="J81" i="1"/>
  <c r="U80" i="1"/>
  <c r="T80" i="1"/>
  <c r="V80" i="1" l="1"/>
  <c r="W80" i="1"/>
  <c r="M81" i="1" l="1"/>
  <c r="P149" i="1" l="1"/>
  <c r="P137" i="1"/>
  <c r="P132" i="1"/>
  <c r="P108" i="1"/>
  <c r="P81" i="1"/>
  <c r="Q80" i="1" s="1"/>
  <c r="P51" i="1"/>
  <c r="Q31" i="1" s="1"/>
  <c r="P20" i="1"/>
  <c r="Q17" i="1" s="1"/>
  <c r="P102" i="1" l="1"/>
  <c r="P150" i="1" s="1"/>
  <c r="R81" i="1"/>
  <c r="S80" i="1" s="1"/>
  <c r="R149" i="1"/>
  <c r="S148" i="1" s="1"/>
  <c r="G108" i="1" l="1"/>
  <c r="O108" i="1"/>
  <c r="K108" i="1"/>
  <c r="L108" i="1"/>
  <c r="M108" i="1"/>
  <c r="N108" i="1"/>
  <c r="H108" i="1"/>
  <c r="I108" i="1"/>
  <c r="J108" i="1"/>
  <c r="F108" i="1"/>
  <c r="I81" i="1"/>
  <c r="D81" i="1"/>
  <c r="O51" i="1"/>
  <c r="N51" i="1"/>
  <c r="I51" i="1"/>
  <c r="K51" i="1"/>
  <c r="L51" i="1"/>
  <c r="M51" i="1"/>
  <c r="F51" i="1"/>
  <c r="O20" i="1"/>
  <c r="K20" i="1"/>
  <c r="L20" i="1"/>
  <c r="M20" i="1"/>
  <c r="N20" i="1"/>
  <c r="F20" i="1"/>
  <c r="G20" i="1"/>
  <c r="H20" i="1"/>
  <c r="D20" i="1"/>
  <c r="L132" i="1"/>
  <c r="M132" i="1"/>
  <c r="N132" i="1"/>
  <c r="O132" i="1"/>
  <c r="F132" i="1"/>
  <c r="G132" i="1"/>
  <c r="H132" i="1"/>
  <c r="D132" i="1"/>
  <c r="J137" i="1"/>
  <c r="K137" i="1"/>
  <c r="L137" i="1"/>
  <c r="M137" i="1"/>
  <c r="N137" i="1"/>
  <c r="O137" i="1"/>
  <c r="F137" i="1"/>
  <c r="G137" i="1"/>
  <c r="H137" i="1"/>
  <c r="D137" i="1"/>
  <c r="M149" i="1"/>
  <c r="N149" i="1"/>
  <c r="O149" i="1"/>
  <c r="J149" i="1"/>
  <c r="K149" i="1"/>
  <c r="L149" i="1"/>
  <c r="G149" i="1"/>
  <c r="F149" i="1"/>
  <c r="D149" i="1"/>
  <c r="H150" i="1" l="1"/>
  <c r="J51" i="1"/>
  <c r="J132" i="1"/>
  <c r="D102" i="1" l="1"/>
  <c r="D150" i="1" s="1"/>
  <c r="W92" i="1"/>
  <c r="X92" i="1"/>
  <c r="U92" i="1"/>
  <c r="J20" i="1"/>
  <c r="K132" i="1"/>
  <c r="O102" i="1" l="1"/>
  <c r="O150" i="1" s="1"/>
  <c r="F102" i="1"/>
  <c r="F150" i="1" s="1"/>
  <c r="G102" i="1"/>
  <c r="G150" i="1" s="1"/>
  <c r="J102" i="1"/>
  <c r="J150" i="1" s="1"/>
  <c r="K102" i="1"/>
  <c r="K150" i="1" s="1"/>
  <c r="L102" i="1"/>
  <c r="L150" i="1" s="1"/>
  <c r="M102" i="1"/>
  <c r="M150" i="1" s="1"/>
  <c r="N102" i="1"/>
  <c r="N150" i="1" s="1"/>
  <c r="T92" i="1"/>
  <c r="V92" i="1"/>
  <c r="AA149" i="1"/>
  <c r="I149" i="1"/>
  <c r="I150" i="1" s="1"/>
  <c r="R20" i="1" l="1"/>
  <c r="S17" i="1" s="1"/>
  <c r="Q92" i="1" l="1"/>
  <c r="Q149" i="1"/>
  <c r="X148" i="1" l="1"/>
  <c r="W148" i="1"/>
  <c r="V148" i="1"/>
  <c r="U148" i="1"/>
  <c r="T148" i="1"/>
  <c r="X79" i="1" l="1"/>
  <c r="W79" i="1"/>
  <c r="V79" i="1"/>
  <c r="U79" i="1"/>
  <c r="T79" i="1"/>
  <c r="Q148" i="1"/>
  <c r="Q79" i="1" l="1"/>
  <c r="X35" i="1" l="1"/>
  <c r="V34" i="1"/>
  <c r="V35" i="1"/>
  <c r="V42" i="1" l="1"/>
  <c r="V48" i="1"/>
  <c r="V121" i="1"/>
  <c r="X120" i="1"/>
  <c r="X122" i="1"/>
  <c r="X98" i="1"/>
  <c r="W98" i="1"/>
  <c r="X97" i="1"/>
  <c r="W101" i="1"/>
  <c r="X101" i="1"/>
  <c r="U101" i="1"/>
  <c r="V101" i="1" l="1"/>
  <c r="T76" i="1" l="1"/>
  <c r="T70" i="1"/>
  <c r="T135" i="1"/>
  <c r="R132" i="1" l="1"/>
  <c r="AA137" i="1" l="1"/>
  <c r="S135" i="1"/>
  <c r="S136" i="1" l="1"/>
  <c r="S134" i="1"/>
  <c r="Q135" i="1"/>
  <c r="Q136" i="1"/>
  <c r="Q134" i="1"/>
  <c r="T137" i="1"/>
  <c r="AA102" i="1"/>
  <c r="R102" i="1"/>
  <c r="S92" i="1" s="1"/>
  <c r="S79" i="1" l="1"/>
  <c r="S96" i="1"/>
  <c r="S87" i="1"/>
  <c r="S97" i="1"/>
  <c r="S88" i="1"/>
  <c r="S89" i="1"/>
  <c r="S99" i="1"/>
  <c r="S90" i="1"/>
  <c r="S98" i="1"/>
  <c r="S100" i="1"/>
  <c r="S91" i="1"/>
  <c r="S101" i="1"/>
  <c r="S85" i="1"/>
  <c r="S86" i="1"/>
  <c r="S61" i="1"/>
  <c r="S69" i="1"/>
  <c r="S77" i="1"/>
  <c r="S63" i="1"/>
  <c r="S71" i="1"/>
  <c r="S54" i="1"/>
  <c r="S62" i="1"/>
  <c r="S70" i="1"/>
  <c r="S78" i="1"/>
  <c r="S55" i="1"/>
  <c r="S53" i="1"/>
  <c r="S56" i="1"/>
  <c r="S64" i="1"/>
  <c r="S72" i="1"/>
  <c r="S65" i="1"/>
  <c r="S73" i="1"/>
  <c r="S75" i="1"/>
  <c r="S57" i="1"/>
  <c r="S67" i="1"/>
  <c r="S58" i="1"/>
  <c r="S66" i="1"/>
  <c r="S74" i="1"/>
  <c r="S59" i="1"/>
  <c r="S60" i="1"/>
  <c r="S68" i="1"/>
  <c r="S76" i="1"/>
  <c r="S145" i="1"/>
  <c r="S146" i="1"/>
  <c r="S147" i="1"/>
  <c r="S144" i="1"/>
  <c r="S141" i="1"/>
  <c r="Q145" i="1"/>
  <c r="Q146" i="1"/>
  <c r="Q147" i="1"/>
  <c r="Q144" i="1"/>
  <c r="Q141" i="1"/>
  <c r="Q101" i="1"/>
  <c r="Q91" i="1"/>
  <c r="Q95" i="1"/>
  <c r="Q84" i="1"/>
  <c r="Q99" i="1"/>
  <c r="Q85" i="1"/>
  <c r="Q96" i="1"/>
  <c r="Q86" i="1"/>
  <c r="Q90" i="1"/>
  <c r="Q97" i="1"/>
  <c r="Q87" i="1"/>
  <c r="Q98" i="1"/>
  <c r="Q88" i="1"/>
  <c r="Q89" i="1"/>
  <c r="Q100" i="1"/>
  <c r="Q59" i="1"/>
  <c r="Q60" i="1"/>
  <c r="Q68" i="1"/>
  <c r="Q76" i="1"/>
  <c r="Q62" i="1"/>
  <c r="Q70" i="1"/>
  <c r="Q63" i="1"/>
  <c r="Q71" i="1"/>
  <c r="Q61" i="1"/>
  <c r="Q69" i="1"/>
  <c r="Q77" i="1"/>
  <c r="Q54" i="1"/>
  <c r="Q78" i="1"/>
  <c r="Q55" i="1"/>
  <c r="Q53" i="1"/>
  <c r="Q67" i="1"/>
  <c r="Q56" i="1"/>
  <c r="Q64" i="1"/>
  <c r="Q72" i="1"/>
  <c r="Q57" i="1"/>
  <c r="Q65" i="1"/>
  <c r="Q73" i="1"/>
  <c r="Q58" i="1"/>
  <c r="Q66" i="1"/>
  <c r="Q74" i="1"/>
  <c r="Q75" i="1"/>
  <c r="X126" i="1"/>
  <c r="W126" i="1"/>
  <c r="V126" i="1"/>
  <c r="U126" i="1"/>
  <c r="T126" i="1"/>
  <c r="X125" i="1"/>
  <c r="W125" i="1"/>
  <c r="V125" i="1"/>
  <c r="U125" i="1"/>
  <c r="T125" i="1"/>
  <c r="X100" i="1" l="1"/>
  <c r="W100" i="1"/>
  <c r="V100" i="1"/>
  <c r="U100" i="1"/>
  <c r="T100" i="1"/>
  <c r="W99" i="1"/>
  <c r="X99" i="1"/>
  <c r="X91" i="1"/>
  <c r="W91" i="1"/>
  <c r="V91" i="1"/>
  <c r="U91" i="1"/>
  <c r="T91" i="1"/>
  <c r="W90" i="1"/>
  <c r="X90" i="1"/>
  <c r="X89" i="1"/>
  <c r="W89" i="1"/>
  <c r="V89" i="1"/>
  <c r="U89" i="1"/>
  <c r="T89" i="1"/>
  <c r="X88" i="1"/>
  <c r="W88" i="1"/>
  <c r="V88" i="1"/>
  <c r="U88" i="1"/>
  <c r="T88" i="1"/>
  <c r="X86" i="1"/>
  <c r="X87" i="1"/>
  <c r="X85" i="1"/>
  <c r="W85" i="1"/>
  <c r="V85" i="1"/>
  <c r="U85" i="1"/>
  <c r="T85" i="1"/>
  <c r="X84" i="1"/>
  <c r="W84" i="1"/>
  <c r="V84" i="1"/>
  <c r="U84" i="1"/>
  <c r="T84" i="1"/>
  <c r="U98" i="1" l="1"/>
  <c r="W97" i="1"/>
  <c r="U99" i="1"/>
  <c r="V98" i="1"/>
  <c r="V97" i="1"/>
  <c r="T99" i="1"/>
  <c r="T98" i="1"/>
  <c r="T97" i="1"/>
  <c r="U97" i="1"/>
  <c r="V99" i="1"/>
  <c r="U87" i="1"/>
  <c r="U90" i="1"/>
  <c r="T86" i="1"/>
  <c r="W86" i="1"/>
  <c r="U86" i="1"/>
  <c r="T90" i="1"/>
  <c r="V87" i="1"/>
  <c r="V90" i="1"/>
  <c r="W87" i="1"/>
  <c r="V86" i="1"/>
  <c r="T87" i="1"/>
  <c r="T147" i="1" l="1"/>
  <c r="U140" i="1"/>
  <c r="U135" i="1"/>
  <c r="U136" i="1"/>
  <c r="U141" i="1"/>
  <c r="U145" i="1"/>
  <c r="U146" i="1"/>
  <c r="U147" i="1"/>
  <c r="T127" i="1"/>
  <c r="Q140" i="1"/>
  <c r="T50" i="1"/>
  <c r="T45" i="1"/>
  <c r="T58" i="1"/>
  <c r="S111" i="1" l="1"/>
  <c r="S119" i="1"/>
  <c r="S127" i="1"/>
  <c r="S112" i="1"/>
  <c r="S120" i="1"/>
  <c r="S128" i="1"/>
  <c r="S113" i="1"/>
  <c r="S121" i="1"/>
  <c r="S129" i="1"/>
  <c r="S114" i="1"/>
  <c r="S122" i="1"/>
  <c r="S130" i="1"/>
  <c r="S115" i="1"/>
  <c r="S123" i="1"/>
  <c r="S131" i="1"/>
  <c r="S125" i="1"/>
  <c r="S116" i="1"/>
  <c r="S124" i="1"/>
  <c r="S117" i="1"/>
  <c r="S118" i="1"/>
  <c r="S126" i="1"/>
  <c r="Q106" i="1"/>
  <c r="Q105" i="1"/>
  <c r="Q107" i="1"/>
  <c r="Q24" i="1"/>
  <c r="Q25" i="1"/>
  <c r="Q33" i="1"/>
  <c r="Q26" i="1"/>
  <c r="Q34" i="1"/>
  <c r="Q42" i="1"/>
  <c r="Q50" i="1"/>
  <c r="Q38" i="1"/>
  <c r="Q47" i="1"/>
  <c r="Q40" i="1"/>
  <c r="Q27" i="1"/>
  <c r="Q35" i="1"/>
  <c r="Q43" i="1"/>
  <c r="Q23" i="1"/>
  <c r="Q41" i="1"/>
  <c r="Q28" i="1"/>
  <c r="Q36" i="1"/>
  <c r="Q44" i="1"/>
  <c r="Q46" i="1"/>
  <c r="Q39" i="1"/>
  <c r="Q48" i="1"/>
  <c r="Q29" i="1"/>
  <c r="Q37" i="1"/>
  <c r="Q45" i="1"/>
  <c r="Q30" i="1"/>
  <c r="Q32" i="1"/>
  <c r="Q49" i="1"/>
  <c r="Q6" i="1"/>
  <c r="Q7" i="1"/>
  <c r="Q15" i="1"/>
  <c r="Q10" i="1"/>
  <c r="Q8" i="1"/>
  <c r="Q16" i="1"/>
  <c r="Q9" i="1"/>
  <c r="Q18" i="1"/>
  <c r="Q11" i="1"/>
  <c r="Q19" i="1"/>
  <c r="Q12" i="1"/>
  <c r="Q5" i="1"/>
  <c r="Q13" i="1"/>
  <c r="Q14" i="1"/>
  <c r="S140" i="1"/>
  <c r="Q121" i="1" l="1"/>
  <c r="Q137" i="1"/>
  <c r="Q114" i="1"/>
  <c r="Q122" i="1"/>
  <c r="Q130" i="1"/>
  <c r="Q115" i="1"/>
  <c r="Q123" i="1"/>
  <c r="Q131" i="1"/>
  <c r="Q116" i="1"/>
  <c r="Q124" i="1"/>
  <c r="Q110" i="1"/>
  <c r="Q51" i="1"/>
  <c r="Q118" i="1"/>
  <c r="Q119" i="1"/>
  <c r="Q117" i="1"/>
  <c r="Q125" i="1"/>
  <c r="Q132" i="1"/>
  <c r="Q111" i="1"/>
  <c r="Q127" i="1"/>
  <c r="Q126" i="1"/>
  <c r="Q112" i="1"/>
  <c r="Q120" i="1"/>
  <c r="Q128" i="1"/>
  <c r="Q108" i="1"/>
  <c r="Q113" i="1"/>
  <c r="Q129" i="1"/>
  <c r="Q102" i="1"/>
  <c r="Q81" i="1"/>
  <c r="Q20" i="1"/>
  <c r="U149" i="1"/>
  <c r="U131" i="1"/>
  <c r="U130" i="1"/>
  <c r="U45" i="1"/>
  <c r="U44" i="1"/>
  <c r="X110" i="1" l="1"/>
  <c r="W123" i="1"/>
  <c r="T19" i="1" l="1"/>
  <c r="U64" i="1"/>
  <c r="U65" i="1"/>
  <c r="X135" i="1" l="1"/>
  <c r="T101" i="1" l="1"/>
  <c r="T57" i="1" l="1"/>
  <c r="X112" i="1"/>
  <c r="T130" i="1"/>
  <c r="T131" i="1"/>
  <c r="T56" i="1"/>
  <c r="AA108" i="1" l="1"/>
  <c r="T18" i="1" l="1"/>
  <c r="AA20" i="1"/>
  <c r="U19" i="1"/>
  <c r="U18" i="1"/>
  <c r="S7" i="1" l="1"/>
  <c r="S15" i="1"/>
  <c r="S13" i="1"/>
  <c r="S6" i="1"/>
  <c r="S8" i="1"/>
  <c r="S16" i="1"/>
  <c r="S10" i="1"/>
  <c r="S14" i="1"/>
  <c r="S9" i="1"/>
  <c r="S18" i="1"/>
  <c r="S11" i="1"/>
  <c r="S19" i="1"/>
  <c r="S12" i="1"/>
  <c r="S5" i="1"/>
  <c r="T20" i="1"/>
  <c r="X55" i="1" l="1"/>
  <c r="X49" i="1"/>
  <c r="W49" i="1"/>
  <c r="V49" i="1"/>
  <c r="U49" i="1"/>
  <c r="T49" i="1"/>
  <c r="U76" i="1" l="1"/>
  <c r="U28" i="1"/>
  <c r="X76" i="1" l="1"/>
  <c r="W76" i="1"/>
  <c r="V76" i="1"/>
  <c r="T48" i="1" l="1"/>
  <c r="X130" i="1" l="1"/>
  <c r="W130" i="1"/>
  <c r="V130" i="1"/>
  <c r="X56" i="1"/>
  <c r="W56" i="1"/>
  <c r="V56" i="1"/>
  <c r="U56" i="1"/>
  <c r="X48" i="1"/>
  <c r="W48" i="1"/>
  <c r="U48" i="1"/>
  <c r="X146" i="1" l="1"/>
  <c r="W146" i="1"/>
  <c r="V146" i="1"/>
  <c r="T146" i="1"/>
  <c r="X129" i="1" l="1"/>
  <c r="W129" i="1"/>
  <c r="V129" i="1"/>
  <c r="U129" i="1"/>
  <c r="T129" i="1"/>
  <c r="X47" i="1" l="1"/>
  <c r="W47" i="1"/>
  <c r="V47" i="1"/>
  <c r="U47" i="1"/>
  <c r="T47" i="1"/>
  <c r="X106" i="1" l="1"/>
  <c r="W106" i="1"/>
  <c r="V106" i="1"/>
  <c r="U106" i="1"/>
  <c r="T106" i="1"/>
  <c r="X77" i="1" l="1"/>
  <c r="W77" i="1"/>
  <c r="V77" i="1"/>
  <c r="U77" i="1"/>
  <c r="T77" i="1"/>
  <c r="X145" i="1"/>
  <c r="W145" i="1"/>
  <c r="V145" i="1"/>
  <c r="T145" i="1"/>
  <c r="T149" i="1" l="1"/>
  <c r="X147" i="1"/>
  <c r="W147" i="1"/>
  <c r="V147" i="1"/>
  <c r="X141" i="1"/>
  <c r="W141" i="1"/>
  <c r="V141" i="1"/>
  <c r="T141" i="1"/>
  <c r="X136" i="1"/>
  <c r="W136" i="1"/>
  <c r="V136" i="1"/>
  <c r="T136" i="1"/>
  <c r="W135" i="1"/>
  <c r="V135" i="1"/>
  <c r="X140" i="1"/>
  <c r="W140" i="1"/>
  <c r="V140" i="1"/>
  <c r="T140" i="1"/>
  <c r="X134" i="1"/>
  <c r="W134" i="1"/>
  <c r="V134" i="1"/>
  <c r="U134" i="1"/>
  <c r="T134" i="1"/>
  <c r="AA132" i="1"/>
  <c r="X131" i="1"/>
  <c r="W131" i="1"/>
  <c r="V131" i="1"/>
  <c r="X127" i="1"/>
  <c r="W127" i="1"/>
  <c r="V127" i="1"/>
  <c r="U127" i="1"/>
  <c r="X121" i="1"/>
  <c r="W121" i="1"/>
  <c r="U121" i="1"/>
  <c r="T121" i="1"/>
  <c r="W120" i="1"/>
  <c r="U120" i="1"/>
  <c r="T120" i="1"/>
  <c r="X124" i="1"/>
  <c r="W124" i="1"/>
  <c r="V124" i="1"/>
  <c r="U124" i="1"/>
  <c r="T124" i="1"/>
  <c r="X123" i="1"/>
  <c r="V123" i="1"/>
  <c r="U123" i="1"/>
  <c r="T123" i="1"/>
  <c r="X119" i="1"/>
  <c r="W119" i="1"/>
  <c r="V119" i="1"/>
  <c r="U119" i="1"/>
  <c r="T119" i="1"/>
  <c r="W122" i="1"/>
  <c r="V122" i="1"/>
  <c r="U122" i="1"/>
  <c r="T122" i="1"/>
  <c r="X117" i="1"/>
  <c r="W117" i="1"/>
  <c r="V117" i="1"/>
  <c r="U117" i="1"/>
  <c r="T117" i="1"/>
  <c r="X118" i="1"/>
  <c r="W118" i="1"/>
  <c r="V118" i="1"/>
  <c r="U118" i="1"/>
  <c r="T118" i="1"/>
  <c r="X116" i="1"/>
  <c r="W116" i="1"/>
  <c r="V116" i="1"/>
  <c r="U116" i="1"/>
  <c r="T116" i="1"/>
  <c r="X115" i="1"/>
  <c r="W115" i="1"/>
  <c r="V115" i="1"/>
  <c r="U115" i="1"/>
  <c r="T115" i="1"/>
  <c r="X128" i="1"/>
  <c r="W128" i="1"/>
  <c r="V128" i="1"/>
  <c r="U128" i="1"/>
  <c r="T128" i="1"/>
  <c r="X114" i="1"/>
  <c r="W114" i="1"/>
  <c r="V114" i="1"/>
  <c r="U114" i="1"/>
  <c r="T114" i="1"/>
  <c r="X113" i="1"/>
  <c r="W113" i="1"/>
  <c r="V113" i="1"/>
  <c r="U113" i="1"/>
  <c r="T113" i="1"/>
  <c r="W112" i="1"/>
  <c r="V112" i="1"/>
  <c r="U112" i="1"/>
  <c r="T112" i="1"/>
  <c r="X111" i="1"/>
  <c r="W111" i="1"/>
  <c r="V111" i="1"/>
  <c r="U111" i="1"/>
  <c r="T111" i="1"/>
  <c r="W110" i="1"/>
  <c r="V110" i="1"/>
  <c r="U110" i="1"/>
  <c r="T110" i="1"/>
  <c r="R108" i="1"/>
  <c r="Q104" i="1"/>
  <c r="X107" i="1"/>
  <c r="W107" i="1"/>
  <c r="V107" i="1"/>
  <c r="U107" i="1"/>
  <c r="T107" i="1"/>
  <c r="X105" i="1"/>
  <c r="W105" i="1"/>
  <c r="V105" i="1"/>
  <c r="U105" i="1"/>
  <c r="T105" i="1"/>
  <c r="X104" i="1"/>
  <c r="W104" i="1"/>
  <c r="V104" i="1"/>
  <c r="U104" i="1"/>
  <c r="T104" i="1"/>
  <c r="X78" i="1"/>
  <c r="W78" i="1"/>
  <c r="V78" i="1"/>
  <c r="U78" i="1"/>
  <c r="T78" i="1"/>
  <c r="X75" i="1"/>
  <c r="W75" i="1"/>
  <c r="V75" i="1"/>
  <c r="U75" i="1"/>
  <c r="T75" i="1"/>
  <c r="X74" i="1"/>
  <c r="W74" i="1"/>
  <c r="V74" i="1"/>
  <c r="U74" i="1"/>
  <c r="T74" i="1"/>
  <c r="X144" i="1"/>
  <c r="W144" i="1"/>
  <c r="V144" i="1"/>
  <c r="U144" i="1"/>
  <c r="T144" i="1"/>
  <c r="X73" i="1"/>
  <c r="W73" i="1"/>
  <c r="V73" i="1"/>
  <c r="U73" i="1"/>
  <c r="T73" i="1"/>
  <c r="X72" i="1"/>
  <c r="W72" i="1"/>
  <c r="V72" i="1"/>
  <c r="U72" i="1"/>
  <c r="T72" i="1"/>
  <c r="X96" i="1"/>
  <c r="W96" i="1"/>
  <c r="V96" i="1"/>
  <c r="U96" i="1"/>
  <c r="T96" i="1"/>
  <c r="X60" i="1"/>
  <c r="W60" i="1"/>
  <c r="V60" i="1"/>
  <c r="U60" i="1"/>
  <c r="T60" i="1"/>
  <c r="X71" i="1"/>
  <c r="W71" i="1"/>
  <c r="V71" i="1"/>
  <c r="U71" i="1"/>
  <c r="T71" i="1"/>
  <c r="X70" i="1"/>
  <c r="W70" i="1"/>
  <c r="V70" i="1"/>
  <c r="U70" i="1"/>
  <c r="X95" i="1"/>
  <c r="W95" i="1"/>
  <c r="V95" i="1"/>
  <c r="U95" i="1"/>
  <c r="T95" i="1"/>
  <c r="X69" i="1"/>
  <c r="W69" i="1"/>
  <c r="V69" i="1"/>
  <c r="U69" i="1"/>
  <c r="T69" i="1"/>
  <c r="X67" i="1"/>
  <c r="W67" i="1"/>
  <c r="V67" i="1"/>
  <c r="U67" i="1"/>
  <c r="T67" i="1"/>
  <c r="X68" i="1"/>
  <c r="W68" i="1"/>
  <c r="V68" i="1"/>
  <c r="U68" i="1"/>
  <c r="T68" i="1"/>
  <c r="X66" i="1"/>
  <c r="W66" i="1"/>
  <c r="V66" i="1"/>
  <c r="U66" i="1"/>
  <c r="T66" i="1"/>
  <c r="X65" i="1"/>
  <c r="W65" i="1"/>
  <c r="V65" i="1"/>
  <c r="T65" i="1"/>
  <c r="X64" i="1"/>
  <c r="W64" i="1"/>
  <c r="V64" i="1"/>
  <c r="T64" i="1"/>
  <c r="X63" i="1"/>
  <c r="W63" i="1"/>
  <c r="V63" i="1"/>
  <c r="U63" i="1"/>
  <c r="T63" i="1"/>
  <c r="X62" i="1"/>
  <c r="W62" i="1"/>
  <c r="V62" i="1"/>
  <c r="U62" i="1"/>
  <c r="T62" i="1"/>
  <c r="X61" i="1"/>
  <c r="W61" i="1"/>
  <c r="V61" i="1"/>
  <c r="U61" i="1"/>
  <c r="T61" i="1"/>
  <c r="X59" i="1"/>
  <c r="W59" i="1"/>
  <c r="V59" i="1"/>
  <c r="U59" i="1"/>
  <c r="T59" i="1"/>
  <c r="X58" i="1"/>
  <c r="W58" i="1"/>
  <c r="V58" i="1"/>
  <c r="U58" i="1"/>
  <c r="X57" i="1"/>
  <c r="W57" i="1"/>
  <c r="V57" i="1"/>
  <c r="U57" i="1"/>
  <c r="W55" i="1"/>
  <c r="V55" i="1"/>
  <c r="U55" i="1"/>
  <c r="T55" i="1"/>
  <c r="X54" i="1"/>
  <c r="W54" i="1"/>
  <c r="V54" i="1"/>
  <c r="U54" i="1"/>
  <c r="T54" i="1"/>
  <c r="X53" i="1"/>
  <c r="W53" i="1"/>
  <c r="V53" i="1"/>
  <c r="U53" i="1"/>
  <c r="T53" i="1"/>
  <c r="AA51" i="1"/>
  <c r="R51" i="1"/>
  <c r="X50" i="1"/>
  <c r="W50" i="1"/>
  <c r="V50" i="1"/>
  <c r="U50" i="1"/>
  <c r="X46" i="1"/>
  <c r="W46" i="1"/>
  <c r="V46" i="1"/>
  <c r="U46" i="1"/>
  <c r="T46" i="1"/>
  <c r="X45" i="1"/>
  <c r="W45" i="1"/>
  <c r="V45" i="1"/>
  <c r="X44" i="1"/>
  <c r="W44" i="1"/>
  <c r="V44" i="1"/>
  <c r="T44" i="1"/>
  <c r="X43" i="1"/>
  <c r="W43" i="1"/>
  <c r="V43" i="1"/>
  <c r="U43" i="1"/>
  <c r="T43" i="1"/>
  <c r="X42" i="1"/>
  <c r="W42" i="1"/>
  <c r="U42" i="1"/>
  <c r="T42" i="1"/>
  <c r="X41" i="1"/>
  <c r="W41" i="1"/>
  <c r="V41" i="1"/>
  <c r="U41" i="1"/>
  <c r="T41" i="1"/>
  <c r="X40" i="1"/>
  <c r="W40" i="1"/>
  <c r="V40" i="1"/>
  <c r="U40" i="1"/>
  <c r="T40" i="1"/>
  <c r="X39" i="1"/>
  <c r="W39" i="1"/>
  <c r="V39" i="1"/>
  <c r="U39" i="1"/>
  <c r="T39" i="1"/>
  <c r="X38" i="1"/>
  <c r="W38" i="1"/>
  <c r="V38" i="1"/>
  <c r="U38" i="1"/>
  <c r="T38" i="1"/>
  <c r="X37" i="1"/>
  <c r="W37" i="1"/>
  <c r="V37" i="1"/>
  <c r="U37" i="1"/>
  <c r="T37" i="1"/>
  <c r="V36" i="1"/>
  <c r="U36" i="1"/>
  <c r="T36" i="1"/>
  <c r="W35" i="1"/>
  <c r="U35" i="1"/>
  <c r="T35" i="1"/>
  <c r="X34" i="1"/>
  <c r="W34" i="1"/>
  <c r="U34" i="1"/>
  <c r="T34" i="1"/>
  <c r="X33" i="1"/>
  <c r="W33" i="1"/>
  <c r="V33" i="1"/>
  <c r="U33" i="1"/>
  <c r="T33" i="1"/>
  <c r="X32" i="1"/>
  <c r="W32" i="1"/>
  <c r="V32" i="1"/>
  <c r="U32" i="1"/>
  <c r="T32" i="1"/>
  <c r="X31" i="1"/>
  <c r="W31" i="1"/>
  <c r="V31" i="1"/>
  <c r="U31" i="1"/>
  <c r="T31" i="1"/>
  <c r="X30" i="1"/>
  <c r="W30" i="1"/>
  <c r="V30" i="1"/>
  <c r="U30" i="1"/>
  <c r="T30" i="1"/>
  <c r="X29" i="1"/>
  <c r="W29" i="1"/>
  <c r="V29" i="1"/>
  <c r="U29" i="1"/>
  <c r="T29" i="1"/>
  <c r="X28" i="1"/>
  <c r="W28" i="1"/>
  <c r="V28" i="1"/>
  <c r="T28" i="1"/>
  <c r="X27" i="1"/>
  <c r="W27" i="1"/>
  <c r="V27" i="1"/>
  <c r="U27" i="1"/>
  <c r="T27" i="1"/>
  <c r="X26" i="1"/>
  <c r="W26" i="1"/>
  <c r="V26" i="1"/>
  <c r="U26" i="1"/>
  <c r="T26" i="1"/>
  <c r="X25" i="1"/>
  <c r="W25" i="1"/>
  <c r="V25" i="1"/>
  <c r="U25" i="1"/>
  <c r="T25" i="1"/>
  <c r="X24" i="1"/>
  <c r="W24" i="1"/>
  <c r="V24" i="1"/>
  <c r="U24" i="1"/>
  <c r="T24" i="1"/>
  <c r="X23" i="1"/>
  <c r="W23" i="1"/>
  <c r="V23" i="1"/>
  <c r="U23" i="1"/>
  <c r="T23" i="1"/>
  <c r="X22" i="1"/>
  <c r="W22" i="1"/>
  <c r="V22" i="1"/>
  <c r="U22" i="1"/>
  <c r="T22" i="1"/>
  <c r="X18" i="1"/>
  <c r="W18" i="1"/>
  <c r="V18" i="1"/>
  <c r="X16" i="1"/>
  <c r="W16" i="1"/>
  <c r="V16" i="1"/>
  <c r="U16" i="1"/>
  <c r="T16" i="1"/>
  <c r="X15" i="1"/>
  <c r="W15" i="1"/>
  <c r="V15" i="1"/>
  <c r="U15" i="1"/>
  <c r="T15" i="1"/>
  <c r="X14" i="1"/>
  <c r="W14" i="1"/>
  <c r="V14" i="1"/>
  <c r="U14" i="1"/>
  <c r="T14" i="1"/>
  <c r="X13" i="1"/>
  <c r="W13" i="1"/>
  <c r="V13" i="1"/>
  <c r="U13" i="1"/>
  <c r="T13" i="1"/>
  <c r="X12" i="1"/>
  <c r="W12" i="1"/>
  <c r="V12" i="1"/>
  <c r="U12" i="1"/>
  <c r="T12" i="1"/>
  <c r="X11" i="1"/>
  <c r="W11" i="1"/>
  <c r="V11" i="1"/>
  <c r="U11" i="1"/>
  <c r="T11" i="1"/>
  <c r="X10" i="1"/>
  <c r="W10" i="1"/>
  <c r="V10" i="1"/>
  <c r="U10" i="1"/>
  <c r="T10" i="1"/>
  <c r="X9" i="1"/>
  <c r="W9" i="1"/>
  <c r="V9" i="1"/>
  <c r="U9" i="1"/>
  <c r="T9" i="1"/>
  <c r="X8" i="1"/>
  <c r="W8" i="1"/>
  <c r="V8" i="1"/>
  <c r="U8" i="1"/>
  <c r="T8" i="1"/>
  <c r="X7" i="1"/>
  <c r="W7" i="1"/>
  <c r="V7" i="1"/>
  <c r="U7" i="1"/>
  <c r="T7" i="1"/>
  <c r="X6" i="1"/>
  <c r="W6" i="1"/>
  <c r="V6" i="1"/>
  <c r="U6" i="1"/>
  <c r="T6" i="1"/>
  <c r="X5" i="1"/>
  <c r="W5" i="1"/>
  <c r="V5" i="1"/>
  <c r="U5" i="1"/>
  <c r="T5" i="1"/>
  <c r="X4" i="1"/>
  <c r="W4" i="1"/>
  <c r="V4" i="1"/>
  <c r="U4" i="1"/>
  <c r="T4" i="1"/>
  <c r="R150" i="1" l="1"/>
  <c r="S51" i="1" s="1"/>
  <c r="AA150" i="1"/>
  <c r="S105" i="1"/>
  <c r="S107" i="1"/>
  <c r="S106" i="1"/>
  <c r="S29" i="1"/>
  <c r="S37" i="1"/>
  <c r="S45" i="1"/>
  <c r="S40" i="1"/>
  <c r="S42" i="1"/>
  <c r="S30" i="1"/>
  <c r="S38" i="1"/>
  <c r="S46" i="1"/>
  <c r="S24" i="1"/>
  <c r="S23" i="1"/>
  <c r="S31" i="1"/>
  <c r="S39" i="1"/>
  <c r="S47" i="1"/>
  <c r="S32" i="1"/>
  <c r="S48" i="1"/>
  <c r="S50" i="1"/>
  <c r="S25" i="1"/>
  <c r="S33" i="1"/>
  <c r="S41" i="1"/>
  <c r="S49" i="1"/>
  <c r="S26" i="1"/>
  <c r="S34" i="1"/>
  <c r="S27" i="1"/>
  <c r="S35" i="1"/>
  <c r="S43" i="1"/>
  <c r="S28" i="1"/>
  <c r="S36" i="1"/>
  <c r="S44" i="1"/>
  <c r="T81" i="1"/>
  <c r="S95" i="1"/>
  <c r="S104" i="1"/>
  <c r="S110" i="1"/>
  <c r="Q4" i="1"/>
  <c r="Q22" i="1"/>
  <c r="T132" i="1"/>
  <c r="S22" i="1"/>
  <c r="T102" i="1"/>
  <c r="T51" i="1"/>
  <c r="S4" i="1"/>
  <c r="T108" i="1"/>
  <c r="S81" i="1" l="1"/>
  <c r="S102" i="1"/>
  <c r="S108" i="1"/>
  <c r="S20" i="1"/>
  <c r="S132" i="1"/>
  <c r="S149" i="1"/>
  <c r="S137" i="1"/>
  <c r="AD150" i="1"/>
  <c r="X36" i="1"/>
  <c r="W36" i="1"/>
  <c r="AE150" i="1"/>
  <c r="V120" i="1"/>
</calcChain>
</file>

<file path=xl/sharedStrings.xml><?xml version="1.0" encoding="utf-8"?>
<sst xmlns="http://schemas.openxmlformats.org/spreadsheetml/2006/main" count="310" uniqueCount="220">
  <si>
    <t>FUND MANAGER</t>
  </si>
  <si>
    <t>FUND</t>
  </si>
  <si>
    <t>EQUITIES</t>
  </si>
  <si>
    <t>UNQUOTED EQUITIES</t>
  </si>
  <si>
    <t>MONEY MARKET</t>
  </si>
  <si>
    <t>BONDS</t>
  </si>
  <si>
    <t>REAL ESTATE</t>
  </si>
  <si>
    <t>OTHERS</t>
  </si>
  <si>
    <t xml:space="preserve">TOTAL VALUE OF INVESTMENT (N)               </t>
  </si>
  <si>
    <t>TOTAL EXPENSES (N)</t>
  </si>
  <si>
    <t>NET INCOME/LOSS</t>
  </si>
  <si>
    <t>GROSS ASSET VALUE (N)</t>
  </si>
  <si>
    <t>TOTAL LIABILITIES (N)</t>
  </si>
  <si>
    <t>% ON TOTAL</t>
  </si>
  <si>
    <t>% CHANGE IN NAV</t>
  </si>
  <si>
    <t>EXPENSE RATIO (%)</t>
  </si>
  <si>
    <t>Return on Equity (RoE)</t>
  </si>
  <si>
    <t>Net Asset Per Unit</t>
  </si>
  <si>
    <t>Earnings Per Unit (EPU)</t>
  </si>
  <si>
    <t>BID PRICE (N)</t>
  </si>
  <si>
    <t>OFFER PRICE (N)</t>
  </si>
  <si>
    <t>NUMBER OF UNIT HOLDERS</t>
  </si>
  <si>
    <t>EQUITY BASED FUNDS</t>
  </si>
  <si>
    <t>Stanbic IBTC Asset Mgt. Limited</t>
  </si>
  <si>
    <t>Stanbic IBTC Nigerian Equity Fund</t>
  </si>
  <si>
    <t>First City Asset Management Plc</t>
  </si>
  <si>
    <t>Legacy Equity Fund</t>
  </si>
  <si>
    <t>SCM Capital Limited</t>
  </si>
  <si>
    <t>Frontier Fund</t>
  </si>
  <si>
    <t>Chapel Hill Denham Mgt. Limited</t>
  </si>
  <si>
    <t>Paramount Equity Fund</t>
  </si>
  <si>
    <t>Afrinvest Asset Management Ltd.</t>
  </si>
  <si>
    <t>Afrinvest Equity Fund</t>
  </si>
  <si>
    <t>United Capital Asset Mgt. Ltd</t>
  </si>
  <si>
    <t>United Capital Equity Fund</t>
  </si>
  <si>
    <t xml:space="preserve">ARM Investment Managers Limited </t>
  </si>
  <si>
    <t>ARM Aggressive Growth Fund</t>
  </si>
  <si>
    <t>FBN Capital Asset Mgt</t>
  </si>
  <si>
    <t>FBN Nigeria Smart Beta Equity Fund</t>
  </si>
  <si>
    <t>Meristem Wealth Management Limited</t>
  </si>
  <si>
    <t>Meristem Equity Market Fund</t>
  </si>
  <si>
    <t>Stanbic IBTC Aggressive Fund (Sub Fund)</t>
  </si>
  <si>
    <t>AXA Mansard Investments Limited</t>
  </si>
  <si>
    <t>AXA Mansard Equity Income Fund</t>
  </si>
  <si>
    <t>Investment One Funds Management Limited</t>
  </si>
  <si>
    <t>Vantage Equity Income Fund</t>
  </si>
  <si>
    <t>PAC Asset Management Ltd.</t>
  </si>
  <si>
    <t>Pacam Equity Fund</t>
  </si>
  <si>
    <t>Global Asset Management Nig. Ltd</t>
  </si>
  <si>
    <t>Continental Unit Trust Fund (Inactive)</t>
  </si>
  <si>
    <t>Anchoria Asset Management Limited</t>
  </si>
  <si>
    <t>Anchoria Equity Fund</t>
  </si>
  <si>
    <t>Sub Total</t>
  </si>
  <si>
    <t>MONEY MARKET FUNDS</t>
  </si>
  <si>
    <t>Stanbic IBTC Money Market Fund</t>
  </si>
  <si>
    <t>FBN Capital Asset Mgt. Limited</t>
  </si>
  <si>
    <t>FBN Money Market Fund</t>
  </si>
  <si>
    <t>United Capital Money Market Fund</t>
  </si>
  <si>
    <t>AIICO Capital Ltd</t>
  </si>
  <si>
    <t>AIICO Money Market Fund</t>
  </si>
  <si>
    <t>ARM Money Market Fund</t>
  </si>
  <si>
    <t>Meristem Money Market Fund</t>
  </si>
  <si>
    <t>AXA Mansard Money Market Fund</t>
  </si>
  <si>
    <t xml:space="preserve">Greenwich Asst Management Ltd </t>
  </si>
  <si>
    <t>Greenwich Plus Money Market</t>
  </si>
  <si>
    <t>Cordros Asset Management Limited</t>
  </si>
  <si>
    <t>Cordros Money Market Fund</t>
  </si>
  <si>
    <t>PACAM Money Market Fund</t>
  </si>
  <si>
    <t>Chapel Hill Denham Money Market Fund(Frml NGIF)</t>
  </si>
  <si>
    <t>Abacus Money Market Fund</t>
  </si>
  <si>
    <t>EDC Fund Management</t>
  </si>
  <si>
    <t>EDC Money Market Class B</t>
  </si>
  <si>
    <t>Coronation Asset Management Limited</t>
  </si>
  <si>
    <t>Coronation Money Market Fund</t>
  </si>
  <si>
    <t>Zenith Asset Management Ltd</t>
  </si>
  <si>
    <t>Zenith Money Market Fund</t>
  </si>
  <si>
    <t>Afrinvest Plutus Fund</t>
  </si>
  <si>
    <t>Legacy Money Market Fund</t>
  </si>
  <si>
    <t xml:space="preserve">Growth and Development Asset Management Limited </t>
  </si>
  <si>
    <t>GDL Money Market Fund</t>
  </si>
  <si>
    <t>Vetiva Fund Managers Limited</t>
  </si>
  <si>
    <t>Vetiva Money Market Fund</t>
  </si>
  <si>
    <t>FSDH Asset Management Ltd</t>
  </si>
  <si>
    <t>FAAM Money Market Fund</t>
  </si>
  <si>
    <t>Anchoria Money Market Fund</t>
  </si>
  <si>
    <t>Trustbanc Asset Management Limited</t>
  </si>
  <si>
    <t>Trustbanc Money Market Fund</t>
  </si>
  <si>
    <t>ValuAlliance Asset Management Limited</t>
  </si>
  <si>
    <t>ValuAlliance Money Market Fund</t>
  </si>
  <si>
    <t>NOVAMBL Asset Management Limited</t>
  </si>
  <si>
    <t>NOVA Prime Money Market Fund</t>
  </si>
  <si>
    <t xml:space="preserve"> </t>
  </si>
  <si>
    <t>Stanbic IBTC Bond Fund</t>
  </si>
  <si>
    <t>Nigeria International Debt Fund</t>
  </si>
  <si>
    <t>Legacy USD Bond Fund</t>
  </si>
  <si>
    <t>Pacam Eurobond Fund</t>
  </si>
  <si>
    <t>Afrinvest Dollar Fund</t>
  </si>
  <si>
    <t>ARM Eurobond Fund</t>
  </si>
  <si>
    <t>Coral Income Fund</t>
  </si>
  <si>
    <t>United Capital Fixed Income Fund</t>
  </si>
  <si>
    <t>Vantage Guaranteed Income Fund</t>
  </si>
  <si>
    <t>Capital Express Assset &amp; Trust Limited</t>
  </si>
  <si>
    <t>CEAT Fixed Income Fund(Frml BGL Sapphire)</t>
  </si>
  <si>
    <t>Stanbic IBTC Guaranteed Investment Fund</t>
  </si>
  <si>
    <t>SFS Capital Nigeria Ltd</t>
  </si>
  <si>
    <t>SFS Fixed Income Fund</t>
  </si>
  <si>
    <t>Stanbic IBTC Absolute Fund (Sub Fund)</t>
  </si>
  <si>
    <t>Stanbic IBTC Conservative Fund (Sub Fund)</t>
  </si>
  <si>
    <t>Lotus Capital Limited</t>
  </si>
  <si>
    <t>PACAM Fixed Income Fund</t>
  </si>
  <si>
    <t>Stanbic IBTC Dollar Fund</t>
  </si>
  <si>
    <t>Kedari Investment Fund</t>
  </si>
  <si>
    <t>Zenith Income Fund</t>
  </si>
  <si>
    <t>Vantage Dollar Fund</t>
  </si>
  <si>
    <t>Lead Asset Mgt Ltd</t>
  </si>
  <si>
    <t xml:space="preserve">Lead Fixed Income Fund </t>
  </si>
  <si>
    <t>Coronation Fixed Income Fund</t>
  </si>
  <si>
    <t>Stanbic IBTC Shariah Fixed Income Fund</t>
  </si>
  <si>
    <t>Anchoria Fixed Income Fund</t>
  </si>
  <si>
    <t>Cordros Dollar Fund</t>
  </si>
  <si>
    <t>ARM Fixed Income Fund</t>
  </si>
  <si>
    <t>AVA Global Asset Managers Limited</t>
  </si>
  <si>
    <t>AVA GAM Fixed Income Dollar Fund</t>
  </si>
  <si>
    <t>FSDH Dollar Fund</t>
  </si>
  <si>
    <t>NOVA Dollar Fixed Income Fund</t>
  </si>
  <si>
    <t>REAL ESTATE FUNDS</t>
  </si>
  <si>
    <t>SFS Real Estate Investment Trust Fund</t>
  </si>
  <si>
    <t>Union Homes REITS</t>
  </si>
  <si>
    <t>UPDC Real Estate Investment Fund</t>
  </si>
  <si>
    <t>Nigeria Real Estate Investment Trust</t>
  </si>
  <si>
    <t>Stanbic IBTC Balanced Fund</t>
  </si>
  <si>
    <t>United Capital Balanced Fund</t>
  </si>
  <si>
    <t>Capital Express Balanced Fund</t>
  </si>
  <si>
    <t>AIICO Balanced Fund</t>
  </si>
  <si>
    <t>FBN Balanced Fund</t>
  </si>
  <si>
    <t>ValuAlliance Value Fund</t>
  </si>
  <si>
    <t>Wealth For Women Fund</t>
  </si>
  <si>
    <t>Nigeria Energy Sector Fund</t>
  </si>
  <si>
    <t>Coronation Balanced Fund</t>
  </si>
  <si>
    <t>Cordros Milestone Fund</t>
  </si>
  <si>
    <t>Vantage Balanced Fund</t>
  </si>
  <si>
    <t>PACAM Balanced Fund</t>
  </si>
  <si>
    <t xml:space="preserve">Lead Balanced Fund </t>
  </si>
  <si>
    <t>ETHICAL FUNDS</t>
  </si>
  <si>
    <t>Stanbic IBTC Ethical Fund</t>
  </si>
  <si>
    <t>ARM Ethical Fund</t>
  </si>
  <si>
    <t>Stanbic IBTC Imaan Fund</t>
  </si>
  <si>
    <t>Grand Total</t>
  </si>
  <si>
    <t>CardinalStone Asset Mgt. Limited</t>
  </si>
  <si>
    <t>CardinalStone Fixed Income Alpha Fund</t>
  </si>
  <si>
    <t>GDL Income Fund</t>
  </si>
  <si>
    <t>Coral Money Market Fund (FSDH Treasury Bill Fund)</t>
  </si>
  <si>
    <t>AVA GAM Fixed Income Naira Fund</t>
  </si>
  <si>
    <t>Norrenberger Investment and Capital Management Limited</t>
  </si>
  <si>
    <t>Norrenberger Islamic Fund</t>
  </si>
  <si>
    <t>Core Asset Management Limited</t>
  </si>
  <si>
    <t>Core Investment Money Market Fund</t>
  </si>
  <si>
    <t>Core Value Mixed Fund</t>
  </si>
  <si>
    <t>United Capital Sukuk Fund</t>
  </si>
  <si>
    <t>Emerging Africa Asset Management Limited</t>
  </si>
  <si>
    <t>Emerging Africa Money Market Fund</t>
  </si>
  <si>
    <t>Emerging Africa Bond Fund</t>
  </si>
  <si>
    <t>Emerging Africa Eurobond Fund</t>
  </si>
  <si>
    <t>Stanbic IBTC Enhanced Short-Term Fixed Income Fund</t>
  </si>
  <si>
    <t>Note:</t>
  </si>
  <si>
    <t>*Continental Unit Trust Scheme is Inactive*</t>
  </si>
  <si>
    <t>TOTAL INCOME (N)</t>
  </si>
  <si>
    <t>Lotus Halal Investment  Fund</t>
  </si>
  <si>
    <t>ARM Discovery Balanced Fund</t>
  </si>
  <si>
    <t>EDC Money Market Class A</t>
  </si>
  <si>
    <t>Norrenberger Money Market Fund</t>
  </si>
  <si>
    <t xml:space="preserve">Futureview Asset Management Limited </t>
  </si>
  <si>
    <t>Futureview Equity Fund</t>
  </si>
  <si>
    <t>First Ally Asset Management Limited</t>
  </si>
  <si>
    <t>Coral Balanced Fund</t>
  </si>
  <si>
    <t>Women's Balanced Fund</t>
  </si>
  <si>
    <t>GDL Canary Balanced Fund</t>
  </si>
  <si>
    <t>DOLLAR FUNDS (EUROBONDS)</t>
  </si>
  <si>
    <t>DOLLAR FUND</t>
  </si>
  <si>
    <t>DOLLAR FUNDS (FIXED INCOME)</t>
  </si>
  <si>
    <t>FBNQuest Asset Management Limited</t>
  </si>
  <si>
    <t>First City Asset Management Ltd.</t>
  </si>
  <si>
    <t>Nigeria Dollar Income Fund</t>
  </si>
  <si>
    <t>MIXED FUNDS</t>
  </si>
  <si>
    <t>SHARI'AH COMPLIANT FUNDS</t>
  </si>
  <si>
    <t>SHARI'AH COMPLIANT FUNDS (EQUITIES)</t>
  </si>
  <si>
    <t>SHARI'AH COMPLIANT FUNDS (FIXED INCOME)</t>
  </si>
  <si>
    <t>FBN Halal Fund</t>
  </si>
  <si>
    <t>Norrenberger Investment &amp; Capital Management Limited</t>
  </si>
  <si>
    <t>BOND/FIXED INCOME FUNDS</t>
  </si>
  <si>
    <t>FBN Bond Fund (FBN Fixed Income Fund)</t>
  </si>
  <si>
    <t>Legacy Debt Fund</t>
  </si>
  <si>
    <t>NOVA Hybrid Balanced Fund</t>
  </si>
  <si>
    <t>Emerging Africa Balanced-Diversity Fund (Gender/Diversity)</t>
  </si>
  <si>
    <t>S/N</t>
  </si>
  <si>
    <t>Stanbic IBTC Asset Management Limited</t>
  </si>
  <si>
    <t xml:space="preserve">Nigerian Eurobond Fund </t>
  </si>
  <si>
    <t>Chapel Hill Denham Nigeria Bond Fund</t>
  </si>
  <si>
    <t>FBN Dollar Fund (Institutional)</t>
  </si>
  <si>
    <t>FBN Dollar Fund (Retail)</t>
  </si>
  <si>
    <t>Halal Fixed Income Fund</t>
  </si>
  <si>
    <t xml:space="preserve">AXA Mansard Investments Limited </t>
  </si>
  <si>
    <t>EDC Nigeria Fixed Income Fund</t>
  </si>
  <si>
    <t xml:space="preserve">Capital Trust Investments &amp; Asset Mgt. Ltd </t>
  </si>
  <si>
    <t xml:space="preserve">NET ASSET VALUE  (N) </t>
  </si>
  <si>
    <t>AXA Mansard Dollar Bond Fund</t>
  </si>
  <si>
    <t>CLOSING NUMBER OF UNITS</t>
  </si>
  <si>
    <t>OPENING NUMBER OF UNITS</t>
  </si>
  <si>
    <t>Capital Trust Halal Fixed Income Fund</t>
  </si>
  <si>
    <t>ADDITIONS</t>
  </si>
  <si>
    <t>REDEMPTIONS</t>
  </si>
  <si>
    <t>Zenith ESG Impact Fund</t>
  </si>
  <si>
    <t>Zenith Balanced Strategy Fund</t>
  </si>
  <si>
    <t>Cordros Fixed Income Fund</t>
  </si>
  <si>
    <t>74a</t>
  </si>
  <si>
    <t>74b</t>
  </si>
  <si>
    <t>SPREADSHEET OF REGISTERED MUTUAL FUNDS AS AT 30TH APRIL, 2022</t>
  </si>
  <si>
    <t>NET ASSET VALUE  (N) PREVIOUS MARCH</t>
  </si>
  <si>
    <t>Nigeria Entertainment Fund</t>
  </si>
  <si>
    <t>34,426,217.57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</si>
</sst>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64" formatCode="_(* #,##0.00_);_(* \(#,##0.00\);_(* &quot;-&quot;??_);_(@_)"/>
    <numFmt numFmtId="165" formatCode="&quot; &quot;* #,##0&quot; &quot;;&quot;-&quot;* #,##0&quot; &quot;;&quot; &quot;* &quot;-&quot;??&quot; &quot;"/>
    <numFmt numFmtId="166" formatCode="&quot; &quot;* #,##0.00&quot; &quot;;&quot;-&quot;* #,##0.00&quot; &quot;;&quot; &quot;* &quot;-&quot;??&quot; &quot;"/>
    <numFmt numFmtId="167" formatCode="&quot; &quot;* #,##0.00&quot; &quot;;&quot; &quot;* \(#,##0.00\);&quot; &quot;* &quot;-&quot;??&quot; &quot;"/>
    <numFmt numFmtId="168" formatCode="_-* #,##0_-;\-* #,##0_-;_-* &quot;-&quot;??_-;_-@_-"/>
  </numFmts>
  <fonts count="23" x14ac:knownFonts="1">
    <font>
      <sz val="11"/>
      <color indexed="8"/>
      <name val="Calibri"/>
    </font>
    <font>
      <b/>
      <sz val="12"/>
      <color indexed="8"/>
      <name val="Trebuchet MS"/>
      <family val="2"/>
    </font>
    <font>
      <sz val="12"/>
      <color indexed="8"/>
      <name val="Calibri"/>
      <family val="2"/>
    </font>
    <font>
      <sz val="8"/>
      <color indexed="8"/>
      <name val="Trebuchet MS"/>
      <family val="2"/>
    </font>
    <font>
      <b/>
      <sz val="8"/>
      <color indexed="8"/>
      <name val="Trebuchet MS"/>
      <family val="2"/>
    </font>
    <font>
      <sz val="8"/>
      <color indexed="9"/>
      <name val="Trebuchet MS"/>
      <family val="2"/>
    </font>
    <font>
      <b/>
      <sz val="12"/>
      <color indexed="8"/>
      <name val="Calibri"/>
      <family val="2"/>
    </font>
    <font>
      <i/>
      <sz val="12"/>
      <color indexed="8"/>
      <name val="Arial Narrow"/>
      <family val="2"/>
    </font>
    <font>
      <sz val="11"/>
      <color indexed="8"/>
      <name val="Calibri"/>
      <family val="2"/>
    </font>
    <font>
      <b/>
      <sz val="8"/>
      <color rgb="FFFF0000"/>
      <name val="Trebuchet MS"/>
      <family val="2"/>
    </font>
    <font>
      <sz val="8"/>
      <name val="Trebuchet MS"/>
      <family val="2"/>
    </font>
    <font>
      <b/>
      <sz val="36"/>
      <color indexed="9"/>
      <name val="Trebuchet MS"/>
      <family val="2"/>
    </font>
    <font>
      <sz val="8"/>
      <color rgb="FFFF0000"/>
      <name val="Trebuchet MS"/>
      <family val="2"/>
    </font>
    <font>
      <b/>
      <sz val="10"/>
      <color indexed="8"/>
      <name val="Calibri"/>
      <family val="2"/>
    </font>
    <font>
      <sz val="10"/>
      <color indexed="8"/>
      <name val="Arial Narrow"/>
      <family val="2"/>
    </font>
    <font>
      <sz val="8"/>
      <name val="Calibri"/>
      <family val="2"/>
    </font>
    <font>
      <sz val="8"/>
      <color rgb="FF000000"/>
      <name val="Trebuchet MS"/>
      <family val="2"/>
    </font>
    <font>
      <sz val="11"/>
      <color rgb="FF000000"/>
      <name val="Calibri"/>
      <family val="2"/>
    </font>
    <font>
      <b/>
      <sz val="10"/>
      <color indexed="8"/>
      <name val="Trebuchet MS"/>
      <family val="2"/>
    </font>
    <font>
      <sz val="11"/>
      <color indexed="8"/>
      <name val="Calibri"/>
      <family val="2"/>
    </font>
    <font>
      <b/>
      <sz val="8"/>
      <name val="Trebuchet MS"/>
      <family val="2"/>
    </font>
    <font>
      <sz val="8"/>
      <color theme="1"/>
      <name val="Trebuchet MS"/>
      <family val="2"/>
    </font>
    <font>
      <sz val="8"/>
      <color indexed="8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indexed="10"/>
        <bgColor auto="1"/>
      </patternFill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7"/>
        <bgColor auto="1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indexed="11"/>
      </top>
      <bottom/>
      <diagonal/>
    </border>
    <border>
      <left/>
      <right style="thin">
        <color indexed="11"/>
      </right>
      <top style="thin">
        <color indexed="11"/>
      </top>
      <bottom/>
      <diagonal/>
    </border>
    <border>
      <left style="thin">
        <color indexed="11"/>
      </left>
      <right/>
      <top/>
      <bottom/>
      <diagonal/>
    </border>
    <border>
      <left/>
      <right/>
      <top/>
      <bottom/>
      <diagonal/>
    </border>
    <border>
      <left/>
      <right style="thin">
        <color indexed="11"/>
      </right>
      <top/>
      <bottom/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  <border>
      <left style="thin">
        <color indexed="11"/>
      </left>
      <right style="thin">
        <color indexed="11"/>
      </right>
      <top/>
      <bottom/>
      <diagonal/>
    </border>
    <border>
      <left style="thin">
        <color indexed="11"/>
      </left>
      <right/>
      <top/>
      <bottom style="thin">
        <color indexed="11"/>
      </bottom>
      <diagonal/>
    </border>
    <border>
      <left/>
      <right/>
      <top/>
      <bottom style="thin">
        <color indexed="11"/>
      </bottom>
      <diagonal/>
    </border>
    <border>
      <left/>
      <right style="thin">
        <color indexed="11"/>
      </right>
      <top/>
      <bottom style="thin">
        <color indexed="11"/>
      </bottom>
      <diagonal/>
    </border>
    <border>
      <left style="thin">
        <color indexed="11"/>
      </left>
      <right/>
      <top style="thin">
        <color indexed="11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AAAAAA"/>
      </right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 applyNumberFormat="0" applyFill="0" applyBorder="0" applyProtection="0"/>
    <xf numFmtId="43" fontId="8" fillId="0" borderId="0" applyFont="0" applyFill="0" applyBorder="0" applyAlignment="0" applyProtection="0"/>
    <xf numFmtId="9" fontId="19" fillId="0" borderId="0" applyFont="0" applyFill="0" applyBorder="0" applyAlignment="0" applyProtection="0"/>
  </cellStyleXfs>
  <cellXfs count="216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NumberFormat="1" applyFont="1" applyFill="1" applyBorder="1" applyAlignment="1"/>
    <xf numFmtId="0" fontId="0" fillId="2" borderId="2" xfId="0" applyNumberFormat="1" applyFont="1" applyFill="1" applyBorder="1" applyAlignment="1"/>
    <xf numFmtId="0" fontId="0" fillId="2" borderId="3" xfId="0" applyNumberFormat="1" applyFont="1" applyFill="1" applyBorder="1" applyAlignment="1"/>
    <xf numFmtId="0" fontId="0" fillId="2" borderId="4" xfId="0" applyNumberFormat="1" applyFont="1" applyFill="1" applyBorder="1" applyAlignment="1"/>
    <xf numFmtId="0" fontId="0" fillId="2" borderId="5" xfId="0" applyNumberFormat="1" applyFont="1" applyFill="1" applyBorder="1" applyAlignment="1"/>
    <xf numFmtId="0" fontId="0" fillId="2" borderId="6" xfId="0" applyNumberFormat="1" applyFont="1" applyFill="1" applyBorder="1" applyAlignment="1"/>
    <xf numFmtId="0" fontId="0" fillId="2" borderId="8" xfId="0" applyNumberFormat="1" applyFont="1" applyFill="1" applyBorder="1" applyAlignment="1"/>
    <xf numFmtId="0" fontId="0" fillId="2" borderId="7" xfId="0" applyNumberFormat="1" applyFont="1" applyFill="1" applyBorder="1" applyAlignment="1"/>
    <xf numFmtId="0" fontId="0" fillId="2" borderId="10" xfId="0" applyNumberFormat="1" applyFont="1" applyFill="1" applyBorder="1" applyAlignment="1"/>
    <xf numFmtId="0" fontId="0" fillId="2" borderId="11" xfId="0" applyNumberFormat="1" applyFont="1" applyFill="1" applyBorder="1" applyAlignment="1"/>
    <xf numFmtId="0" fontId="0" fillId="2" borderId="12" xfId="0" applyNumberFormat="1" applyFont="1" applyFill="1" applyBorder="1" applyAlignment="1"/>
    <xf numFmtId="0" fontId="0" fillId="0" borderId="0" xfId="0" applyNumberFormat="1" applyFont="1" applyAlignment="1"/>
    <xf numFmtId="0" fontId="0" fillId="2" borderId="13" xfId="0" applyNumberFormat="1" applyFont="1" applyFill="1" applyBorder="1" applyAlignment="1"/>
    <xf numFmtId="0" fontId="0" fillId="2" borderId="9" xfId="0" applyNumberFormat="1" applyFont="1" applyFill="1" applyBorder="1" applyAlignment="1"/>
    <xf numFmtId="0" fontId="0" fillId="0" borderId="0" xfId="0" applyNumberFormat="1" applyFont="1" applyAlignment="1"/>
    <xf numFmtId="0" fontId="0" fillId="0" borderId="0" xfId="0" applyNumberFormat="1" applyFont="1" applyAlignment="1"/>
    <xf numFmtId="0" fontId="0" fillId="0" borderId="0" xfId="0" applyNumberFormat="1" applyFont="1" applyAlignment="1"/>
    <xf numFmtId="0" fontId="0" fillId="2" borderId="14" xfId="0" applyNumberFormat="1" applyFont="1" applyFill="1" applyBorder="1" applyAlignment="1"/>
    <xf numFmtId="166" fontId="3" fillId="2" borderId="15" xfId="0" applyNumberFormat="1" applyFont="1" applyFill="1" applyBorder="1" applyAlignment="1"/>
    <xf numFmtId="4" fontId="3" fillId="2" borderId="15" xfId="0" applyNumberFormat="1" applyFont="1" applyFill="1" applyBorder="1" applyAlignment="1"/>
    <xf numFmtId="166" fontId="3" fillId="7" borderId="15" xfId="0" applyNumberFormat="1" applyFont="1" applyFill="1" applyBorder="1" applyAlignment="1">
      <alignment horizontal="left"/>
    </xf>
    <xf numFmtId="10" fontId="3" fillId="6" borderId="15" xfId="0" applyNumberFormat="1" applyFont="1" applyFill="1" applyBorder="1" applyAlignment="1"/>
    <xf numFmtId="10" fontId="3" fillId="4" borderId="15" xfId="0" applyNumberFormat="1" applyFont="1" applyFill="1" applyBorder="1" applyAlignment="1"/>
    <xf numFmtId="10" fontId="3" fillId="3" borderId="15" xfId="0" applyNumberFormat="1" applyFont="1" applyFill="1" applyBorder="1" applyAlignment="1">
      <alignment horizontal="right" vertical="center"/>
    </xf>
    <xf numFmtId="166" fontId="3" fillId="3" borderId="15" xfId="0" applyNumberFormat="1" applyFont="1" applyFill="1" applyBorder="1" applyAlignment="1">
      <alignment horizontal="right" vertical="center"/>
    </xf>
    <xf numFmtId="165" fontId="3" fillId="2" borderId="15" xfId="0" applyNumberFormat="1" applyFont="1" applyFill="1" applyBorder="1" applyAlignment="1"/>
    <xf numFmtId="166" fontId="3" fillId="2" borderId="15" xfId="0" applyNumberFormat="1" applyFont="1" applyFill="1" applyBorder="1" applyAlignment="1">
      <alignment horizontal="left"/>
    </xf>
    <xf numFmtId="0" fontId="3" fillId="2" borderId="15" xfId="0" applyNumberFormat="1" applyFont="1" applyFill="1" applyBorder="1" applyAlignment="1"/>
    <xf numFmtId="166" fontId="3" fillId="7" borderId="15" xfId="0" applyNumberFormat="1" applyFont="1" applyFill="1" applyBorder="1" applyAlignment="1"/>
    <xf numFmtId="165" fontId="3" fillId="2" borderId="15" xfId="0" applyNumberFormat="1" applyFont="1" applyFill="1" applyBorder="1" applyAlignment="1">
      <alignment horizontal="left"/>
    </xf>
    <xf numFmtId="10" fontId="5" fillId="3" borderId="15" xfId="0" applyNumberFormat="1" applyFont="1" applyFill="1" applyBorder="1" applyAlignment="1">
      <alignment horizontal="right" vertical="center"/>
    </xf>
    <xf numFmtId="166" fontId="5" fillId="3" borderId="15" xfId="0" applyNumberFormat="1" applyFont="1" applyFill="1" applyBorder="1" applyAlignment="1">
      <alignment horizontal="right" vertical="center"/>
    </xf>
    <xf numFmtId="166" fontId="4" fillId="2" borderId="15" xfId="0" applyNumberFormat="1" applyFont="1" applyFill="1" applyBorder="1" applyAlignment="1">
      <alignment vertical="top" wrapText="1"/>
    </xf>
    <xf numFmtId="49" fontId="4" fillId="2" borderId="15" xfId="0" applyNumberFormat="1" applyFont="1" applyFill="1" applyBorder="1" applyAlignment="1">
      <alignment horizontal="right"/>
    </xf>
    <xf numFmtId="166" fontId="4" fillId="2" borderId="15" xfId="0" applyNumberFormat="1" applyFont="1" applyFill="1" applyBorder="1" applyAlignment="1"/>
    <xf numFmtId="166" fontId="4" fillId="7" borderId="15" xfId="0" applyNumberFormat="1" applyFont="1" applyFill="1" applyBorder="1" applyAlignment="1"/>
    <xf numFmtId="10" fontId="4" fillId="4" borderId="15" xfId="0" applyNumberFormat="1" applyFont="1" applyFill="1" applyBorder="1" applyAlignment="1"/>
    <xf numFmtId="10" fontId="4" fillId="3" borderId="15" xfId="0" applyNumberFormat="1" applyFont="1" applyFill="1" applyBorder="1" applyAlignment="1">
      <alignment horizontal="right" vertical="center"/>
    </xf>
    <xf numFmtId="166" fontId="4" fillId="3" borderId="15" xfId="0" applyNumberFormat="1" applyFont="1" applyFill="1" applyBorder="1" applyAlignment="1">
      <alignment horizontal="right" vertical="center"/>
    </xf>
    <xf numFmtId="165" fontId="4" fillId="2" borderId="15" xfId="0" applyNumberFormat="1" applyFont="1" applyFill="1" applyBorder="1" applyAlignment="1"/>
    <xf numFmtId="0" fontId="3" fillId="4" borderId="15" xfId="0" applyNumberFormat="1" applyFont="1" applyFill="1" applyBorder="1" applyAlignment="1">
      <alignment vertical="top" wrapText="1"/>
    </xf>
    <xf numFmtId="3" fontId="3" fillId="2" borderId="15" xfId="0" applyNumberFormat="1" applyFont="1" applyFill="1" applyBorder="1" applyAlignment="1"/>
    <xf numFmtId="166" fontId="4" fillId="2" borderId="15" xfId="0" applyNumberFormat="1" applyFont="1" applyFill="1" applyBorder="1" applyAlignment="1">
      <alignment wrapText="1"/>
    </xf>
    <xf numFmtId="166" fontId="3" fillId="4" borderId="15" xfId="0" applyNumberFormat="1" applyFont="1" applyFill="1" applyBorder="1" applyAlignment="1"/>
    <xf numFmtId="10" fontId="3" fillId="4" borderId="15" xfId="0" applyNumberFormat="1" applyFont="1" applyFill="1" applyBorder="1" applyAlignment="1">
      <alignment horizontal="right" vertical="center"/>
    </xf>
    <xf numFmtId="166" fontId="3" fillId="4" borderId="15" xfId="0" applyNumberFormat="1" applyFont="1" applyFill="1" applyBorder="1" applyAlignment="1">
      <alignment horizontal="right" vertical="center"/>
    </xf>
    <xf numFmtId="166" fontId="5" fillId="2" borderId="15" xfId="0" applyNumberFormat="1" applyFont="1" applyFill="1" applyBorder="1" applyAlignment="1">
      <alignment horizontal="left"/>
    </xf>
    <xf numFmtId="49" fontId="3" fillId="2" borderId="15" xfId="0" applyNumberFormat="1" applyFont="1" applyFill="1" applyBorder="1" applyAlignment="1">
      <alignment horizontal="right"/>
    </xf>
    <xf numFmtId="43" fontId="3" fillId="5" borderId="15" xfId="1" applyFont="1" applyFill="1" applyBorder="1" applyAlignment="1">
      <alignment horizontal="right"/>
    </xf>
    <xf numFmtId="10" fontId="9" fillId="9" borderId="15" xfId="0" applyNumberFormat="1" applyFont="1" applyFill="1" applyBorder="1" applyAlignment="1">
      <alignment horizontal="right" vertical="center"/>
    </xf>
    <xf numFmtId="166" fontId="3" fillId="0" borderId="15" xfId="0" applyNumberFormat="1" applyFont="1" applyFill="1" applyBorder="1" applyAlignment="1">
      <alignment horizontal="right"/>
    </xf>
    <xf numFmtId="166" fontId="3" fillId="0" borderId="15" xfId="0" applyNumberFormat="1" applyFont="1" applyFill="1" applyBorder="1" applyAlignment="1"/>
    <xf numFmtId="4" fontId="3" fillId="0" borderId="15" xfId="0" applyNumberFormat="1" applyFont="1" applyFill="1" applyBorder="1" applyAlignment="1"/>
    <xf numFmtId="166" fontId="3" fillId="0" borderId="15" xfId="0" applyNumberFormat="1" applyFont="1" applyFill="1" applyBorder="1" applyAlignment="1">
      <alignment horizontal="left"/>
    </xf>
    <xf numFmtId="166" fontId="4" fillId="0" borderId="15" xfId="0" applyNumberFormat="1" applyFont="1" applyFill="1" applyBorder="1" applyAlignment="1"/>
    <xf numFmtId="49" fontId="3" fillId="0" borderId="15" xfId="0" applyNumberFormat="1" applyFont="1" applyFill="1" applyBorder="1" applyAlignment="1"/>
    <xf numFmtId="49" fontId="3" fillId="0" borderId="15" xfId="0" applyNumberFormat="1" applyFont="1" applyFill="1" applyBorder="1" applyAlignment="1">
      <alignment wrapText="1"/>
    </xf>
    <xf numFmtId="10" fontId="12" fillId="9" borderId="15" xfId="0" applyNumberFormat="1" applyFont="1" applyFill="1" applyBorder="1" applyAlignment="1">
      <alignment horizontal="right" vertical="center"/>
    </xf>
    <xf numFmtId="49" fontId="3" fillId="0" borderId="15" xfId="0" applyNumberFormat="1" applyFont="1" applyFill="1" applyBorder="1" applyAlignment="1">
      <alignment vertical="center" wrapText="1"/>
    </xf>
    <xf numFmtId="49" fontId="3" fillId="0" borderId="15" xfId="0" applyNumberFormat="1" applyFont="1" applyFill="1" applyBorder="1" applyAlignment="1">
      <alignment vertical="top" wrapText="1"/>
    </xf>
    <xf numFmtId="49" fontId="10" fillId="0" borderId="15" xfId="0" applyNumberFormat="1" applyFont="1" applyFill="1" applyBorder="1" applyAlignment="1"/>
    <xf numFmtId="0" fontId="0" fillId="9" borderId="0" xfId="0" applyNumberFormat="1" applyFont="1" applyFill="1" applyAlignment="1"/>
    <xf numFmtId="0" fontId="0" fillId="9" borderId="0" xfId="0" applyFont="1" applyFill="1" applyAlignment="1"/>
    <xf numFmtId="0" fontId="3" fillId="2" borderId="3" xfId="0" applyNumberFormat="1" applyFont="1" applyFill="1" applyBorder="1" applyAlignment="1"/>
    <xf numFmtId="0" fontId="3" fillId="2" borderId="4" xfId="0" applyNumberFormat="1" applyFont="1" applyFill="1" applyBorder="1" applyAlignment="1"/>
    <xf numFmtId="0" fontId="3" fillId="2" borderId="5" xfId="0" applyNumberFormat="1" applyFont="1" applyFill="1" applyBorder="1" applyAlignment="1"/>
    <xf numFmtId="0" fontId="3" fillId="0" borderId="0" xfId="0" applyNumberFormat="1" applyFont="1" applyAlignment="1"/>
    <xf numFmtId="0" fontId="3" fillId="0" borderId="0" xfId="0" applyFont="1" applyAlignment="1"/>
    <xf numFmtId="4" fontId="3" fillId="2" borderId="15" xfId="0" applyNumberFormat="1" applyFont="1" applyFill="1" applyBorder="1" applyAlignment="1">
      <alignment horizontal="right"/>
    </xf>
    <xf numFmtId="10" fontId="3" fillId="12" borderId="15" xfId="0" applyNumberFormat="1" applyFont="1" applyFill="1" applyBorder="1" applyAlignment="1"/>
    <xf numFmtId="10" fontId="3" fillId="10" borderId="15" xfId="0" applyNumberFormat="1" applyFont="1" applyFill="1" applyBorder="1" applyAlignment="1">
      <alignment horizontal="right" vertical="center"/>
    </xf>
    <xf numFmtId="166" fontId="3" fillId="10" borderId="15" xfId="0" applyNumberFormat="1" applyFont="1" applyFill="1" applyBorder="1" applyAlignment="1">
      <alignment horizontal="right" vertical="center"/>
    </xf>
    <xf numFmtId="43" fontId="3" fillId="0" borderId="15" xfId="1" applyFont="1" applyFill="1" applyBorder="1" applyAlignment="1"/>
    <xf numFmtId="0" fontId="8" fillId="0" borderId="0" xfId="0" applyNumberFormat="1" applyFont="1" applyAlignment="1"/>
    <xf numFmtId="49" fontId="5" fillId="0" borderId="15" xfId="0" applyNumberFormat="1" applyFont="1" applyFill="1" applyBorder="1" applyAlignment="1">
      <alignment vertical="center" wrapText="1"/>
    </xf>
    <xf numFmtId="43" fontId="3" fillId="2" borderId="15" xfId="1" applyFont="1" applyFill="1" applyBorder="1" applyAlignment="1"/>
    <xf numFmtId="166" fontId="4" fillId="0" borderId="15" xfId="0" applyNumberFormat="1" applyFont="1" applyFill="1" applyBorder="1" applyAlignment="1">
      <alignment vertical="top" wrapText="1"/>
    </xf>
    <xf numFmtId="49" fontId="4" fillId="0" borderId="15" xfId="0" applyNumberFormat="1" applyFont="1" applyFill="1" applyBorder="1" applyAlignment="1">
      <alignment horizontal="right"/>
    </xf>
    <xf numFmtId="166" fontId="3" fillId="12" borderId="15" xfId="0" applyNumberFormat="1" applyFont="1" applyFill="1" applyBorder="1" applyAlignment="1"/>
    <xf numFmtId="166" fontId="3" fillId="7" borderId="15" xfId="0" applyNumberFormat="1" applyFont="1" applyFill="1" applyBorder="1"/>
    <xf numFmtId="0" fontId="17" fillId="13" borderId="4" xfId="0" applyFont="1" applyFill="1" applyBorder="1" applyAlignment="1"/>
    <xf numFmtId="0" fontId="17" fillId="13" borderId="17" xfId="0" applyFont="1" applyFill="1" applyBorder="1" applyAlignment="1"/>
    <xf numFmtId="0" fontId="17" fillId="0" borderId="4" xfId="0" applyFont="1" applyBorder="1" applyAlignment="1"/>
    <xf numFmtId="43" fontId="4" fillId="2" borderId="15" xfId="1" applyFont="1" applyFill="1" applyBorder="1" applyAlignment="1"/>
    <xf numFmtId="43" fontId="3" fillId="2" borderId="15" xfId="1" applyFont="1" applyFill="1" applyBorder="1" applyAlignment="1">
      <alignment horizontal="right"/>
    </xf>
    <xf numFmtId="49" fontId="3" fillId="16" borderId="15" xfId="0" applyNumberFormat="1" applyFont="1" applyFill="1" applyBorder="1" applyAlignment="1"/>
    <xf numFmtId="10" fontId="9" fillId="6" borderId="15" xfId="0" applyNumberFormat="1" applyFont="1" applyFill="1" applyBorder="1" applyAlignment="1"/>
    <xf numFmtId="166" fontId="4" fillId="16" borderId="15" xfId="0" applyNumberFormat="1" applyFont="1" applyFill="1" applyBorder="1" applyAlignment="1">
      <alignment wrapText="1"/>
    </xf>
    <xf numFmtId="166" fontId="3" fillId="2" borderId="18" xfId="0" applyNumberFormat="1" applyFont="1" applyFill="1" applyBorder="1" applyAlignment="1"/>
    <xf numFmtId="166" fontId="3" fillId="17" borderId="15" xfId="0" applyNumberFormat="1" applyFont="1" applyFill="1" applyBorder="1" applyAlignment="1"/>
    <xf numFmtId="10" fontId="3" fillId="17" borderId="15" xfId="0" applyNumberFormat="1" applyFont="1" applyFill="1" applyBorder="1" applyAlignment="1"/>
    <xf numFmtId="10" fontId="9" fillId="17" borderId="15" xfId="0" applyNumberFormat="1" applyFont="1" applyFill="1" applyBorder="1" applyAlignment="1">
      <alignment horizontal="right" vertical="center"/>
    </xf>
    <xf numFmtId="10" fontId="3" fillId="17" borderId="15" xfId="0" applyNumberFormat="1" applyFont="1" applyFill="1" applyBorder="1" applyAlignment="1">
      <alignment horizontal="right" vertical="center"/>
    </xf>
    <xf numFmtId="166" fontId="3" fillId="17" borderId="15" xfId="0" applyNumberFormat="1" applyFont="1" applyFill="1" applyBorder="1" applyAlignment="1">
      <alignment horizontal="right" vertical="center"/>
    </xf>
    <xf numFmtId="3" fontId="3" fillId="17" borderId="15" xfId="0" applyNumberFormat="1" applyFont="1" applyFill="1" applyBorder="1" applyAlignment="1"/>
    <xf numFmtId="10" fontId="12" fillId="17" borderId="15" xfId="0" applyNumberFormat="1" applyFont="1" applyFill="1" applyBorder="1" applyAlignment="1">
      <alignment horizontal="right" vertical="center"/>
    </xf>
    <xf numFmtId="165" fontId="3" fillId="17" borderId="15" xfId="0" applyNumberFormat="1" applyFont="1" applyFill="1" applyBorder="1" applyAlignment="1"/>
    <xf numFmtId="9" fontId="12" fillId="9" borderId="15" xfId="2" applyFont="1" applyFill="1" applyBorder="1" applyAlignment="1">
      <alignment horizontal="right" vertical="center"/>
    </xf>
    <xf numFmtId="49" fontId="1" fillId="3" borderId="15" xfId="0" applyNumberFormat="1" applyFont="1" applyFill="1" applyBorder="1" applyAlignment="1">
      <alignment horizontal="center" vertical="top" wrapText="1"/>
    </xf>
    <xf numFmtId="0" fontId="4" fillId="4" borderId="15" xfId="0" applyNumberFormat="1" applyFont="1" applyFill="1" applyBorder="1" applyAlignment="1">
      <alignment vertical="top" wrapText="1"/>
    </xf>
    <xf numFmtId="10" fontId="12" fillId="14" borderId="15" xfId="0" applyNumberFormat="1" applyFont="1" applyFill="1" applyBorder="1" applyAlignment="1">
      <alignment horizontal="right" vertical="center"/>
    </xf>
    <xf numFmtId="10" fontId="16" fillId="15" borderId="15" xfId="0" applyNumberFormat="1" applyFont="1" applyFill="1" applyBorder="1" applyAlignment="1">
      <alignment horizontal="right" vertical="center"/>
    </xf>
    <xf numFmtId="166" fontId="16" fillId="15" borderId="15" xfId="0" applyNumberFormat="1" applyFont="1" applyFill="1" applyBorder="1" applyAlignment="1">
      <alignment horizontal="right" vertical="center"/>
    </xf>
    <xf numFmtId="0" fontId="20" fillId="17" borderId="15" xfId="0" applyFont="1" applyFill="1" applyBorder="1" applyAlignment="1">
      <alignment wrapText="1"/>
    </xf>
    <xf numFmtId="49" fontId="1" fillId="3" borderId="23" xfId="0" applyNumberFormat="1" applyFont="1" applyFill="1" applyBorder="1" applyAlignment="1">
      <alignment horizontal="center" vertical="top" wrapText="1"/>
    </xf>
    <xf numFmtId="49" fontId="1" fillId="3" borderId="19" xfId="0" applyNumberFormat="1" applyFont="1" applyFill="1" applyBorder="1" applyAlignment="1">
      <alignment horizontal="center" vertical="top" wrapText="1"/>
    </xf>
    <xf numFmtId="0" fontId="4" fillId="4" borderId="19" xfId="0" applyNumberFormat="1" applyFont="1" applyFill="1" applyBorder="1" applyAlignment="1">
      <alignment vertical="top" wrapText="1"/>
    </xf>
    <xf numFmtId="165" fontId="3" fillId="16" borderId="23" xfId="0" applyNumberFormat="1" applyFont="1" applyFill="1" applyBorder="1" applyAlignment="1">
      <alignment horizontal="center" wrapText="1"/>
    </xf>
    <xf numFmtId="4" fontId="3" fillId="2" borderId="19" xfId="0" applyNumberFormat="1" applyFont="1" applyFill="1" applyBorder="1" applyAlignment="1"/>
    <xf numFmtId="166" fontId="3" fillId="2" borderId="19" xfId="0" applyNumberFormat="1" applyFont="1" applyFill="1" applyBorder="1" applyAlignment="1"/>
    <xf numFmtId="165" fontId="4" fillId="2" borderId="23" xfId="0" applyNumberFormat="1" applyFont="1" applyFill="1" applyBorder="1" applyAlignment="1">
      <alignment horizontal="center"/>
    </xf>
    <xf numFmtId="166" fontId="4" fillId="2" borderId="19" xfId="0" applyNumberFormat="1" applyFont="1" applyFill="1" applyBorder="1" applyAlignment="1"/>
    <xf numFmtId="0" fontId="3" fillId="4" borderId="19" xfId="0" applyNumberFormat="1" applyFont="1" applyFill="1" applyBorder="1" applyAlignment="1">
      <alignment vertical="top" wrapText="1"/>
    </xf>
    <xf numFmtId="49" fontId="4" fillId="16" borderId="23" xfId="0" applyNumberFormat="1" applyFont="1" applyFill="1" applyBorder="1" applyAlignment="1">
      <alignment horizontal="center" wrapText="1"/>
    </xf>
    <xf numFmtId="166" fontId="3" fillId="4" borderId="19" xfId="0" applyNumberFormat="1" applyFont="1" applyFill="1" applyBorder="1" applyAlignment="1"/>
    <xf numFmtId="166" fontId="3" fillId="17" borderId="19" xfId="0" applyNumberFormat="1" applyFont="1" applyFill="1" applyBorder="1" applyAlignment="1"/>
    <xf numFmtId="165" fontId="4" fillId="0" borderId="23" xfId="0" applyNumberFormat="1" applyFont="1" applyFill="1" applyBorder="1" applyAlignment="1">
      <alignment horizontal="center" wrapText="1"/>
    </xf>
    <xf numFmtId="165" fontId="4" fillId="2" borderId="23" xfId="0" applyNumberFormat="1" applyFont="1" applyFill="1" applyBorder="1" applyAlignment="1">
      <alignment horizontal="center" wrapText="1"/>
    </xf>
    <xf numFmtId="166" fontId="4" fillId="2" borderId="19" xfId="0" applyNumberFormat="1" applyFont="1" applyFill="1" applyBorder="1" applyAlignment="1">
      <alignment wrapText="1"/>
    </xf>
    <xf numFmtId="165" fontId="3" fillId="0" borderId="23" xfId="0" applyNumberFormat="1" applyFont="1" applyFill="1" applyBorder="1" applyAlignment="1">
      <alignment horizontal="center"/>
    </xf>
    <xf numFmtId="165" fontId="3" fillId="8" borderId="24" xfId="0" applyNumberFormat="1" applyFont="1" applyFill="1" applyBorder="1" applyAlignment="1">
      <alignment horizontal="center" wrapText="1"/>
    </xf>
    <xf numFmtId="166" fontId="3" fillId="8" borderId="16" xfId="0" applyNumberFormat="1" applyFont="1" applyFill="1" applyBorder="1" applyAlignment="1">
      <alignment wrapText="1"/>
    </xf>
    <xf numFmtId="49" fontId="4" fillId="8" borderId="16" xfId="0" applyNumberFormat="1" applyFont="1" applyFill="1" applyBorder="1" applyAlignment="1">
      <alignment horizontal="right"/>
    </xf>
    <xf numFmtId="166" fontId="4" fillId="8" borderId="16" xfId="0" applyNumberFormat="1" applyFont="1" applyFill="1" applyBorder="1" applyAlignment="1"/>
    <xf numFmtId="10" fontId="4" fillId="6" borderId="16" xfId="0" applyNumberFormat="1" applyFont="1" applyFill="1" applyBorder="1" applyAlignment="1"/>
    <xf numFmtId="10" fontId="4" fillId="4" borderId="16" xfId="0" applyNumberFormat="1" applyFont="1" applyFill="1" applyBorder="1" applyAlignment="1"/>
    <xf numFmtId="10" fontId="9" fillId="9" borderId="16" xfId="0" applyNumberFormat="1" applyFont="1" applyFill="1" applyBorder="1" applyAlignment="1">
      <alignment horizontal="right" vertical="center"/>
    </xf>
    <xf numFmtId="10" fontId="4" fillId="3" borderId="16" xfId="0" applyNumberFormat="1" applyFont="1" applyFill="1" applyBorder="1" applyAlignment="1">
      <alignment horizontal="right" vertical="center"/>
    </xf>
    <xf numFmtId="166" fontId="4" fillId="3" borderId="16" xfId="0" applyNumberFormat="1" applyFont="1" applyFill="1" applyBorder="1" applyAlignment="1">
      <alignment horizontal="right" vertical="center"/>
    </xf>
    <xf numFmtId="166" fontId="4" fillId="8" borderId="25" xfId="0" applyNumberFormat="1" applyFont="1" applyFill="1" applyBorder="1" applyAlignment="1"/>
    <xf numFmtId="165" fontId="4" fillId="8" borderId="16" xfId="0" applyNumberFormat="1" applyFont="1" applyFill="1" applyBorder="1" applyAlignment="1"/>
    <xf numFmtId="168" fontId="4" fillId="2" borderId="15" xfId="1" applyNumberFormat="1" applyFont="1" applyFill="1" applyBorder="1" applyAlignment="1"/>
    <xf numFmtId="0" fontId="0" fillId="16" borderId="3" xfId="0" applyNumberFormat="1" applyFont="1" applyFill="1" applyBorder="1" applyAlignment="1"/>
    <xf numFmtId="0" fontId="0" fillId="16" borderId="4" xfId="0" applyNumberFormat="1" applyFont="1" applyFill="1" applyBorder="1" applyAlignment="1"/>
    <xf numFmtId="0" fontId="0" fillId="16" borderId="5" xfId="0" applyNumberFormat="1" applyFont="1" applyFill="1" applyBorder="1" applyAlignment="1"/>
    <xf numFmtId="0" fontId="0" fillId="16" borderId="0" xfId="0" applyNumberFormat="1" applyFont="1" applyFill="1" applyAlignment="1"/>
    <xf numFmtId="0" fontId="0" fillId="0" borderId="15" xfId="0" applyNumberFormat="1" applyFont="1" applyBorder="1" applyAlignment="1"/>
    <xf numFmtId="0" fontId="13" fillId="2" borderId="4" xfId="0" applyNumberFormat="1" applyFont="1" applyFill="1" applyBorder="1" applyAlignment="1"/>
    <xf numFmtId="0" fontId="14" fillId="2" borderId="4" xfId="0" applyNumberFormat="1" applyFont="1" applyFill="1" applyBorder="1" applyAlignment="1"/>
    <xf numFmtId="0" fontId="7" fillId="2" borderId="4" xfId="0" applyNumberFormat="1" applyFont="1" applyFill="1" applyBorder="1" applyAlignment="1"/>
    <xf numFmtId="4" fontId="4" fillId="0" borderId="4" xfId="0" applyNumberFormat="1" applyFont="1" applyBorder="1" applyAlignment="1"/>
    <xf numFmtId="166" fontId="2" fillId="2" borderId="4" xfId="0" applyNumberFormat="1" applyFont="1" applyFill="1" applyBorder="1" applyAlignment="1"/>
    <xf numFmtId="167" fontId="2" fillId="2" borderId="4" xfId="0" applyNumberFormat="1" applyFont="1" applyFill="1" applyBorder="1" applyAlignment="1"/>
    <xf numFmtId="0" fontId="6" fillId="2" borderId="4" xfId="0" applyNumberFormat="1" applyFont="1" applyFill="1" applyBorder="1" applyAlignment="1"/>
    <xf numFmtId="4" fontId="0" fillId="2" borderId="4" xfId="0" applyNumberFormat="1" applyFont="1" applyFill="1" applyBorder="1" applyAlignment="1"/>
    <xf numFmtId="10" fontId="3" fillId="9" borderId="15" xfId="0" applyNumberFormat="1" applyFont="1" applyFill="1" applyBorder="1" applyAlignment="1"/>
    <xf numFmtId="2" fontId="3" fillId="0" borderId="15" xfId="0" applyNumberFormat="1" applyFont="1" applyFill="1" applyBorder="1" applyAlignment="1"/>
    <xf numFmtId="165" fontId="3" fillId="0" borderId="15" xfId="0" applyNumberFormat="1" applyFont="1" applyFill="1" applyBorder="1" applyAlignment="1"/>
    <xf numFmtId="166" fontId="3" fillId="0" borderId="19" xfId="0" applyNumberFormat="1" applyFont="1" applyFill="1" applyBorder="1" applyAlignment="1"/>
    <xf numFmtId="166" fontId="21" fillId="2" borderId="15" xfId="0" applyNumberFormat="1" applyFont="1" applyFill="1" applyBorder="1" applyAlignment="1">
      <alignment horizontal="left"/>
    </xf>
    <xf numFmtId="43" fontId="3" fillId="5" borderId="15" xfId="1" applyFont="1" applyFill="1" applyBorder="1" applyAlignment="1"/>
    <xf numFmtId="166" fontId="3" fillId="16" borderId="15" xfId="0" applyNumberFormat="1" applyFont="1" applyFill="1" applyBorder="1" applyAlignment="1"/>
    <xf numFmtId="2" fontId="3" fillId="16" borderId="15" xfId="0" applyNumberFormat="1" applyFont="1" applyFill="1" applyBorder="1" applyAlignment="1"/>
    <xf numFmtId="165" fontId="3" fillId="16" borderId="15" xfId="0" applyNumberFormat="1" applyFont="1" applyFill="1" applyBorder="1" applyAlignment="1"/>
    <xf numFmtId="4" fontId="3" fillId="16" borderId="15" xfId="0" applyNumberFormat="1" applyFont="1" applyFill="1" applyBorder="1" applyAlignment="1"/>
    <xf numFmtId="166" fontId="5" fillId="2" borderId="15" xfId="0" applyNumberFormat="1" applyFont="1" applyFill="1" applyBorder="1" applyAlignment="1"/>
    <xf numFmtId="165" fontId="5" fillId="2" borderId="15" xfId="0" applyNumberFormat="1" applyFont="1" applyFill="1" applyBorder="1" applyAlignment="1"/>
    <xf numFmtId="166" fontId="5" fillId="2" borderId="19" xfId="0" applyNumberFormat="1" applyFont="1" applyFill="1" applyBorder="1" applyAlignment="1"/>
    <xf numFmtId="166" fontId="4" fillId="7" borderId="15" xfId="0" applyNumberFormat="1" applyFont="1" applyFill="1" applyBorder="1"/>
    <xf numFmtId="166" fontId="4" fillId="7" borderId="15" xfId="0" applyNumberFormat="1" applyFont="1" applyFill="1" applyBorder="1" applyAlignment="1">
      <alignment horizontal="left"/>
    </xf>
    <xf numFmtId="164" fontId="3" fillId="2" borderId="15" xfId="0" applyNumberFormat="1" applyFont="1" applyFill="1" applyBorder="1" applyAlignment="1"/>
    <xf numFmtId="43" fontId="1" fillId="3" borderId="15" xfId="1" applyFont="1" applyFill="1" applyBorder="1" applyAlignment="1">
      <alignment horizontal="center" vertical="top" wrapText="1"/>
    </xf>
    <xf numFmtId="43" fontId="4" fillId="4" borderId="15" xfId="1" applyFont="1" applyFill="1" applyBorder="1" applyAlignment="1">
      <alignment vertical="top" wrapText="1"/>
    </xf>
    <xf numFmtId="43" fontId="3" fillId="4" borderId="15" xfId="1" applyFont="1" applyFill="1" applyBorder="1" applyAlignment="1">
      <alignment vertical="top" wrapText="1"/>
    </xf>
    <xf numFmtId="43" fontId="3" fillId="4" borderId="15" xfId="1" applyFont="1" applyFill="1" applyBorder="1" applyAlignment="1"/>
    <xf numFmtId="43" fontId="3" fillId="17" borderId="15" xfId="1" applyFont="1" applyFill="1" applyBorder="1" applyAlignment="1"/>
    <xf numFmtId="43" fontId="3" fillId="5" borderId="15" xfId="1" applyFont="1" applyFill="1" applyBorder="1" applyAlignment="1">
      <alignment horizontal="left"/>
    </xf>
    <xf numFmtId="43" fontId="3" fillId="11" borderId="15" xfId="1" applyFont="1" applyFill="1" applyBorder="1" applyAlignment="1"/>
    <xf numFmtId="43" fontId="0" fillId="2" borderId="4" xfId="1" applyFont="1" applyFill="1" applyBorder="1" applyAlignment="1"/>
    <xf numFmtId="43" fontId="0" fillId="0" borderId="0" xfId="1" applyFont="1" applyAlignment="1"/>
    <xf numFmtId="165" fontId="3" fillId="0" borderId="23" xfId="0" applyNumberFormat="1" applyFont="1" applyFill="1" applyBorder="1" applyAlignment="1">
      <alignment horizontal="center" wrapText="1"/>
    </xf>
    <xf numFmtId="165" fontId="10" fillId="0" borderId="23" xfId="0" applyNumberFormat="1" applyFont="1" applyFill="1" applyBorder="1" applyAlignment="1">
      <alignment horizontal="center" wrapText="1"/>
    </xf>
    <xf numFmtId="165" fontId="16" fillId="0" borderId="23" xfId="0" applyNumberFormat="1" applyFont="1" applyFill="1" applyBorder="1" applyAlignment="1">
      <alignment horizontal="center" wrapText="1"/>
    </xf>
    <xf numFmtId="49" fontId="16" fillId="0" borderId="15" xfId="0" applyNumberFormat="1" applyFont="1" applyFill="1" applyBorder="1" applyAlignment="1">
      <alignment wrapText="1"/>
    </xf>
    <xf numFmtId="165" fontId="21" fillId="0" borderId="23" xfId="0" applyNumberFormat="1" applyFont="1" applyFill="1" applyBorder="1" applyAlignment="1">
      <alignment horizontal="center" wrapText="1"/>
    </xf>
    <xf numFmtId="49" fontId="21" fillId="0" borderId="15" xfId="0" applyNumberFormat="1" applyFont="1" applyFill="1" applyBorder="1" applyAlignment="1">
      <alignment wrapText="1"/>
    </xf>
    <xf numFmtId="165" fontId="3" fillId="0" borderId="23" xfId="0" applyNumberFormat="1" applyFont="1" applyFill="1" applyBorder="1" applyAlignment="1">
      <alignment horizontal="right" wrapText="1"/>
    </xf>
    <xf numFmtId="166" fontId="3" fillId="2" borderId="15" xfId="0" applyNumberFormat="1" applyFont="1" applyFill="1" applyBorder="1" applyAlignment="1">
      <alignment horizontal="left" wrapText="1"/>
    </xf>
    <xf numFmtId="166" fontId="16" fillId="13" borderId="15" xfId="0" applyNumberFormat="1" applyFont="1" applyFill="1" applyBorder="1" applyAlignment="1">
      <alignment horizontal="left"/>
    </xf>
    <xf numFmtId="2" fontId="3" fillId="2" borderId="15" xfId="0" applyNumberFormat="1" applyFont="1" applyFill="1" applyBorder="1" applyAlignment="1">
      <alignment horizontal="right"/>
    </xf>
    <xf numFmtId="166" fontId="5" fillId="5" borderId="15" xfId="0" applyNumberFormat="1" applyFont="1" applyFill="1" applyBorder="1" applyAlignment="1"/>
    <xf numFmtId="3" fontId="22" fillId="0" borderId="15" xfId="0" applyNumberFormat="1" applyFont="1" applyBorder="1" applyAlignment="1"/>
    <xf numFmtId="4" fontId="22" fillId="0" borderId="15" xfId="0" applyNumberFormat="1" applyFont="1" applyBorder="1" applyAlignment="1"/>
    <xf numFmtId="4" fontId="3" fillId="0" borderId="15" xfId="0" applyNumberFormat="1" applyFont="1" applyBorder="1" applyAlignment="1"/>
    <xf numFmtId="49" fontId="10" fillId="0" borderId="15" xfId="0" applyNumberFormat="1" applyFont="1" applyFill="1" applyBorder="1" applyAlignment="1">
      <alignment wrapText="1"/>
    </xf>
    <xf numFmtId="0" fontId="4" fillId="2" borderId="15" xfId="0" applyNumberFormat="1" applyFont="1" applyFill="1" applyBorder="1" applyAlignment="1"/>
    <xf numFmtId="166" fontId="4" fillId="2" borderId="15" xfId="0" applyNumberFormat="1" applyFont="1" applyFill="1" applyBorder="1" applyAlignment="1">
      <alignment horizontal="left"/>
    </xf>
    <xf numFmtId="0" fontId="8" fillId="2" borderId="3" xfId="0" applyNumberFormat="1" applyFont="1" applyFill="1" applyBorder="1" applyAlignment="1"/>
    <xf numFmtId="0" fontId="8" fillId="2" borderId="4" xfId="0" applyNumberFormat="1" applyFont="1" applyFill="1" applyBorder="1" applyAlignment="1"/>
    <xf numFmtId="0" fontId="8" fillId="2" borderId="5" xfId="0" applyNumberFormat="1" applyFont="1" applyFill="1" applyBorder="1" applyAlignment="1"/>
    <xf numFmtId="0" fontId="8" fillId="0" borderId="0" xfId="0" applyFont="1" applyAlignment="1"/>
    <xf numFmtId="0" fontId="3" fillId="0" borderId="15" xfId="0" applyFont="1" applyFill="1" applyBorder="1" applyAlignment="1"/>
    <xf numFmtId="43" fontId="3" fillId="0" borderId="15" xfId="1" applyFont="1" applyFill="1" applyBorder="1" applyAlignment="1">
      <alignment horizontal="right"/>
    </xf>
    <xf numFmtId="165" fontId="3" fillId="0" borderId="19" xfId="0" applyNumberFormat="1" applyFont="1" applyFill="1" applyBorder="1" applyAlignment="1"/>
    <xf numFmtId="166" fontId="3" fillId="2" borderId="15" xfId="0" applyNumberFormat="1" applyFont="1" applyFill="1" applyBorder="1" applyAlignment="1">
      <alignment horizontal="right"/>
    </xf>
    <xf numFmtId="166" fontId="16" fillId="0" borderId="15" xfId="0" applyNumberFormat="1" applyFont="1" applyBorder="1" applyAlignment="1"/>
    <xf numFmtId="1" fontId="3" fillId="0" borderId="15" xfId="0" applyNumberFormat="1" applyFont="1" applyFill="1" applyBorder="1" applyAlignment="1"/>
    <xf numFmtId="0" fontId="20" fillId="17" borderId="23" xfId="0" applyFont="1" applyFill="1" applyBorder="1" applyAlignment="1">
      <alignment horizontal="center" wrapText="1"/>
    </xf>
    <xf numFmtId="0" fontId="20" fillId="17" borderId="15" xfId="0" applyFont="1" applyFill="1" applyBorder="1" applyAlignment="1">
      <alignment horizontal="center" wrapText="1"/>
    </xf>
    <xf numFmtId="49" fontId="18" fillId="4" borderId="15" xfId="0" applyNumberFormat="1" applyFont="1" applyFill="1" applyBorder="1" applyAlignment="1">
      <alignment horizontal="center" vertical="top" wrapText="1"/>
    </xf>
    <xf numFmtId="49" fontId="18" fillId="4" borderId="19" xfId="0" applyNumberFormat="1" applyFont="1" applyFill="1" applyBorder="1" applyAlignment="1">
      <alignment horizontal="center" vertical="top" wrapText="1"/>
    </xf>
    <xf numFmtId="49" fontId="18" fillId="4" borderId="23" xfId="0" applyNumberFormat="1" applyFont="1" applyFill="1" applyBorder="1" applyAlignment="1">
      <alignment horizontal="center" vertical="top" wrapText="1"/>
    </xf>
    <xf numFmtId="49" fontId="11" fillId="2" borderId="20" xfId="0" applyNumberFormat="1" applyFont="1" applyFill="1" applyBorder="1" applyAlignment="1">
      <alignment horizontal="center"/>
    </xf>
    <xf numFmtId="0" fontId="11" fillId="2" borderId="21" xfId="0" applyNumberFormat="1" applyFont="1" applyFill="1" applyBorder="1" applyAlignment="1">
      <alignment horizontal="center"/>
    </xf>
    <xf numFmtId="0" fontId="11" fillId="2" borderId="22" xfId="0" applyNumberFormat="1" applyFont="1" applyFill="1" applyBorder="1" applyAlignment="1">
      <alignment horizontal="center"/>
    </xf>
    <xf numFmtId="166" fontId="4" fillId="17" borderId="23" xfId="0" applyNumberFormat="1" applyFont="1" applyFill="1" applyBorder="1" applyAlignment="1">
      <alignment horizontal="center" wrapText="1"/>
    </xf>
    <xf numFmtId="166" fontId="4" fillId="17" borderId="15" xfId="0" applyNumberFormat="1" applyFont="1" applyFill="1" applyBorder="1" applyAlignment="1">
      <alignment horizontal="center" wrapText="1"/>
    </xf>
    <xf numFmtId="49" fontId="18" fillId="12" borderId="23" xfId="0" applyNumberFormat="1" applyFont="1" applyFill="1" applyBorder="1" applyAlignment="1">
      <alignment horizontal="center" vertical="top" wrapText="1"/>
    </xf>
    <xf numFmtId="49" fontId="18" fillId="12" borderId="15" xfId="0" applyNumberFormat="1" applyFont="1" applyFill="1" applyBorder="1" applyAlignment="1">
      <alignment horizontal="center" vertical="top" wrapText="1"/>
    </xf>
    <xf numFmtId="0" fontId="0" fillId="0" borderId="4" xfId="0" applyNumberFormat="1" applyFont="1" applyBorder="1" applyAlignment="1"/>
    <xf numFmtId="166" fontId="3" fillId="2" borderId="26" xfId="0" applyNumberFormat="1" applyFont="1" applyFill="1" applyBorder="1" applyAlignment="1"/>
    <xf numFmtId="165" fontId="0" fillId="0" borderId="4" xfId="0" applyNumberFormat="1" applyFont="1" applyBorder="1" applyAlignment="1"/>
    <xf numFmtId="3" fontId="3" fillId="2" borderId="19" xfId="0" applyNumberFormat="1" applyFont="1" applyFill="1" applyBorder="1" applyAlignment="1"/>
    <xf numFmtId="165" fontId="3" fillId="2" borderId="19" xfId="0" applyNumberFormat="1" applyFont="1" applyFill="1" applyBorder="1" applyAlignment="1"/>
  </cellXfs>
  <cellStyles count="3">
    <cellStyle name="Comma" xfId="1" builtinId="3"/>
    <cellStyle name="Normal" xfId="0" builtinId="0"/>
    <cellStyle name="Percent" xfId="2" builtinId="5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0000"/>
      <rgbColor rgb="FFFFFFFF"/>
      <rgbColor rgb="FFAAAAAA"/>
      <rgbColor rgb="FF92D050"/>
      <rgbColor rgb="FFDBE5F1"/>
      <rgbColor rgb="FFB6DDE8"/>
      <rgbColor rgb="FFFFFF00"/>
      <rgbColor rgb="FF95B3D7"/>
      <rgbColor rgb="FFFDE9D9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333373</xdr:colOff>
      <xdr:row>0</xdr:row>
      <xdr:rowOff>23816</xdr:rowOff>
    </xdr:from>
    <xdr:to>
      <xdr:col>12</xdr:col>
      <xdr:colOff>35719</xdr:colOff>
      <xdr:row>24</xdr:row>
      <xdr:rowOff>0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3" y="23816"/>
          <a:ext cx="7703346" cy="3976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47624</xdr:colOff>
      <xdr:row>0</xdr:row>
      <xdr:rowOff>0</xdr:rowOff>
    </xdr:from>
    <xdr:to>
      <xdr:col>14</xdr:col>
      <xdr:colOff>11906</xdr:colOff>
      <xdr:row>24</xdr:row>
      <xdr:rowOff>11906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4" y="0"/>
          <a:ext cx="9298782" cy="40124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95248</xdr:colOff>
      <xdr:row>0</xdr:row>
      <xdr:rowOff>59530</xdr:rowOff>
    </xdr:from>
    <xdr:to>
      <xdr:col>16</xdr:col>
      <xdr:colOff>11906</xdr:colOff>
      <xdr:row>22</xdr:row>
      <xdr:rowOff>23812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48" y="59530"/>
          <a:ext cx="9536908" cy="41552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 Theme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8" tIns="45718" rIns="45718" bIns="45718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55"/>
  <sheetViews>
    <sheetView showGridLines="0" tabSelected="1" view="pageBreakPreview" zoomScaleNormal="160" zoomScaleSheetLayoutView="100" workbookViewId="0">
      <pane ySplit="2" topLeftCell="A3" activePane="bottomLeft" state="frozen"/>
      <selection pane="bottomLeft" activeCell="A3" sqref="A3:C3"/>
    </sheetView>
  </sheetViews>
  <sheetFormatPr defaultColWidth="8.85546875" defaultRowHeight="15.75" customHeight="1" x14ac:dyDescent="0.25"/>
  <cols>
    <col min="1" max="1" width="6.42578125" style="1" customWidth="1"/>
    <col min="2" max="2" width="47" style="1" customWidth="1"/>
    <col min="3" max="3" width="53.7109375" style="1" customWidth="1"/>
    <col min="4" max="4" width="18.28515625" style="1" customWidth="1"/>
    <col min="5" max="5" width="17.42578125" style="1" customWidth="1"/>
    <col min="6" max="6" width="21.140625" style="1" customWidth="1"/>
    <col min="7" max="7" width="19.85546875" style="1" customWidth="1"/>
    <col min="8" max="8" width="17.85546875" style="1" customWidth="1"/>
    <col min="9" max="9" width="18" style="1" customWidth="1"/>
    <col min="10" max="10" width="20.28515625" style="1" customWidth="1"/>
    <col min="11" max="11" width="17.140625" style="18" customWidth="1"/>
    <col min="12" max="12" width="19.7109375" style="1" customWidth="1"/>
    <col min="13" max="13" width="17.7109375" style="171" customWidth="1"/>
    <col min="14" max="14" width="22.42578125" style="1" customWidth="1"/>
    <col min="15" max="15" width="19.42578125" style="1" customWidth="1"/>
    <col min="16" max="16" width="20.42578125" style="18" customWidth="1"/>
    <col min="17" max="17" width="9.28515625" style="1" customWidth="1"/>
    <col min="18" max="18" width="20.42578125" style="1" customWidth="1"/>
    <col min="19" max="19" width="9.140625" style="1" customWidth="1"/>
    <col min="20" max="20" width="10.140625" style="1" customWidth="1"/>
    <col min="21" max="21" width="11" style="1" hidden="1" customWidth="1"/>
    <col min="22" max="22" width="12.140625" style="1" hidden="1" customWidth="1"/>
    <col min="23" max="23" width="15.42578125" style="1" hidden="1" customWidth="1"/>
    <col min="24" max="24" width="16.7109375" style="1" hidden="1" customWidth="1"/>
    <col min="25" max="25" width="15" style="1" customWidth="1"/>
    <col min="26" max="26" width="14.42578125" style="1" customWidth="1"/>
    <col min="27" max="27" width="14.28515625" style="1" customWidth="1"/>
    <col min="28" max="28" width="20.140625" style="18" customWidth="1"/>
    <col min="29" max="29" width="18.140625" style="18" customWidth="1"/>
    <col min="30" max="30" width="19" style="18" customWidth="1"/>
    <col min="31" max="31" width="21.85546875" style="1" customWidth="1"/>
    <col min="32" max="256" width="8.85546875" style="1" customWidth="1"/>
  </cols>
  <sheetData>
    <row r="1" spans="1:256" ht="39" customHeight="1" x14ac:dyDescent="0.7">
      <c r="A1" s="204" t="s">
        <v>216</v>
      </c>
      <c r="B1" s="205"/>
      <c r="C1" s="205"/>
      <c r="D1" s="205"/>
      <c r="E1" s="205"/>
      <c r="F1" s="205"/>
      <c r="G1" s="205"/>
      <c r="H1" s="205"/>
      <c r="I1" s="205"/>
      <c r="J1" s="205"/>
      <c r="K1" s="205"/>
      <c r="L1" s="205"/>
      <c r="M1" s="205"/>
      <c r="N1" s="205"/>
      <c r="O1" s="205"/>
      <c r="P1" s="205"/>
      <c r="Q1" s="205"/>
      <c r="R1" s="205"/>
      <c r="S1" s="205"/>
      <c r="T1" s="205"/>
      <c r="U1" s="205"/>
      <c r="V1" s="205"/>
      <c r="W1" s="205"/>
      <c r="X1" s="205"/>
      <c r="Y1" s="205"/>
      <c r="Z1" s="205"/>
      <c r="AA1" s="205"/>
      <c r="AB1" s="205"/>
      <c r="AC1" s="205"/>
      <c r="AD1" s="205"/>
      <c r="AE1" s="206"/>
      <c r="AF1" s="211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  <c r="BO1" s="18"/>
      <c r="BP1" s="18"/>
      <c r="BQ1" s="18"/>
      <c r="BR1" s="18"/>
      <c r="BS1" s="18"/>
      <c r="BT1" s="18"/>
      <c r="BU1" s="18"/>
      <c r="BV1" s="18"/>
      <c r="BW1" s="18"/>
      <c r="BX1" s="18"/>
      <c r="BY1" s="18"/>
      <c r="BZ1" s="18"/>
      <c r="CA1" s="18"/>
      <c r="CB1" s="18"/>
      <c r="CC1" s="18"/>
      <c r="CD1" s="18"/>
      <c r="CE1" s="18"/>
      <c r="CF1" s="18"/>
      <c r="CG1" s="18"/>
      <c r="CH1" s="18"/>
      <c r="CI1" s="18"/>
      <c r="CJ1" s="18"/>
      <c r="CK1" s="18"/>
      <c r="CL1" s="18"/>
      <c r="CM1" s="18"/>
      <c r="CN1" s="18"/>
      <c r="CO1" s="18"/>
      <c r="CP1" s="18"/>
      <c r="CQ1" s="18"/>
      <c r="CR1" s="18"/>
      <c r="CS1" s="18"/>
      <c r="CT1" s="18"/>
      <c r="CU1" s="18"/>
      <c r="CV1" s="18"/>
      <c r="CW1" s="18"/>
      <c r="CX1" s="18"/>
      <c r="CY1" s="18"/>
      <c r="CZ1" s="18"/>
      <c r="DA1" s="18"/>
      <c r="DB1" s="18"/>
      <c r="DC1" s="18"/>
      <c r="DD1" s="18"/>
      <c r="DE1" s="18"/>
      <c r="DF1" s="18"/>
      <c r="DG1" s="18"/>
      <c r="DH1" s="18"/>
      <c r="DI1" s="18"/>
      <c r="DJ1" s="18"/>
      <c r="DK1" s="18"/>
      <c r="DL1" s="18"/>
      <c r="DM1" s="18"/>
      <c r="DN1" s="18"/>
      <c r="DO1" s="18"/>
      <c r="DP1" s="18"/>
      <c r="DQ1" s="18"/>
      <c r="DR1" s="18"/>
      <c r="DS1" s="18"/>
      <c r="DT1" s="18"/>
      <c r="DU1" s="18"/>
      <c r="DV1" s="18"/>
      <c r="DW1" s="18"/>
      <c r="DX1" s="18"/>
      <c r="DY1" s="18"/>
      <c r="DZ1" s="18"/>
      <c r="EA1" s="18"/>
      <c r="EB1" s="18"/>
      <c r="EC1" s="18"/>
      <c r="ED1" s="18"/>
      <c r="EE1" s="18"/>
      <c r="EF1" s="18"/>
      <c r="EG1" s="18"/>
      <c r="EH1" s="18"/>
      <c r="EI1" s="18"/>
      <c r="EJ1" s="18"/>
      <c r="EK1" s="18"/>
      <c r="EL1" s="18"/>
      <c r="EM1" s="18"/>
      <c r="EN1" s="18"/>
      <c r="EO1" s="18"/>
      <c r="EP1" s="18"/>
      <c r="EQ1" s="18"/>
      <c r="ER1" s="18"/>
      <c r="ES1" s="18"/>
      <c r="ET1" s="18"/>
      <c r="EU1" s="18"/>
      <c r="EV1" s="18"/>
      <c r="EW1" s="18"/>
      <c r="EX1" s="18"/>
      <c r="EY1" s="18"/>
      <c r="EZ1" s="18"/>
      <c r="FA1" s="18"/>
      <c r="FB1" s="18"/>
      <c r="FC1" s="18"/>
      <c r="FD1" s="18"/>
      <c r="FE1" s="18"/>
      <c r="FF1" s="18"/>
      <c r="FG1" s="18"/>
      <c r="FH1" s="18"/>
      <c r="FI1" s="18"/>
      <c r="FJ1" s="18"/>
      <c r="FK1" s="18"/>
      <c r="FL1" s="18"/>
      <c r="FM1" s="18"/>
      <c r="FN1" s="18"/>
      <c r="FO1" s="18"/>
      <c r="FP1" s="18"/>
      <c r="FQ1" s="18"/>
      <c r="FR1" s="18"/>
      <c r="FS1" s="18"/>
      <c r="FT1" s="18"/>
      <c r="FU1" s="18"/>
      <c r="FV1" s="18"/>
      <c r="FW1" s="18"/>
      <c r="FX1" s="18"/>
      <c r="FY1" s="18"/>
      <c r="FZ1" s="18"/>
      <c r="GA1" s="18"/>
      <c r="GB1" s="18"/>
      <c r="GC1" s="18"/>
      <c r="GD1" s="18"/>
      <c r="GE1" s="18"/>
      <c r="GF1" s="18"/>
      <c r="GG1" s="18"/>
      <c r="GH1" s="18"/>
      <c r="GI1" s="18"/>
      <c r="GJ1" s="18"/>
      <c r="GK1" s="18"/>
      <c r="GL1" s="18"/>
      <c r="GM1" s="18"/>
      <c r="GN1" s="18"/>
      <c r="GO1" s="18"/>
      <c r="GP1" s="18"/>
      <c r="GQ1" s="18"/>
      <c r="GR1" s="18"/>
      <c r="GS1" s="18"/>
      <c r="GT1" s="18"/>
      <c r="GU1" s="18"/>
      <c r="GV1" s="18"/>
      <c r="GW1" s="18"/>
      <c r="GX1" s="18"/>
      <c r="GY1" s="18"/>
      <c r="GZ1" s="18"/>
      <c r="HA1" s="18"/>
      <c r="HB1" s="18"/>
      <c r="HC1" s="18"/>
      <c r="HD1" s="18"/>
      <c r="HE1" s="18"/>
      <c r="HF1" s="18"/>
      <c r="HG1" s="18"/>
      <c r="HH1" s="18"/>
      <c r="HI1" s="18"/>
      <c r="HJ1" s="18"/>
      <c r="HK1" s="18"/>
      <c r="HL1" s="18"/>
      <c r="HM1" s="18"/>
      <c r="HN1" s="18"/>
      <c r="HO1" s="18"/>
      <c r="HP1" s="18"/>
      <c r="HQ1" s="18"/>
      <c r="HR1" s="18"/>
      <c r="HS1" s="18"/>
      <c r="HT1" s="18"/>
      <c r="HU1" s="18"/>
      <c r="HV1" s="18"/>
      <c r="HW1" s="18"/>
      <c r="HX1" s="18"/>
      <c r="HY1" s="18"/>
      <c r="HZ1" s="18"/>
      <c r="IA1" s="18"/>
      <c r="IB1" s="18"/>
      <c r="IC1" s="18"/>
      <c r="ID1" s="18"/>
      <c r="IE1" s="18"/>
      <c r="IF1" s="18"/>
      <c r="IG1" s="18"/>
      <c r="IH1" s="18"/>
      <c r="II1" s="18"/>
      <c r="IJ1" s="18"/>
      <c r="IK1" s="18"/>
      <c r="IL1" s="18"/>
      <c r="IM1" s="18"/>
      <c r="IN1" s="18"/>
      <c r="IO1" s="18"/>
      <c r="IP1" s="18"/>
      <c r="IQ1" s="18"/>
      <c r="IR1" s="18"/>
      <c r="IS1" s="18"/>
      <c r="IT1" s="18"/>
      <c r="IU1" s="18"/>
      <c r="IV1" s="18"/>
    </row>
    <row r="2" spans="1:256" ht="54" customHeight="1" x14ac:dyDescent="0.25">
      <c r="A2" s="106" t="s">
        <v>194</v>
      </c>
      <c r="B2" s="100" t="s">
        <v>0</v>
      </c>
      <c r="C2" s="100" t="s">
        <v>1</v>
      </c>
      <c r="D2" s="100" t="s">
        <v>2</v>
      </c>
      <c r="E2" s="100" t="s">
        <v>3</v>
      </c>
      <c r="F2" s="100" t="s">
        <v>4</v>
      </c>
      <c r="G2" s="100" t="s">
        <v>5</v>
      </c>
      <c r="H2" s="100" t="s">
        <v>6</v>
      </c>
      <c r="I2" s="100" t="s">
        <v>7</v>
      </c>
      <c r="J2" s="100" t="s">
        <v>8</v>
      </c>
      <c r="K2" s="100" t="s">
        <v>166</v>
      </c>
      <c r="L2" s="100" t="s">
        <v>9</v>
      </c>
      <c r="M2" s="163" t="s">
        <v>10</v>
      </c>
      <c r="N2" s="100" t="s">
        <v>11</v>
      </c>
      <c r="O2" s="100" t="s">
        <v>12</v>
      </c>
      <c r="P2" s="100" t="s">
        <v>217</v>
      </c>
      <c r="Q2" s="100" t="s">
        <v>13</v>
      </c>
      <c r="R2" s="100" t="s">
        <v>204</v>
      </c>
      <c r="S2" s="100" t="s">
        <v>13</v>
      </c>
      <c r="T2" s="100" t="s">
        <v>14</v>
      </c>
      <c r="U2" s="100" t="s">
        <v>15</v>
      </c>
      <c r="V2" s="100" t="s">
        <v>16</v>
      </c>
      <c r="W2" s="100" t="s">
        <v>17</v>
      </c>
      <c r="X2" s="100" t="s">
        <v>18</v>
      </c>
      <c r="Y2" s="100" t="s">
        <v>19</v>
      </c>
      <c r="Z2" s="100" t="s">
        <v>20</v>
      </c>
      <c r="AA2" s="100" t="s">
        <v>21</v>
      </c>
      <c r="AB2" s="100" t="s">
        <v>207</v>
      </c>
      <c r="AC2" s="100" t="s">
        <v>209</v>
      </c>
      <c r="AD2" s="100" t="s">
        <v>210</v>
      </c>
      <c r="AE2" s="107" t="s">
        <v>206</v>
      </c>
      <c r="AF2" s="5"/>
      <c r="AG2" s="5"/>
      <c r="AH2" s="5"/>
      <c r="AI2" s="5"/>
      <c r="AJ2" s="6"/>
      <c r="AK2" s="4"/>
      <c r="AL2" s="5"/>
      <c r="AM2" s="5"/>
      <c r="AN2" s="5"/>
      <c r="AO2" s="6"/>
      <c r="AP2" s="4"/>
      <c r="AQ2" s="5"/>
      <c r="AR2" s="5"/>
      <c r="AS2" s="5"/>
      <c r="AT2" s="6"/>
    </row>
    <row r="3" spans="1:256" ht="18" customHeight="1" x14ac:dyDescent="0.25">
      <c r="A3" s="203" t="s">
        <v>22</v>
      </c>
      <c r="B3" s="201"/>
      <c r="C3" s="201"/>
      <c r="D3" s="101"/>
      <c r="E3" s="101"/>
      <c r="F3" s="101"/>
      <c r="G3" s="101"/>
      <c r="H3" s="101"/>
      <c r="I3" s="101"/>
      <c r="J3" s="101"/>
      <c r="K3" s="101"/>
      <c r="L3" s="101"/>
      <c r="M3" s="164"/>
      <c r="N3" s="101"/>
      <c r="O3" s="101"/>
      <c r="P3" s="101"/>
      <c r="Q3" s="101"/>
      <c r="R3" s="101"/>
      <c r="S3" s="101"/>
      <c r="T3" s="101"/>
      <c r="U3" s="101"/>
      <c r="V3" s="101"/>
      <c r="W3" s="101"/>
      <c r="X3" s="101"/>
      <c r="Y3" s="101"/>
      <c r="Z3" s="101"/>
      <c r="AA3" s="101"/>
      <c r="AB3" s="101"/>
      <c r="AC3" s="101"/>
      <c r="AD3" s="101"/>
      <c r="AE3" s="108"/>
      <c r="AF3" s="5"/>
      <c r="AG3" s="5"/>
      <c r="AH3" s="5"/>
      <c r="AI3" s="5"/>
      <c r="AJ3" s="6"/>
      <c r="AK3" s="4"/>
      <c r="AL3" s="5"/>
      <c r="AM3" s="5"/>
      <c r="AN3" s="5"/>
      <c r="AO3" s="6"/>
      <c r="AP3" s="4"/>
      <c r="AQ3" s="5"/>
      <c r="AR3" s="5"/>
      <c r="AS3" s="5"/>
      <c r="AT3" s="6"/>
    </row>
    <row r="4" spans="1:256" ht="18" customHeight="1" x14ac:dyDescent="0.3">
      <c r="A4" s="172">
        <v>1</v>
      </c>
      <c r="B4" s="58" t="s">
        <v>23</v>
      </c>
      <c r="C4" s="58" t="s">
        <v>24</v>
      </c>
      <c r="D4" s="52">
        <v>5291402730.3999996</v>
      </c>
      <c r="E4" s="74"/>
      <c r="F4" s="53">
        <v>1885978038.3599999</v>
      </c>
      <c r="G4" s="53">
        <v>61103697.359999999</v>
      </c>
      <c r="H4" s="53"/>
      <c r="I4" s="53"/>
      <c r="J4" s="54">
        <v>7345220006.3900003</v>
      </c>
      <c r="K4" s="74">
        <v>115579310.02</v>
      </c>
      <c r="L4" s="54">
        <v>21290246.84</v>
      </c>
      <c r="M4" s="152">
        <v>408910046.32999998</v>
      </c>
      <c r="N4" s="21">
        <v>7419680205.8299999</v>
      </c>
      <c r="O4" s="21">
        <v>22995530.949999999</v>
      </c>
      <c r="P4" s="22">
        <v>6956610986.2299995</v>
      </c>
      <c r="Q4" s="23">
        <f t="shared" ref="Q4:Q19" si="0">(P4/$P$20)</f>
        <v>0.44961602384425747</v>
      </c>
      <c r="R4" s="22">
        <v>7396684674.8800001</v>
      </c>
      <c r="S4" s="23">
        <f t="shared" ref="S4:S19" si="1">(R4/$R$20)</f>
        <v>0.44866007920061829</v>
      </c>
      <c r="T4" s="24">
        <f t="shared" ref="T4:T17" si="2">((R4-P4)/P4)</f>
        <v>6.3259781166589271E-2</v>
      </c>
      <c r="U4" s="59">
        <f t="shared" ref="U4:U16" si="3">(L4/R4)</f>
        <v>2.8783499332213189E-3</v>
      </c>
      <c r="V4" s="25">
        <f t="shared" ref="V4:V18" si="4">M4/R4</f>
        <v>5.5282882034799453E-2</v>
      </c>
      <c r="W4" s="26">
        <f t="shared" ref="W4:W18" si="5">R4/AE4</f>
        <v>12258.880397599105</v>
      </c>
      <c r="X4" s="26">
        <f t="shared" ref="X4:X18" si="6">M4/AE4</f>
        <v>677.7062388991867</v>
      </c>
      <c r="Y4" s="53">
        <v>12148.57</v>
      </c>
      <c r="Z4" s="53">
        <v>12320.02</v>
      </c>
      <c r="AA4" s="149">
        <v>17150</v>
      </c>
      <c r="AB4" s="53">
        <v>602754.4</v>
      </c>
      <c r="AC4" s="53">
        <v>2320.79</v>
      </c>
      <c r="AD4" s="53">
        <v>1701.6</v>
      </c>
      <c r="AE4" s="150">
        <f>(AB4+AC4)-AD4</f>
        <v>603373.59000000008</v>
      </c>
      <c r="AF4" s="5"/>
      <c r="AG4" s="5"/>
      <c r="AH4" s="5"/>
      <c r="AI4" s="5"/>
      <c r="AJ4" s="6"/>
      <c r="AK4" s="4"/>
      <c r="AL4" s="5"/>
      <c r="AM4" s="5"/>
      <c r="AN4" s="5"/>
      <c r="AO4" s="6"/>
      <c r="AP4" s="4"/>
      <c r="AQ4" s="5"/>
      <c r="AR4" s="5"/>
      <c r="AS4" s="5"/>
      <c r="AT4" s="6"/>
    </row>
    <row r="5" spans="1:256" ht="18" customHeight="1" x14ac:dyDescent="0.3">
      <c r="A5" s="172">
        <v>2</v>
      </c>
      <c r="B5" s="57" t="s">
        <v>25</v>
      </c>
      <c r="C5" s="58" t="s">
        <v>26</v>
      </c>
      <c r="D5" s="52">
        <v>759947764.35000002</v>
      </c>
      <c r="E5" s="74"/>
      <c r="F5" s="53">
        <v>65582213.149999999</v>
      </c>
      <c r="G5" s="53"/>
      <c r="H5" s="53"/>
      <c r="I5" s="53"/>
      <c r="J5" s="54">
        <v>942917095</v>
      </c>
      <c r="K5" s="156">
        <v>14455287.060000001</v>
      </c>
      <c r="L5" s="54">
        <v>1330525.8</v>
      </c>
      <c r="M5" s="152">
        <v>13124761.26</v>
      </c>
      <c r="N5" s="21">
        <v>942917095</v>
      </c>
      <c r="O5" s="21">
        <v>1721689.2</v>
      </c>
      <c r="P5" s="22">
        <v>881655182.58000004</v>
      </c>
      <c r="Q5" s="23">
        <f t="shared" si="0"/>
        <v>5.6982674232892126E-2</v>
      </c>
      <c r="R5" s="22">
        <v>941195405.79999995</v>
      </c>
      <c r="S5" s="23">
        <f t="shared" si="1"/>
        <v>5.7090010439891682E-2</v>
      </c>
      <c r="T5" s="24">
        <f t="shared" si="2"/>
        <v>6.753232374335566E-2</v>
      </c>
      <c r="U5" s="59">
        <f t="shared" si="3"/>
        <v>1.4136552216477045E-3</v>
      </c>
      <c r="V5" s="25">
        <f t="shared" si="4"/>
        <v>1.3944778288461978E-2</v>
      </c>
      <c r="W5" s="26">
        <f t="shared" si="5"/>
        <v>1.9172219412170608</v>
      </c>
      <c r="X5" s="26">
        <f t="shared" si="6"/>
        <v>2.6735234900046596E-2</v>
      </c>
      <c r="Y5" s="53">
        <v>1.89</v>
      </c>
      <c r="Z5" s="53">
        <v>1.93</v>
      </c>
      <c r="AA5" s="155">
        <v>3688</v>
      </c>
      <c r="AB5" s="155">
        <v>490883608</v>
      </c>
      <c r="AC5" s="155">
        <v>32642</v>
      </c>
      <c r="AD5" s="155">
        <v>0</v>
      </c>
      <c r="AE5" s="150">
        <v>490916250</v>
      </c>
      <c r="AF5" s="5"/>
      <c r="AG5" s="5"/>
      <c r="AH5" s="5"/>
      <c r="AI5" s="5"/>
      <c r="AJ5" s="6"/>
      <c r="AK5" s="4"/>
      <c r="AL5" s="5"/>
      <c r="AM5" s="5"/>
      <c r="AN5" s="5"/>
      <c r="AO5" s="6"/>
      <c r="AP5" s="4"/>
      <c r="AQ5" s="5"/>
      <c r="AR5" s="5"/>
      <c r="AS5" s="5"/>
      <c r="AT5" s="6"/>
    </row>
    <row r="6" spans="1:256" ht="18" customHeight="1" x14ac:dyDescent="0.3">
      <c r="A6" s="172">
        <v>3</v>
      </c>
      <c r="B6" s="57" t="s">
        <v>27</v>
      </c>
      <c r="C6" s="58" t="s">
        <v>28</v>
      </c>
      <c r="D6" s="52">
        <v>143556512.90000001</v>
      </c>
      <c r="E6" s="74"/>
      <c r="F6" s="53">
        <v>128394819.40000001</v>
      </c>
      <c r="G6" s="53"/>
      <c r="H6" s="53"/>
      <c r="I6" s="53"/>
      <c r="J6" s="54">
        <v>271951332.30000001</v>
      </c>
      <c r="K6" s="54">
        <v>7822130.6299999999</v>
      </c>
      <c r="L6" s="54">
        <v>695639.05</v>
      </c>
      <c r="M6" s="152">
        <v>7125491.5800000001</v>
      </c>
      <c r="N6" s="21">
        <v>2779800687.1700001</v>
      </c>
      <c r="O6" s="21">
        <v>8567955.7100000009</v>
      </c>
      <c r="P6" s="22">
        <v>252978620.87</v>
      </c>
      <c r="Q6" s="23">
        <f t="shared" si="0"/>
        <v>1.6350381221304174E-2</v>
      </c>
      <c r="R6" s="22">
        <v>269412731.45999998</v>
      </c>
      <c r="S6" s="23">
        <f t="shared" si="1"/>
        <v>1.6341745355862355E-2</v>
      </c>
      <c r="T6" s="24">
        <f t="shared" si="2"/>
        <v>6.4962448342403972E-2</v>
      </c>
      <c r="U6" s="59">
        <f t="shared" si="3"/>
        <v>2.5820570773704599E-3</v>
      </c>
      <c r="V6" s="25">
        <f t="shared" si="4"/>
        <v>2.6448236285588938E-2</v>
      </c>
      <c r="W6" s="26">
        <f t="shared" si="5"/>
        <v>135.35498682687438</v>
      </c>
      <c r="X6" s="26">
        <f t="shared" si="6"/>
        <v>3.5799006740299517</v>
      </c>
      <c r="Y6" s="53">
        <v>135.35</v>
      </c>
      <c r="Z6" s="53">
        <v>135.35</v>
      </c>
      <c r="AA6" s="149">
        <v>2470</v>
      </c>
      <c r="AB6" s="149">
        <v>1990416</v>
      </c>
      <c r="AC6" s="149">
        <v>0</v>
      </c>
      <c r="AD6" s="149">
        <v>0</v>
      </c>
      <c r="AE6" s="195">
        <v>1990416</v>
      </c>
      <c r="AF6" s="5"/>
      <c r="AG6" s="5"/>
      <c r="AH6" s="5"/>
      <c r="AI6" s="5"/>
      <c r="AJ6" s="6"/>
      <c r="AK6" s="4"/>
      <c r="AL6" s="5"/>
      <c r="AM6" s="5"/>
      <c r="AN6" s="5"/>
      <c r="AO6" s="6"/>
      <c r="AP6" s="4"/>
      <c r="AQ6" s="5"/>
      <c r="AR6" s="5"/>
      <c r="AS6" s="5"/>
      <c r="AT6" s="6"/>
    </row>
    <row r="7" spans="1:256" s="64" customFormat="1" ht="18" customHeight="1" x14ac:dyDescent="0.3">
      <c r="A7" s="172">
        <v>4</v>
      </c>
      <c r="B7" s="58" t="s">
        <v>29</v>
      </c>
      <c r="C7" s="58" t="s">
        <v>30</v>
      </c>
      <c r="D7" s="52">
        <v>616746780.89999998</v>
      </c>
      <c r="E7" s="74"/>
      <c r="F7" s="53">
        <v>59085697.079999998</v>
      </c>
      <c r="G7" s="53">
        <v>10626933.800000001</v>
      </c>
      <c r="H7" s="53"/>
      <c r="I7" s="53"/>
      <c r="J7" s="54">
        <v>708507856.28999996</v>
      </c>
      <c r="K7" s="54">
        <v>17314651.359999999</v>
      </c>
      <c r="L7" s="54">
        <v>1116158.74</v>
      </c>
      <c r="M7" s="152">
        <v>16198492.619999999</v>
      </c>
      <c r="N7" s="21">
        <v>708507856.28999996</v>
      </c>
      <c r="O7" s="21">
        <v>1458696.66</v>
      </c>
      <c r="P7" s="22">
        <v>634462490.58000004</v>
      </c>
      <c r="Q7" s="23">
        <f t="shared" si="0"/>
        <v>4.1006246124378712E-2</v>
      </c>
      <c r="R7" s="22">
        <v>707049159.63</v>
      </c>
      <c r="S7" s="23">
        <f t="shared" si="1"/>
        <v>4.2887421311288067E-2</v>
      </c>
      <c r="T7" s="71">
        <f t="shared" si="2"/>
        <v>0.11440655693237932</v>
      </c>
      <c r="U7" s="59">
        <f t="shared" si="3"/>
        <v>1.5786154679599475E-3</v>
      </c>
      <c r="V7" s="72">
        <f t="shared" si="4"/>
        <v>2.2909994870055E-2</v>
      </c>
      <c r="W7" s="73">
        <f t="shared" si="5"/>
        <v>20.284784826944783</v>
      </c>
      <c r="X7" s="73">
        <f t="shared" si="6"/>
        <v>0.46472431632547445</v>
      </c>
      <c r="Y7" s="53">
        <v>19.989999999999998</v>
      </c>
      <c r="Z7" s="53">
        <v>20.37</v>
      </c>
      <c r="AA7" s="149">
        <v>8761</v>
      </c>
      <c r="AB7" s="149">
        <v>34856133.090000004</v>
      </c>
      <c r="AC7" s="149">
        <v>0</v>
      </c>
      <c r="AD7" s="149">
        <v>0</v>
      </c>
      <c r="AE7" s="150">
        <f>(AB7+AC7)-AD7</f>
        <v>34856133.090000004</v>
      </c>
      <c r="AF7" s="135"/>
      <c r="AG7" s="135"/>
      <c r="AH7" s="135"/>
      <c r="AI7" s="135"/>
      <c r="AJ7" s="136"/>
      <c r="AK7" s="134"/>
      <c r="AL7" s="135"/>
      <c r="AM7" s="135"/>
      <c r="AN7" s="135"/>
      <c r="AO7" s="136"/>
      <c r="AP7" s="134"/>
      <c r="AQ7" s="135"/>
      <c r="AR7" s="135"/>
      <c r="AS7" s="135"/>
      <c r="AT7" s="136"/>
      <c r="AU7" s="137"/>
      <c r="AV7" s="137"/>
      <c r="AW7" s="137"/>
      <c r="AX7" s="137"/>
      <c r="AY7" s="137"/>
      <c r="AZ7" s="137"/>
      <c r="BA7" s="137"/>
      <c r="BB7" s="137"/>
      <c r="BC7" s="137"/>
      <c r="BD7" s="137"/>
      <c r="BE7" s="137"/>
      <c r="BF7" s="137"/>
      <c r="BG7" s="137"/>
      <c r="BH7" s="137"/>
      <c r="BI7" s="137"/>
      <c r="BJ7" s="137"/>
      <c r="BK7" s="137"/>
      <c r="BL7" s="137"/>
      <c r="BM7" s="137"/>
      <c r="BN7" s="137"/>
      <c r="BO7" s="137"/>
      <c r="BP7" s="137"/>
      <c r="BQ7" s="137"/>
      <c r="BR7" s="137"/>
      <c r="BS7" s="137"/>
      <c r="BT7" s="137"/>
      <c r="BU7" s="137"/>
      <c r="BV7" s="137"/>
      <c r="BW7" s="137"/>
      <c r="BX7" s="137"/>
      <c r="BY7" s="63"/>
      <c r="BZ7" s="63"/>
      <c r="CA7" s="63"/>
      <c r="CB7" s="63"/>
      <c r="CC7" s="63"/>
      <c r="CD7" s="63"/>
      <c r="CE7" s="63"/>
      <c r="CF7" s="63"/>
      <c r="CG7" s="63"/>
      <c r="CH7" s="63"/>
      <c r="CI7" s="63"/>
      <c r="CJ7" s="63"/>
      <c r="CK7" s="63"/>
      <c r="CL7" s="63"/>
      <c r="CM7" s="63"/>
      <c r="CN7" s="63"/>
      <c r="CO7" s="63"/>
      <c r="CP7" s="63"/>
      <c r="CQ7" s="63"/>
      <c r="CR7" s="63"/>
      <c r="CS7" s="63"/>
      <c r="CT7" s="63"/>
      <c r="CU7" s="63"/>
      <c r="CV7" s="63"/>
      <c r="CW7" s="63"/>
      <c r="CX7" s="63"/>
      <c r="CY7" s="63"/>
      <c r="CZ7" s="63"/>
      <c r="DA7" s="63"/>
      <c r="DB7" s="63"/>
      <c r="DC7" s="63"/>
      <c r="DD7" s="63"/>
      <c r="DE7" s="63"/>
      <c r="DF7" s="63"/>
      <c r="DG7" s="63"/>
      <c r="DH7" s="63"/>
      <c r="DI7" s="63"/>
      <c r="DJ7" s="63"/>
      <c r="DK7" s="63"/>
      <c r="DL7" s="63"/>
      <c r="DM7" s="63"/>
      <c r="DN7" s="63"/>
      <c r="DO7" s="63"/>
      <c r="DP7" s="63"/>
      <c r="DQ7" s="63"/>
      <c r="DR7" s="63"/>
      <c r="DS7" s="63"/>
      <c r="DT7" s="63"/>
      <c r="DU7" s="63"/>
      <c r="DV7" s="63"/>
      <c r="DW7" s="63"/>
      <c r="DX7" s="63"/>
      <c r="DY7" s="63"/>
      <c r="DZ7" s="63"/>
      <c r="EA7" s="63"/>
      <c r="EB7" s="63"/>
      <c r="EC7" s="63"/>
      <c r="ED7" s="63"/>
      <c r="EE7" s="63"/>
      <c r="EF7" s="63"/>
      <c r="EG7" s="63"/>
      <c r="EH7" s="63"/>
      <c r="EI7" s="63"/>
      <c r="EJ7" s="63"/>
      <c r="EK7" s="63"/>
      <c r="EL7" s="63"/>
      <c r="EM7" s="63"/>
      <c r="EN7" s="63"/>
      <c r="EO7" s="63"/>
      <c r="EP7" s="63"/>
      <c r="EQ7" s="63"/>
      <c r="ER7" s="63"/>
      <c r="ES7" s="63"/>
      <c r="ET7" s="63"/>
      <c r="EU7" s="63"/>
      <c r="EV7" s="63"/>
      <c r="EW7" s="63"/>
      <c r="EX7" s="63"/>
      <c r="EY7" s="63"/>
      <c r="EZ7" s="63"/>
      <c r="FA7" s="63"/>
      <c r="FB7" s="63"/>
      <c r="FC7" s="63"/>
      <c r="FD7" s="63"/>
      <c r="FE7" s="63"/>
      <c r="FF7" s="63"/>
      <c r="FG7" s="63"/>
      <c r="FH7" s="63"/>
      <c r="FI7" s="63"/>
      <c r="FJ7" s="63"/>
      <c r="FK7" s="63"/>
      <c r="FL7" s="63"/>
      <c r="FM7" s="63"/>
      <c r="FN7" s="63"/>
      <c r="FO7" s="63"/>
      <c r="FP7" s="63"/>
      <c r="FQ7" s="63"/>
      <c r="FR7" s="63"/>
      <c r="FS7" s="63"/>
      <c r="FT7" s="63"/>
      <c r="FU7" s="63"/>
      <c r="FV7" s="63"/>
      <c r="FW7" s="63"/>
      <c r="FX7" s="63"/>
      <c r="FY7" s="63"/>
      <c r="FZ7" s="63"/>
      <c r="GA7" s="63"/>
      <c r="GB7" s="63"/>
      <c r="GC7" s="63"/>
      <c r="GD7" s="63"/>
      <c r="GE7" s="63"/>
      <c r="GF7" s="63"/>
      <c r="GG7" s="63"/>
      <c r="GH7" s="63"/>
      <c r="GI7" s="63"/>
      <c r="GJ7" s="63"/>
      <c r="GK7" s="63"/>
      <c r="GL7" s="63"/>
      <c r="GM7" s="63"/>
      <c r="GN7" s="63"/>
      <c r="GO7" s="63"/>
      <c r="GP7" s="63"/>
      <c r="GQ7" s="63"/>
      <c r="GR7" s="63"/>
      <c r="GS7" s="63"/>
      <c r="GT7" s="63"/>
      <c r="GU7" s="63"/>
      <c r="GV7" s="63"/>
      <c r="GW7" s="63"/>
      <c r="GX7" s="63"/>
      <c r="GY7" s="63"/>
      <c r="GZ7" s="63"/>
      <c r="HA7" s="63"/>
      <c r="HB7" s="63"/>
      <c r="HC7" s="63"/>
      <c r="HD7" s="63"/>
      <c r="HE7" s="63"/>
      <c r="HF7" s="63"/>
      <c r="HG7" s="63"/>
      <c r="HH7" s="63"/>
      <c r="HI7" s="63"/>
      <c r="HJ7" s="63"/>
      <c r="HK7" s="63"/>
      <c r="HL7" s="63"/>
      <c r="HM7" s="63"/>
      <c r="HN7" s="63"/>
      <c r="HO7" s="63"/>
      <c r="HP7" s="63"/>
      <c r="HQ7" s="63"/>
      <c r="HR7" s="63"/>
      <c r="HS7" s="63"/>
      <c r="HT7" s="63"/>
      <c r="HU7" s="63"/>
      <c r="HV7" s="63"/>
      <c r="HW7" s="63"/>
      <c r="HX7" s="63"/>
      <c r="HY7" s="63"/>
      <c r="HZ7" s="63"/>
      <c r="IA7" s="63"/>
      <c r="IB7" s="63"/>
      <c r="IC7" s="63"/>
      <c r="ID7" s="63"/>
      <c r="IE7" s="63"/>
      <c r="IF7" s="63"/>
      <c r="IG7" s="63"/>
      <c r="IH7" s="63"/>
      <c r="II7" s="63"/>
      <c r="IJ7" s="63"/>
      <c r="IK7" s="63"/>
      <c r="IL7" s="63"/>
      <c r="IM7" s="63"/>
      <c r="IN7" s="63"/>
      <c r="IO7" s="63"/>
      <c r="IP7" s="63"/>
      <c r="IQ7" s="63"/>
      <c r="IR7" s="63"/>
      <c r="IS7" s="63"/>
      <c r="IT7" s="63"/>
      <c r="IU7" s="63"/>
      <c r="IV7" s="63"/>
    </row>
    <row r="8" spans="1:256" s="64" customFormat="1" ht="16.5" customHeight="1" x14ac:dyDescent="0.3">
      <c r="A8" s="172">
        <v>5</v>
      </c>
      <c r="B8" s="58" t="s">
        <v>31</v>
      </c>
      <c r="C8" s="58" t="s">
        <v>32</v>
      </c>
      <c r="D8" s="52">
        <v>363122303.56</v>
      </c>
      <c r="E8" s="74"/>
      <c r="F8" s="53">
        <v>46047260.270000003</v>
      </c>
      <c r="G8" s="53"/>
      <c r="H8" s="53"/>
      <c r="I8" s="53"/>
      <c r="J8" s="54">
        <v>409169563.82999998</v>
      </c>
      <c r="K8" s="54">
        <v>7604954.6100000003</v>
      </c>
      <c r="L8" s="54">
        <v>782243.41</v>
      </c>
      <c r="M8" s="152">
        <v>6822979.9500000002</v>
      </c>
      <c r="N8" s="21">
        <v>418119570</v>
      </c>
      <c r="O8" s="21">
        <v>8438118.3100000005</v>
      </c>
      <c r="P8" s="22">
        <v>372076349.05000001</v>
      </c>
      <c r="Q8" s="23">
        <f t="shared" si="0"/>
        <v>2.4047842973753727E-2</v>
      </c>
      <c r="R8" s="22">
        <v>409681451.69</v>
      </c>
      <c r="S8" s="23">
        <f t="shared" si="1"/>
        <v>2.485001330210709E-2</v>
      </c>
      <c r="T8" s="71">
        <f t="shared" si="2"/>
        <v>0.10106824240781445</v>
      </c>
      <c r="U8" s="59">
        <f t="shared" si="3"/>
        <v>1.9093942544216335E-3</v>
      </c>
      <c r="V8" s="72">
        <f t="shared" si="4"/>
        <v>1.6654354064247093E-2</v>
      </c>
      <c r="W8" s="73">
        <f t="shared" si="5"/>
        <v>193.42861429843168</v>
      </c>
      <c r="X8" s="73">
        <f t="shared" si="6"/>
        <v>3.2214286286827689</v>
      </c>
      <c r="Y8" s="53">
        <v>193.6114</v>
      </c>
      <c r="Z8" s="53">
        <v>197.5992</v>
      </c>
      <c r="AA8" s="149">
        <v>1798</v>
      </c>
      <c r="AB8" s="53">
        <v>2115704.19</v>
      </c>
      <c r="AC8" s="53">
        <v>13893.983</v>
      </c>
      <c r="AD8" s="53">
        <v>11600</v>
      </c>
      <c r="AE8" s="150">
        <f>(AB8+AC8)-AD8</f>
        <v>2117998.173</v>
      </c>
      <c r="AF8" s="135"/>
      <c r="AG8" s="135"/>
      <c r="AH8" s="135"/>
      <c r="AI8" s="135"/>
      <c r="AJ8" s="136"/>
      <c r="AK8" s="134"/>
      <c r="AL8" s="135"/>
      <c r="AM8" s="135"/>
      <c r="AN8" s="135"/>
      <c r="AO8" s="136"/>
      <c r="AP8" s="134"/>
      <c r="AQ8" s="135"/>
      <c r="AR8" s="135"/>
      <c r="AS8" s="135"/>
      <c r="AT8" s="136"/>
      <c r="AU8" s="137"/>
      <c r="AV8" s="137"/>
      <c r="AW8" s="137"/>
      <c r="AX8" s="137"/>
      <c r="AY8" s="137"/>
      <c r="AZ8" s="137"/>
      <c r="BA8" s="137"/>
      <c r="BB8" s="137"/>
      <c r="BC8" s="137"/>
      <c r="BD8" s="137"/>
      <c r="BE8" s="137"/>
      <c r="BF8" s="137"/>
      <c r="BG8" s="137"/>
      <c r="BH8" s="137"/>
      <c r="BI8" s="137"/>
      <c r="BJ8" s="137"/>
      <c r="BK8" s="137"/>
      <c r="BL8" s="137"/>
      <c r="BM8" s="137"/>
      <c r="BN8" s="137"/>
      <c r="BO8" s="137"/>
      <c r="BP8" s="137"/>
      <c r="BQ8" s="137"/>
      <c r="BR8" s="137"/>
      <c r="BS8" s="137"/>
      <c r="BT8" s="137"/>
      <c r="BU8" s="137"/>
      <c r="BV8" s="137"/>
      <c r="BW8" s="137"/>
      <c r="BX8" s="137"/>
      <c r="BY8" s="63"/>
      <c r="BZ8" s="63"/>
      <c r="CA8" s="63"/>
      <c r="CB8" s="63"/>
      <c r="CC8" s="63"/>
      <c r="CD8" s="63"/>
      <c r="CE8" s="63"/>
      <c r="CF8" s="63"/>
      <c r="CG8" s="63"/>
      <c r="CH8" s="63"/>
      <c r="CI8" s="63"/>
      <c r="CJ8" s="63"/>
      <c r="CK8" s="63"/>
      <c r="CL8" s="63"/>
      <c r="CM8" s="63"/>
      <c r="CN8" s="63"/>
      <c r="CO8" s="63"/>
      <c r="CP8" s="63"/>
      <c r="CQ8" s="63"/>
      <c r="CR8" s="63"/>
      <c r="CS8" s="63"/>
      <c r="CT8" s="63"/>
      <c r="CU8" s="63"/>
      <c r="CV8" s="63"/>
      <c r="CW8" s="63"/>
      <c r="CX8" s="63"/>
      <c r="CY8" s="63"/>
      <c r="CZ8" s="63"/>
      <c r="DA8" s="63"/>
      <c r="DB8" s="63"/>
      <c r="DC8" s="63"/>
      <c r="DD8" s="63"/>
      <c r="DE8" s="63"/>
      <c r="DF8" s="63"/>
      <c r="DG8" s="63"/>
      <c r="DH8" s="63"/>
      <c r="DI8" s="63"/>
      <c r="DJ8" s="63"/>
      <c r="DK8" s="63"/>
      <c r="DL8" s="63"/>
      <c r="DM8" s="63"/>
      <c r="DN8" s="63"/>
      <c r="DO8" s="63"/>
      <c r="DP8" s="63"/>
      <c r="DQ8" s="63"/>
      <c r="DR8" s="63"/>
      <c r="DS8" s="63"/>
      <c r="DT8" s="63"/>
      <c r="DU8" s="63"/>
      <c r="DV8" s="63"/>
      <c r="DW8" s="63"/>
      <c r="DX8" s="63"/>
      <c r="DY8" s="63"/>
      <c r="DZ8" s="63"/>
      <c r="EA8" s="63"/>
      <c r="EB8" s="63"/>
      <c r="EC8" s="63"/>
      <c r="ED8" s="63"/>
      <c r="EE8" s="63"/>
      <c r="EF8" s="63"/>
      <c r="EG8" s="63"/>
      <c r="EH8" s="63"/>
      <c r="EI8" s="63"/>
      <c r="EJ8" s="63"/>
      <c r="EK8" s="63"/>
      <c r="EL8" s="63"/>
      <c r="EM8" s="63"/>
      <c r="EN8" s="63"/>
      <c r="EO8" s="63"/>
      <c r="EP8" s="63"/>
      <c r="EQ8" s="63"/>
      <c r="ER8" s="63"/>
      <c r="ES8" s="63"/>
      <c r="ET8" s="63"/>
      <c r="EU8" s="63"/>
      <c r="EV8" s="63"/>
      <c r="EW8" s="63"/>
      <c r="EX8" s="63"/>
      <c r="EY8" s="63"/>
      <c r="EZ8" s="63"/>
      <c r="FA8" s="63"/>
      <c r="FB8" s="63"/>
      <c r="FC8" s="63"/>
      <c r="FD8" s="63"/>
      <c r="FE8" s="63"/>
      <c r="FF8" s="63"/>
      <c r="FG8" s="63"/>
      <c r="FH8" s="63"/>
      <c r="FI8" s="63"/>
      <c r="FJ8" s="63"/>
      <c r="FK8" s="63"/>
      <c r="FL8" s="63"/>
      <c r="FM8" s="63"/>
      <c r="FN8" s="63"/>
      <c r="FO8" s="63"/>
      <c r="FP8" s="63"/>
      <c r="FQ8" s="63"/>
      <c r="FR8" s="63"/>
      <c r="FS8" s="63"/>
      <c r="FT8" s="63"/>
      <c r="FU8" s="63"/>
      <c r="FV8" s="63"/>
      <c r="FW8" s="63"/>
      <c r="FX8" s="63"/>
      <c r="FY8" s="63"/>
      <c r="FZ8" s="63"/>
      <c r="GA8" s="63"/>
      <c r="GB8" s="63"/>
      <c r="GC8" s="63"/>
      <c r="GD8" s="63"/>
      <c r="GE8" s="63"/>
      <c r="GF8" s="63"/>
      <c r="GG8" s="63"/>
      <c r="GH8" s="63"/>
      <c r="GI8" s="63"/>
      <c r="GJ8" s="63"/>
      <c r="GK8" s="63"/>
      <c r="GL8" s="63"/>
      <c r="GM8" s="63"/>
      <c r="GN8" s="63"/>
      <c r="GO8" s="63"/>
      <c r="GP8" s="63"/>
      <c r="GQ8" s="63"/>
      <c r="GR8" s="63"/>
      <c r="GS8" s="63"/>
      <c r="GT8" s="63"/>
      <c r="GU8" s="63"/>
      <c r="GV8" s="63"/>
      <c r="GW8" s="63"/>
      <c r="GX8" s="63"/>
      <c r="GY8" s="63"/>
      <c r="GZ8" s="63"/>
      <c r="HA8" s="63"/>
      <c r="HB8" s="63"/>
      <c r="HC8" s="63"/>
      <c r="HD8" s="63"/>
      <c r="HE8" s="63"/>
      <c r="HF8" s="63"/>
      <c r="HG8" s="63"/>
      <c r="HH8" s="63"/>
      <c r="HI8" s="63"/>
      <c r="HJ8" s="63"/>
      <c r="HK8" s="63"/>
      <c r="HL8" s="63"/>
      <c r="HM8" s="63"/>
      <c r="HN8" s="63"/>
      <c r="HO8" s="63"/>
      <c r="HP8" s="63"/>
      <c r="HQ8" s="63"/>
      <c r="HR8" s="63"/>
      <c r="HS8" s="63"/>
      <c r="HT8" s="63"/>
      <c r="HU8" s="63"/>
      <c r="HV8" s="63"/>
      <c r="HW8" s="63"/>
      <c r="HX8" s="63"/>
      <c r="HY8" s="63"/>
      <c r="HZ8" s="63"/>
      <c r="IA8" s="63"/>
      <c r="IB8" s="63"/>
      <c r="IC8" s="63"/>
      <c r="ID8" s="63"/>
      <c r="IE8" s="63"/>
      <c r="IF8" s="63"/>
      <c r="IG8" s="63"/>
      <c r="IH8" s="63"/>
      <c r="II8" s="63"/>
      <c r="IJ8" s="63"/>
      <c r="IK8" s="63"/>
      <c r="IL8" s="63"/>
      <c r="IM8" s="63"/>
      <c r="IN8" s="63"/>
      <c r="IO8" s="63"/>
      <c r="IP8" s="63"/>
      <c r="IQ8" s="63"/>
      <c r="IR8" s="63"/>
      <c r="IS8" s="63"/>
      <c r="IT8" s="63"/>
      <c r="IU8" s="63"/>
      <c r="IV8" s="63"/>
    </row>
    <row r="9" spans="1:256" ht="18" customHeight="1" x14ac:dyDescent="0.3">
      <c r="A9" s="173">
        <v>6</v>
      </c>
      <c r="B9" s="186" t="s">
        <v>33</v>
      </c>
      <c r="C9" s="186" t="s">
        <v>34</v>
      </c>
      <c r="D9" s="183">
        <v>1366796883</v>
      </c>
      <c r="E9" s="74"/>
      <c r="F9" s="53">
        <v>9483303</v>
      </c>
      <c r="G9" s="53"/>
      <c r="H9" s="53"/>
      <c r="I9" s="53"/>
      <c r="J9" s="183">
        <v>1376280186</v>
      </c>
      <c r="K9" s="74">
        <v>5924439</v>
      </c>
      <c r="L9" s="183">
        <v>3128802</v>
      </c>
      <c r="M9" s="152">
        <v>94555828</v>
      </c>
      <c r="N9" s="183">
        <v>1931933202</v>
      </c>
      <c r="O9" s="184">
        <v>51209600.530000001</v>
      </c>
      <c r="P9" s="22">
        <v>1803125429</v>
      </c>
      <c r="Q9" s="23">
        <f t="shared" si="0"/>
        <v>0.11653865473923845</v>
      </c>
      <c r="R9" s="22">
        <v>1880723602</v>
      </c>
      <c r="S9" s="23">
        <f t="shared" si="1"/>
        <v>0.11407889308752796</v>
      </c>
      <c r="T9" s="24">
        <f t="shared" si="2"/>
        <v>4.3035371667424917E-2</v>
      </c>
      <c r="U9" s="59">
        <f t="shared" si="3"/>
        <v>1.6636160660039401E-3</v>
      </c>
      <c r="V9" s="25">
        <f t="shared" si="4"/>
        <v>5.0276302110234268E-2</v>
      </c>
      <c r="W9" s="26">
        <f t="shared" si="5"/>
        <v>1.0187587848560651</v>
      </c>
      <c r="X9" s="26">
        <f t="shared" si="6"/>
        <v>5.1219424444878682E-2</v>
      </c>
      <c r="Y9" s="53">
        <v>1.02</v>
      </c>
      <c r="Z9" s="53">
        <v>1.04</v>
      </c>
      <c r="AA9" s="149">
        <v>2722</v>
      </c>
      <c r="AB9" s="149">
        <v>1854489416</v>
      </c>
      <c r="AC9" s="149">
        <v>344792</v>
      </c>
      <c r="AD9" s="149">
        <v>8741070</v>
      </c>
      <c r="AE9" s="150">
        <f>(AB9+AC9)-AD9</f>
        <v>1846093138</v>
      </c>
      <c r="AF9" s="5"/>
      <c r="AG9" s="5"/>
      <c r="AH9" s="5"/>
      <c r="AI9" s="5"/>
      <c r="AJ9" s="6"/>
      <c r="AK9" s="4"/>
      <c r="AL9" s="5"/>
      <c r="AM9" s="5"/>
      <c r="AN9" s="5"/>
      <c r="AO9" s="6"/>
      <c r="AP9" s="4"/>
      <c r="AQ9" s="5"/>
      <c r="AR9" s="5"/>
      <c r="AS9" s="5"/>
      <c r="AT9" s="6"/>
    </row>
    <row r="10" spans="1:256" ht="18" customHeight="1" x14ac:dyDescent="0.3">
      <c r="A10" s="172">
        <v>7</v>
      </c>
      <c r="B10" s="57" t="s">
        <v>35</v>
      </c>
      <c r="C10" s="58" t="s">
        <v>36</v>
      </c>
      <c r="D10" s="52">
        <v>2064450543.3099999</v>
      </c>
      <c r="E10" s="74"/>
      <c r="F10" s="53"/>
      <c r="G10" s="53">
        <v>87839649.670000002</v>
      </c>
      <c r="H10" s="53">
        <v>1374072.7</v>
      </c>
      <c r="I10" s="53"/>
      <c r="J10" s="54">
        <v>2152290192.98</v>
      </c>
      <c r="K10" s="54">
        <v>24815553.07</v>
      </c>
      <c r="L10" s="54">
        <v>5908644.9400000004</v>
      </c>
      <c r="M10" s="152">
        <v>110487929.28</v>
      </c>
      <c r="N10" s="21">
        <v>2498904004</v>
      </c>
      <c r="O10" s="21">
        <v>74198766</v>
      </c>
      <c r="P10" s="22">
        <v>2322042302</v>
      </c>
      <c r="Q10" s="23">
        <f t="shared" si="0"/>
        <v>0.1500770172559551</v>
      </c>
      <c r="R10" s="22">
        <v>2424705238</v>
      </c>
      <c r="S10" s="23">
        <f t="shared" si="1"/>
        <v>0.14707514135539149</v>
      </c>
      <c r="T10" s="24">
        <f t="shared" si="2"/>
        <v>4.4212345275353213E-2</v>
      </c>
      <c r="U10" s="59">
        <f t="shared" si="3"/>
        <v>2.4368508169156683E-3</v>
      </c>
      <c r="V10" s="25">
        <f t="shared" si="4"/>
        <v>4.5567571492168321E-2</v>
      </c>
      <c r="W10" s="26">
        <f t="shared" si="5"/>
        <v>22.091398863130436</v>
      </c>
      <c r="X10" s="26">
        <f t="shared" si="6"/>
        <v>1.006651397057702</v>
      </c>
      <c r="Y10" s="53">
        <v>21.980899999999998</v>
      </c>
      <c r="Z10" s="53">
        <v>22.643699999999999</v>
      </c>
      <c r="AA10" s="149">
        <v>714</v>
      </c>
      <c r="AB10" s="149">
        <v>110161623</v>
      </c>
      <c r="AC10" s="149">
        <v>298465</v>
      </c>
      <c r="AD10" s="149">
        <v>702202</v>
      </c>
      <c r="AE10" s="150">
        <v>109757886</v>
      </c>
      <c r="AF10" s="5"/>
      <c r="AG10" s="5"/>
      <c r="AH10" s="5"/>
      <c r="AI10" s="5"/>
      <c r="AJ10" s="6"/>
      <c r="AK10" s="4"/>
      <c r="AL10" s="5"/>
      <c r="AM10" s="5"/>
      <c r="AN10" s="5"/>
      <c r="AO10" s="6"/>
      <c r="AP10" s="4"/>
      <c r="AQ10" s="5"/>
      <c r="AR10" s="5"/>
      <c r="AS10" s="5"/>
      <c r="AT10" s="6"/>
    </row>
    <row r="11" spans="1:256" ht="15" customHeight="1" x14ac:dyDescent="0.3">
      <c r="A11" s="172">
        <v>8</v>
      </c>
      <c r="B11" s="58" t="s">
        <v>37</v>
      </c>
      <c r="C11" s="58" t="s">
        <v>38</v>
      </c>
      <c r="D11" s="52">
        <v>307984400.42000002</v>
      </c>
      <c r="E11" s="52"/>
      <c r="F11" s="53">
        <v>88631583.150000006</v>
      </c>
      <c r="G11" s="53"/>
      <c r="H11" s="53"/>
      <c r="I11" s="53"/>
      <c r="J11" s="54">
        <v>407748772.77999997</v>
      </c>
      <c r="K11" s="54">
        <v>901641.4</v>
      </c>
      <c r="L11" s="54">
        <v>690038.82</v>
      </c>
      <c r="M11" s="152">
        <v>18475693.920000002</v>
      </c>
      <c r="N11" s="21">
        <v>411595551.25999999</v>
      </c>
      <c r="O11" s="21">
        <v>3846778.47</v>
      </c>
      <c r="P11" s="22">
        <v>372413975.16000003</v>
      </c>
      <c r="Q11" s="23">
        <f t="shared" si="0"/>
        <v>2.4069664246989312E-2</v>
      </c>
      <c r="R11" s="22">
        <v>407748772.77999997</v>
      </c>
      <c r="S11" s="23">
        <f t="shared" si="1"/>
        <v>2.4732782960279108E-2</v>
      </c>
      <c r="T11" s="24">
        <f t="shared" si="2"/>
        <v>9.4880428707915895E-2</v>
      </c>
      <c r="U11" s="59">
        <f t="shared" si="3"/>
        <v>1.6923136648465378E-3</v>
      </c>
      <c r="V11" s="25">
        <f t="shared" si="4"/>
        <v>4.5311464198982458E-2</v>
      </c>
      <c r="W11" s="26">
        <f t="shared" si="5"/>
        <v>167.81739304618603</v>
      </c>
      <c r="X11" s="26">
        <f t="shared" si="6"/>
        <v>7.6040517969788262</v>
      </c>
      <c r="Y11" s="53">
        <v>167.82</v>
      </c>
      <c r="Z11" s="53">
        <v>170.05</v>
      </c>
      <c r="AA11" s="149">
        <v>1445</v>
      </c>
      <c r="AB11" s="149">
        <v>2433412</v>
      </c>
      <c r="AC11" s="149">
        <v>11394</v>
      </c>
      <c r="AD11" s="149">
        <v>15089</v>
      </c>
      <c r="AE11" s="150">
        <v>2429717</v>
      </c>
      <c r="AF11" s="5"/>
      <c r="AG11" s="5"/>
      <c r="AH11" s="5"/>
      <c r="AI11" s="5"/>
      <c r="AJ11" s="6"/>
      <c r="AK11" s="4"/>
      <c r="AL11" s="5"/>
      <c r="AM11" s="5"/>
      <c r="AN11" s="5"/>
      <c r="AO11" s="6"/>
      <c r="AP11" s="4"/>
      <c r="AQ11" s="5"/>
      <c r="AR11" s="5"/>
      <c r="AS11" s="5"/>
      <c r="AT11" s="6"/>
    </row>
    <row r="12" spans="1:256" ht="16.5" customHeight="1" x14ac:dyDescent="0.3">
      <c r="A12" s="173">
        <v>9</v>
      </c>
      <c r="B12" s="58" t="s">
        <v>39</v>
      </c>
      <c r="C12" s="58" t="s">
        <v>40</v>
      </c>
      <c r="D12" s="185">
        <v>229270402.80000001</v>
      </c>
      <c r="E12" s="52"/>
      <c r="F12" s="53">
        <v>38912928.420000002</v>
      </c>
      <c r="G12" s="53"/>
      <c r="H12" s="53"/>
      <c r="I12" s="53"/>
      <c r="J12" s="54">
        <v>268183331.22</v>
      </c>
      <c r="K12" s="54">
        <v>7942653.96</v>
      </c>
      <c r="L12" s="54">
        <v>500698.18</v>
      </c>
      <c r="M12" s="152">
        <v>25093021.030000001</v>
      </c>
      <c r="N12" s="21">
        <v>288226334.04000002</v>
      </c>
      <c r="O12" s="21">
        <v>1826898.32</v>
      </c>
      <c r="P12" s="22">
        <v>250466534.05000001</v>
      </c>
      <c r="Q12" s="23">
        <f t="shared" si="0"/>
        <v>1.6188021346676188E-2</v>
      </c>
      <c r="R12" s="22">
        <v>286399435.72000003</v>
      </c>
      <c r="S12" s="23">
        <f t="shared" si="1"/>
        <v>1.7372106445139524E-2</v>
      </c>
      <c r="T12" s="24">
        <f t="shared" si="2"/>
        <v>0.14346388353354553</v>
      </c>
      <c r="U12" s="59">
        <f t="shared" si="3"/>
        <v>1.748251279690056E-3</v>
      </c>
      <c r="V12" s="25">
        <f t="shared" si="4"/>
        <v>8.7615469516959282E-2</v>
      </c>
      <c r="W12" s="26">
        <f t="shared" si="5"/>
        <v>13.348364409871357</v>
      </c>
      <c r="X12" s="26">
        <f t="shared" si="6"/>
        <v>1.169523215054348</v>
      </c>
      <c r="Y12" s="53">
        <v>13.78</v>
      </c>
      <c r="Z12" s="53">
        <v>13.85</v>
      </c>
      <c r="AA12" s="27">
        <v>161</v>
      </c>
      <c r="AB12" s="27">
        <v>20566819.43</v>
      </c>
      <c r="AC12" s="20">
        <v>990564.56</v>
      </c>
      <c r="AD12" s="20">
        <v>101614.06</v>
      </c>
      <c r="AE12" s="150">
        <v>21455769.93</v>
      </c>
      <c r="AF12" s="5"/>
      <c r="AG12" s="5"/>
      <c r="AH12" s="5"/>
      <c r="AI12" s="5"/>
      <c r="AJ12" s="6"/>
      <c r="AK12" s="4"/>
      <c r="AL12" s="5"/>
      <c r="AM12" s="5"/>
      <c r="AN12" s="5"/>
      <c r="AO12" s="6"/>
      <c r="AP12" s="4"/>
      <c r="AQ12" s="5"/>
      <c r="AR12" s="5"/>
      <c r="AS12" s="5"/>
      <c r="AT12" s="6"/>
    </row>
    <row r="13" spans="1:256" ht="16.5" customHeight="1" x14ac:dyDescent="0.3">
      <c r="A13" s="172">
        <v>10</v>
      </c>
      <c r="B13" s="58" t="s">
        <v>23</v>
      </c>
      <c r="C13" s="57" t="s">
        <v>41</v>
      </c>
      <c r="D13" s="52">
        <v>283099623.05000001</v>
      </c>
      <c r="E13" s="52"/>
      <c r="F13" s="53">
        <v>86125202.200000003</v>
      </c>
      <c r="G13" s="53"/>
      <c r="H13" s="53"/>
      <c r="I13" s="53"/>
      <c r="J13" s="54">
        <v>376253636.39999998</v>
      </c>
      <c r="K13" s="74">
        <v>6635199.9199999999</v>
      </c>
      <c r="L13" s="54">
        <v>2338153.7000000002</v>
      </c>
      <c r="M13" s="152">
        <v>29503049.989999998</v>
      </c>
      <c r="N13" s="21">
        <v>379818094.79000002</v>
      </c>
      <c r="O13" s="21">
        <v>7616789.7599999998</v>
      </c>
      <c r="P13" s="22">
        <v>344292010.95999998</v>
      </c>
      <c r="Q13" s="23">
        <f t="shared" si="0"/>
        <v>2.2252100241854852E-2</v>
      </c>
      <c r="R13" s="22">
        <v>372201305.02999997</v>
      </c>
      <c r="S13" s="23">
        <f t="shared" si="1"/>
        <v>2.2576583203615132E-2</v>
      </c>
      <c r="T13" s="24">
        <f t="shared" si="2"/>
        <v>8.1062857056077631E-2</v>
      </c>
      <c r="U13" s="59">
        <f t="shared" si="3"/>
        <v>6.2819599727398636E-3</v>
      </c>
      <c r="V13" s="25">
        <f t="shared" si="4"/>
        <v>7.926637975549819E-2</v>
      </c>
      <c r="W13" s="26">
        <f t="shared" si="5"/>
        <v>3290.6805198054594</v>
      </c>
      <c r="X13" s="26">
        <f t="shared" si="6"/>
        <v>260.84033173691978</v>
      </c>
      <c r="Y13" s="53">
        <v>3258.86</v>
      </c>
      <c r="Z13" s="53">
        <v>3308.27</v>
      </c>
      <c r="AA13" s="149">
        <v>21</v>
      </c>
      <c r="AB13" s="149">
        <v>113107.7</v>
      </c>
      <c r="AC13" s="149">
        <v>0</v>
      </c>
      <c r="AD13" s="149">
        <v>0</v>
      </c>
      <c r="AE13" s="150">
        <v>113107.7</v>
      </c>
      <c r="AF13" s="5"/>
      <c r="AG13" s="5"/>
      <c r="AH13" s="5"/>
      <c r="AI13" s="5"/>
      <c r="AJ13" s="6"/>
      <c r="AK13" s="4"/>
      <c r="AL13" s="5"/>
      <c r="AM13" s="5"/>
      <c r="AN13" s="5"/>
      <c r="AO13" s="6"/>
      <c r="AP13" s="4"/>
      <c r="AQ13" s="5"/>
      <c r="AR13" s="5"/>
      <c r="AS13" s="5"/>
      <c r="AT13" s="6"/>
    </row>
    <row r="14" spans="1:256" ht="16.5" customHeight="1" x14ac:dyDescent="0.3">
      <c r="A14" s="172">
        <v>11</v>
      </c>
      <c r="B14" s="60" t="s">
        <v>42</v>
      </c>
      <c r="C14" s="60" t="s">
        <v>43</v>
      </c>
      <c r="D14" s="52">
        <v>219800206.41</v>
      </c>
      <c r="E14" s="74"/>
      <c r="F14" s="53"/>
      <c r="G14" s="53"/>
      <c r="H14" s="53"/>
      <c r="I14" s="53"/>
      <c r="J14" s="54">
        <v>219800206.41</v>
      </c>
      <c r="K14" s="54">
        <v>646301.67000000004</v>
      </c>
      <c r="L14" s="54">
        <v>505177.23</v>
      </c>
      <c r="M14" s="152">
        <v>141124.44</v>
      </c>
      <c r="N14" s="21">
        <v>263315094.71000001</v>
      </c>
      <c r="O14" s="21">
        <v>4082195.82</v>
      </c>
      <c r="P14" s="22">
        <v>243081088.03999999</v>
      </c>
      <c r="Q14" s="23">
        <f t="shared" si="0"/>
        <v>1.5710689083034381E-2</v>
      </c>
      <c r="R14" s="22">
        <v>259232898.88</v>
      </c>
      <c r="S14" s="23">
        <f t="shared" si="1"/>
        <v>1.5724268108643361E-2</v>
      </c>
      <c r="T14" s="24">
        <f t="shared" si="2"/>
        <v>6.6446184564313601E-2</v>
      </c>
      <c r="U14" s="59">
        <f t="shared" si="3"/>
        <v>1.9487388837704919E-3</v>
      </c>
      <c r="V14" s="25">
        <f t="shared" si="4"/>
        <v>5.4439247722692442E-4</v>
      </c>
      <c r="W14" s="26">
        <f t="shared" si="5"/>
        <v>150.69451816061107</v>
      </c>
      <c r="X14" s="26">
        <f t="shared" si="6"/>
        <v>8.20369620459728E-2</v>
      </c>
      <c r="Y14" s="53">
        <v>149.19</v>
      </c>
      <c r="Z14" s="53">
        <v>152.19999999999999</v>
      </c>
      <c r="AA14" s="149">
        <v>585</v>
      </c>
      <c r="AB14" s="149">
        <v>1698709.48</v>
      </c>
      <c r="AC14" s="149">
        <v>42979.14</v>
      </c>
      <c r="AD14" s="149">
        <v>21434.28</v>
      </c>
      <c r="AE14" s="150">
        <v>1720254.34</v>
      </c>
      <c r="AF14" s="5"/>
      <c r="AG14" s="5"/>
      <c r="AH14" s="5"/>
      <c r="AI14" s="5"/>
      <c r="AJ14" s="6"/>
      <c r="AK14" s="4"/>
      <c r="AL14" s="5"/>
      <c r="AM14" s="5"/>
      <c r="AN14" s="5"/>
      <c r="AO14" s="6"/>
      <c r="AP14" s="4"/>
      <c r="AQ14" s="5"/>
      <c r="AR14" s="5"/>
      <c r="AS14" s="5"/>
      <c r="AT14" s="6"/>
    </row>
    <row r="15" spans="1:256" ht="16.5" customHeight="1" x14ac:dyDescent="0.3">
      <c r="A15" s="172">
        <v>12</v>
      </c>
      <c r="B15" s="58" t="s">
        <v>44</v>
      </c>
      <c r="C15" s="57" t="s">
        <v>45</v>
      </c>
      <c r="D15" s="52">
        <v>271041250.5</v>
      </c>
      <c r="E15" s="74"/>
      <c r="F15" s="53">
        <v>67127980.390000001</v>
      </c>
      <c r="G15" s="53"/>
      <c r="H15" s="53"/>
      <c r="I15" s="53"/>
      <c r="J15" s="54">
        <v>338169230.88999999</v>
      </c>
      <c r="K15" s="54">
        <v>13072816.26</v>
      </c>
      <c r="L15" s="54">
        <v>697810.7</v>
      </c>
      <c r="M15" s="152">
        <v>12024578.060000001</v>
      </c>
      <c r="N15" s="21">
        <v>339150392.68000001</v>
      </c>
      <c r="O15" s="21">
        <v>3842540.36</v>
      </c>
      <c r="P15" s="22">
        <v>308731351.25</v>
      </c>
      <c r="Q15" s="23">
        <f t="shared" si="0"/>
        <v>1.9953762379390359E-2</v>
      </c>
      <c r="R15" s="22">
        <v>335307852.31999999</v>
      </c>
      <c r="S15" s="23">
        <f t="shared" si="1"/>
        <v>2.0338740150623098E-2</v>
      </c>
      <c r="T15" s="24">
        <f t="shared" si="2"/>
        <v>8.6082935738130653E-2</v>
      </c>
      <c r="U15" s="59">
        <f t="shared" si="3"/>
        <v>2.0811045586073733E-3</v>
      </c>
      <c r="V15" s="25">
        <f t="shared" si="4"/>
        <v>3.5861307681289797E-2</v>
      </c>
      <c r="W15" s="26">
        <f t="shared" si="5"/>
        <v>1.3250468707884739</v>
      </c>
      <c r="X15" s="26">
        <f t="shared" si="6"/>
        <v>4.7517913525475707E-2</v>
      </c>
      <c r="Y15" s="53">
        <v>1.31</v>
      </c>
      <c r="Z15" s="53">
        <v>1.35</v>
      </c>
      <c r="AA15" s="149">
        <v>96</v>
      </c>
      <c r="AB15" s="149">
        <v>253057125.25999999</v>
      </c>
      <c r="AC15" s="149">
        <v>19132.53</v>
      </c>
      <c r="AD15" s="149">
        <v>22679.3</v>
      </c>
      <c r="AE15" s="150">
        <v>253053578.49000001</v>
      </c>
      <c r="AF15" s="5"/>
      <c r="AG15" s="5"/>
      <c r="AH15" s="5"/>
      <c r="AI15" s="5"/>
      <c r="AJ15" s="6"/>
      <c r="AK15" s="4"/>
      <c r="AL15" s="5"/>
      <c r="AM15" s="5"/>
      <c r="AN15" s="5"/>
      <c r="AO15" s="6"/>
      <c r="AP15" s="4"/>
      <c r="AQ15" s="5"/>
      <c r="AR15" s="5"/>
      <c r="AS15" s="5"/>
      <c r="AT15" s="6"/>
    </row>
    <row r="16" spans="1:256" ht="16.5" customHeight="1" x14ac:dyDescent="0.3">
      <c r="A16" s="172">
        <v>13</v>
      </c>
      <c r="B16" s="60" t="s">
        <v>46</v>
      </c>
      <c r="C16" s="60" t="s">
        <v>47</v>
      </c>
      <c r="D16" s="52">
        <v>234890475.59999999</v>
      </c>
      <c r="E16" s="74"/>
      <c r="F16" s="53">
        <v>57884215.600000001</v>
      </c>
      <c r="G16" s="53">
        <v>6925494.2800000003</v>
      </c>
      <c r="H16" s="53"/>
      <c r="I16" s="53"/>
      <c r="J16" s="54">
        <v>299700185.5</v>
      </c>
      <c r="K16" s="54">
        <v>11547050.789999999</v>
      </c>
      <c r="L16" s="54">
        <v>1080313.1399999999</v>
      </c>
      <c r="M16" s="152">
        <v>10466737.65</v>
      </c>
      <c r="N16" s="21">
        <v>307246744.38999999</v>
      </c>
      <c r="O16" s="21">
        <v>2489362.1</v>
      </c>
      <c r="P16" s="22">
        <v>277645097.94</v>
      </c>
      <c r="Q16" s="23">
        <f t="shared" si="0"/>
        <v>1.794461199896466E-2</v>
      </c>
      <c r="R16" s="22">
        <v>304757382.27999997</v>
      </c>
      <c r="S16" s="23">
        <f t="shared" si="1"/>
        <v>1.8485642863089357E-2</v>
      </c>
      <c r="T16" s="24">
        <f t="shared" si="2"/>
        <v>9.7650866307962061E-2</v>
      </c>
      <c r="U16" s="59">
        <f t="shared" si="3"/>
        <v>3.5448300937545381E-3</v>
      </c>
      <c r="V16" s="25">
        <f t="shared" si="4"/>
        <v>3.434449256551083E-2</v>
      </c>
      <c r="W16" s="26">
        <f t="shared" si="5"/>
        <v>1.5497942016216886</v>
      </c>
      <c r="X16" s="26">
        <f t="shared" si="6"/>
        <v>5.3226895435667873E-2</v>
      </c>
      <c r="Y16" s="53">
        <v>1.5498000000000001</v>
      </c>
      <c r="Z16" s="53">
        <v>1.5625</v>
      </c>
      <c r="AA16" s="149">
        <v>11</v>
      </c>
      <c r="AB16" s="149">
        <v>196643775</v>
      </c>
      <c r="AC16" s="149">
        <v>0</v>
      </c>
      <c r="AD16" s="149">
        <v>0</v>
      </c>
      <c r="AE16" s="150">
        <v>196643775</v>
      </c>
      <c r="AF16" s="5"/>
      <c r="AG16" s="5"/>
      <c r="AH16" s="5"/>
      <c r="AI16" s="5"/>
      <c r="AJ16" s="6"/>
      <c r="AK16" s="4"/>
      <c r="AL16" s="5"/>
      <c r="AM16" s="5"/>
      <c r="AN16" s="5"/>
      <c r="AO16" s="6"/>
      <c r="AP16" s="4"/>
      <c r="AQ16" s="5"/>
      <c r="AR16" s="5"/>
      <c r="AS16" s="5"/>
      <c r="AT16" s="6"/>
    </row>
    <row r="17" spans="1:256" ht="15.95" customHeight="1" x14ac:dyDescent="0.3">
      <c r="A17" s="172">
        <v>14</v>
      </c>
      <c r="B17" s="76" t="s">
        <v>48</v>
      </c>
      <c r="C17" s="76" t="s">
        <v>49</v>
      </c>
      <c r="D17" s="157">
        <v>3621932.74</v>
      </c>
      <c r="E17" s="157"/>
      <c r="F17" s="20"/>
      <c r="G17" s="157"/>
      <c r="H17" s="157"/>
      <c r="I17" s="157">
        <v>1882545.57</v>
      </c>
      <c r="J17" s="157">
        <v>3621932.74</v>
      </c>
      <c r="K17" s="157">
        <v>0</v>
      </c>
      <c r="L17" s="157">
        <v>0</v>
      </c>
      <c r="M17" s="182">
        <v>0</v>
      </c>
      <c r="N17" s="157">
        <v>5504478.3099999996</v>
      </c>
      <c r="O17" s="157">
        <v>0</v>
      </c>
      <c r="P17" s="22">
        <v>5504478.3099999996</v>
      </c>
      <c r="Q17" s="23">
        <f t="shared" si="0"/>
        <v>3.557625481686425E-4</v>
      </c>
      <c r="R17" s="30">
        <v>5504478.3099999996</v>
      </c>
      <c r="S17" s="23">
        <f t="shared" si="1"/>
        <v>3.3388467713242777E-4</v>
      </c>
      <c r="T17" s="24">
        <f t="shared" si="2"/>
        <v>0</v>
      </c>
      <c r="U17" s="59">
        <f>(L17/R17)</f>
        <v>0</v>
      </c>
      <c r="V17" s="32">
        <f t="shared" si="4"/>
        <v>0</v>
      </c>
      <c r="W17" s="33">
        <f t="shared" ref="W17" si="7">R17/AB17</f>
        <v>1.3927630965032134</v>
      </c>
      <c r="X17" s="33">
        <f t="shared" ref="X17" si="8">M17/AB17</f>
        <v>0</v>
      </c>
      <c r="Y17" s="157">
        <v>1.39</v>
      </c>
      <c r="Z17" s="157">
        <v>1.45</v>
      </c>
      <c r="AA17" s="158">
        <v>2420</v>
      </c>
      <c r="AB17" s="157">
        <v>3952200</v>
      </c>
      <c r="AC17" s="158">
        <v>0</v>
      </c>
      <c r="AD17" s="158">
        <v>0</v>
      </c>
      <c r="AE17" s="159">
        <v>3952200</v>
      </c>
      <c r="AF17" s="5"/>
      <c r="AG17" s="5"/>
      <c r="AH17" s="5"/>
      <c r="AI17" s="5"/>
      <c r="AJ17" s="6"/>
      <c r="AK17" s="4"/>
      <c r="AL17" s="5"/>
      <c r="AM17" s="5"/>
      <c r="AN17" s="5"/>
      <c r="AO17" s="6"/>
      <c r="AP17" s="4"/>
      <c r="AQ17" s="5"/>
      <c r="AR17" s="5"/>
      <c r="AS17" s="5"/>
      <c r="AT17" s="6"/>
    </row>
    <row r="18" spans="1:256" ht="16.5" customHeight="1" x14ac:dyDescent="0.3">
      <c r="A18" s="172">
        <v>15</v>
      </c>
      <c r="B18" s="58" t="s">
        <v>50</v>
      </c>
      <c r="C18" s="58" t="s">
        <v>51</v>
      </c>
      <c r="D18" s="52">
        <v>358964038.80000001</v>
      </c>
      <c r="E18" s="74"/>
      <c r="F18" s="53">
        <v>63194966.079999998</v>
      </c>
      <c r="G18" s="53">
        <v>38620783.840000004</v>
      </c>
      <c r="H18" s="53"/>
      <c r="I18" s="53"/>
      <c r="J18" s="54">
        <v>460779788.72000003</v>
      </c>
      <c r="K18" s="54">
        <v>-606540.68999999994</v>
      </c>
      <c r="L18" s="54">
        <v>3866237.31</v>
      </c>
      <c r="M18" s="152">
        <v>-4472778</v>
      </c>
      <c r="N18" s="21">
        <v>464789762.39999998</v>
      </c>
      <c r="O18" s="21">
        <v>3866237.31</v>
      </c>
      <c r="P18" s="22">
        <v>423708463.56999999</v>
      </c>
      <c r="Q18" s="23">
        <f t="shared" si="0"/>
        <v>2.7384902653978055E-2</v>
      </c>
      <c r="R18" s="22">
        <v>460923525.08999997</v>
      </c>
      <c r="S18" s="23">
        <f t="shared" si="1"/>
        <v>2.7958199431512541E-2</v>
      </c>
      <c r="T18" s="24">
        <f>((R18-P18)/P18)</f>
        <v>8.7831763393255324E-2</v>
      </c>
      <c r="U18" s="59">
        <f>(L18/R18)</f>
        <v>8.3880233911798677E-3</v>
      </c>
      <c r="V18" s="25">
        <f t="shared" si="4"/>
        <v>-9.7039481747577209E-3</v>
      </c>
      <c r="W18" s="26">
        <f t="shared" si="5"/>
        <v>150.38633697069048</v>
      </c>
      <c r="X18" s="26">
        <f t="shared" si="6"/>
        <v>-1.4593412201552316</v>
      </c>
      <c r="Y18" s="53">
        <v>150.62</v>
      </c>
      <c r="Z18" s="53">
        <v>152.37</v>
      </c>
      <c r="AA18" s="149">
        <v>153</v>
      </c>
      <c r="AB18" s="149">
        <v>3064503.39</v>
      </c>
      <c r="AC18" s="149">
        <v>216063.16</v>
      </c>
      <c r="AD18" s="149">
        <v>215637.02</v>
      </c>
      <c r="AE18" s="150">
        <v>3064929.53</v>
      </c>
      <c r="AF18" s="5"/>
      <c r="AG18" s="5"/>
      <c r="AH18" s="5"/>
      <c r="AI18" s="5"/>
      <c r="AJ18" s="6"/>
      <c r="AK18" s="4"/>
      <c r="AL18" s="5"/>
      <c r="AM18" s="5"/>
      <c r="AN18" s="5"/>
      <c r="AO18" s="6"/>
      <c r="AP18" s="4"/>
      <c r="AQ18" s="5"/>
      <c r="AR18" s="5"/>
      <c r="AS18" s="5"/>
      <c r="AT18" s="6"/>
    </row>
    <row r="19" spans="1:256" ht="16.5" customHeight="1" x14ac:dyDescent="0.3">
      <c r="A19" s="174">
        <v>16</v>
      </c>
      <c r="B19" s="175" t="s">
        <v>171</v>
      </c>
      <c r="C19" s="175" t="s">
        <v>172</v>
      </c>
      <c r="D19" s="52">
        <v>18552229.699999999</v>
      </c>
      <c r="E19" s="74"/>
      <c r="F19" s="53">
        <v>5620214.3799999999</v>
      </c>
      <c r="G19" s="53"/>
      <c r="H19" s="53"/>
      <c r="I19" s="53"/>
      <c r="J19" s="54">
        <v>24172444.079999998</v>
      </c>
      <c r="K19" s="54">
        <v>29078.17</v>
      </c>
      <c r="L19" s="54">
        <v>26022.3</v>
      </c>
      <c r="M19" s="152">
        <v>3055.87</v>
      </c>
      <c r="N19" s="21">
        <v>25103236.460000001</v>
      </c>
      <c r="O19" s="21">
        <v>464857</v>
      </c>
      <c r="P19" s="22">
        <v>23543407.09</v>
      </c>
      <c r="Q19" s="23">
        <f t="shared" si="0"/>
        <v>1.5216451091638664E-3</v>
      </c>
      <c r="R19" s="22">
        <v>24638379.460000001</v>
      </c>
      <c r="S19" s="23">
        <f t="shared" si="1"/>
        <v>1.4944881072786605E-3</v>
      </c>
      <c r="T19" s="24">
        <f>((R19-P19)/P19)</f>
        <v>4.6508662311033462E-2</v>
      </c>
      <c r="U19" s="102">
        <f>(L18/R19)</f>
        <v>0.15691930211062671</v>
      </c>
      <c r="V19" s="103" t="e">
        <v>#DIV/0!</v>
      </c>
      <c r="W19" s="104" t="e">
        <v>#DIV/0!</v>
      </c>
      <c r="X19" s="104" t="e">
        <v>#DIV/0!</v>
      </c>
      <c r="Y19" s="53">
        <v>99.77</v>
      </c>
      <c r="Z19" s="53">
        <v>102.89</v>
      </c>
      <c r="AA19" s="149">
        <v>3</v>
      </c>
      <c r="AB19" s="149">
        <v>253000</v>
      </c>
      <c r="AC19" s="149">
        <v>0</v>
      </c>
      <c r="AD19" s="149">
        <v>0</v>
      </c>
      <c r="AE19" s="150">
        <v>253000</v>
      </c>
      <c r="AF19" s="82"/>
      <c r="AG19" s="82"/>
      <c r="AH19" s="82"/>
      <c r="AI19" s="82"/>
      <c r="AJ19" s="83"/>
      <c r="AK19" s="82"/>
      <c r="AL19" s="82"/>
      <c r="AM19" s="82"/>
      <c r="AN19" s="82"/>
      <c r="AO19" s="83"/>
      <c r="AP19" s="82"/>
      <c r="AQ19" s="82"/>
      <c r="AR19" s="82"/>
      <c r="AS19" s="82"/>
      <c r="AT19" s="83"/>
      <c r="AU19" s="84"/>
      <c r="AV19" s="84"/>
      <c r="AW19" s="84"/>
      <c r="AX19" s="84"/>
      <c r="AY19" s="84"/>
      <c r="AZ19" s="84"/>
      <c r="BA19" s="84"/>
      <c r="BB19" s="84"/>
      <c r="BC19" s="84"/>
      <c r="BD19" s="84"/>
      <c r="BE19" s="84"/>
      <c r="BF19" s="84"/>
      <c r="BG19" s="84"/>
      <c r="BH19" s="84"/>
      <c r="BI19" s="84"/>
      <c r="BJ19" s="84"/>
      <c r="BK19" s="84"/>
      <c r="BL19" s="84"/>
      <c r="BM19" s="84"/>
      <c r="BN19" s="84"/>
      <c r="BO19" s="84"/>
      <c r="BP19" s="84"/>
      <c r="BQ19" s="84"/>
      <c r="BR19" s="84"/>
      <c r="BS19" s="84"/>
      <c r="BT19" s="84"/>
      <c r="BU19" s="84"/>
      <c r="BV19" s="84"/>
      <c r="BW19" s="84"/>
      <c r="BX19" s="84"/>
      <c r="BY19" s="84"/>
      <c r="BZ19" s="84"/>
      <c r="CA19" s="84"/>
      <c r="CB19" s="84"/>
      <c r="CC19" s="84"/>
      <c r="CD19" s="84"/>
      <c r="CE19" s="84"/>
      <c r="CF19" s="84"/>
      <c r="CG19" s="84"/>
      <c r="CH19" s="84"/>
      <c r="CI19" s="84"/>
      <c r="CJ19" s="84"/>
      <c r="CK19" s="84"/>
      <c r="CL19" s="84"/>
      <c r="CM19" s="84"/>
      <c r="CN19" s="84"/>
      <c r="CO19" s="84"/>
      <c r="CP19" s="84"/>
      <c r="CQ19" s="84"/>
      <c r="CR19" s="84"/>
      <c r="CS19" s="84"/>
      <c r="CT19" s="84"/>
      <c r="CU19" s="84"/>
      <c r="CV19" s="84"/>
      <c r="CW19" s="84"/>
      <c r="CX19" s="84"/>
      <c r="CY19" s="84"/>
      <c r="CZ19" s="84"/>
      <c r="DA19" s="84"/>
      <c r="DB19" s="84"/>
      <c r="DC19" s="84"/>
      <c r="DD19" s="84"/>
      <c r="DE19" s="84"/>
      <c r="DF19" s="84"/>
      <c r="DG19" s="84"/>
      <c r="DH19" s="84"/>
      <c r="DI19" s="84"/>
      <c r="DJ19" s="84"/>
      <c r="DK19" s="84"/>
      <c r="DL19" s="84"/>
      <c r="DM19" s="84"/>
      <c r="DN19" s="84"/>
      <c r="DO19" s="84"/>
      <c r="DP19" s="84"/>
      <c r="DQ19" s="84"/>
      <c r="DR19" s="84"/>
      <c r="DS19" s="84"/>
      <c r="DT19" s="84"/>
      <c r="DU19" s="84"/>
      <c r="DV19" s="84"/>
      <c r="DW19" s="84"/>
      <c r="DX19" s="84"/>
      <c r="DY19" s="84"/>
      <c r="DZ19" s="84"/>
      <c r="EA19" s="84"/>
      <c r="EB19" s="84"/>
      <c r="EC19" s="84"/>
      <c r="ED19" s="84"/>
      <c r="EE19" s="84"/>
      <c r="EF19" s="84"/>
      <c r="EG19" s="84"/>
      <c r="EH19" s="84"/>
      <c r="EI19" s="84"/>
      <c r="EJ19" s="84"/>
      <c r="EK19" s="84"/>
      <c r="EL19" s="84"/>
      <c r="EM19" s="84"/>
      <c r="EN19" s="84"/>
      <c r="EO19" s="84"/>
      <c r="EP19" s="84"/>
      <c r="EQ19" s="84"/>
      <c r="ER19" s="84"/>
      <c r="ES19" s="84"/>
      <c r="ET19" s="84"/>
      <c r="EU19" s="84"/>
      <c r="EV19" s="84"/>
      <c r="EW19" s="84"/>
      <c r="EX19" s="84"/>
      <c r="EY19" s="84"/>
      <c r="EZ19" s="84"/>
      <c r="FA19" s="84"/>
      <c r="FB19" s="84"/>
      <c r="FC19" s="84"/>
      <c r="FD19" s="84"/>
      <c r="FE19" s="84"/>
      <c r="FF19" s="84"/>
      <c r="FG19" s="84"/>
      <c r="FH19" s="84"/>
      <c r="FI19" s="84"/>
      <c r="FJ19" s="84"/>
      <c r="FK19" s="84"/>
      <c r="FL19" s="84"/>
      <c r="FM19" s="84"/>
      <c r="FN19" s="84"/>
      <c r="FO19" s="84"/>
      <c r="FP19" s="84"/>
      <c r="FQ19" s="84"/>
      <c r="FR19" s="84"/>
      <c r="FS19" s="84"/>
      <c r="FT19" s="84"/>
      <c r="FU19" s="84"/>
      <c r="FV19" s="84"/>
      <c r="FW19" s="84"/>
      <c r="FX19" s="84"/>
      <c r="FY19" s="84"/>
      <c r="FZ19" s="84"/>
      <c r="GA19" s="84"/>
      <c r="GB19" s="84"/>
      <c r="GC19" s="84"/>
      <c r="GD19" s="84"/>
      <c r="GE19" s="84"/>
      <c r="GF19" s="84"/>
      <c r="GG19" s="84"/>
      <c r="GH19" s="84"/>
      <c r="GI19" s="84"/>
      <c r="GJ19" s="84"/>
      <c r="GK19" s="84"/>
      <c r="GL19" s="84"/>
      <c r="GM19" s="84"/>
      <c r="GN19" s="84"/>
      <c r="GO19" s="84"/>
      <c r="GP19" s="84"/>
      <c r="GQ19" s="84"/>
      <c r="GR19" s="84"/>
      <c r="GS19" s="84"/>
      <c r="GT19" s="84"/>
      <c r="GU19" s="84"/>
      <c r="GV19" s="84"/>
      <c r="GW19" s="84"/>
      <c r="GX19" s="84"/>
      <c r="GY19" s="84"/>
      <c r="GZ19" s="84"/>
      <c r="HA19" s="84"/>
      <c r="HB19" s="84"/>
      <c r="HC19" s="84"/>
      <c r="HD19" s="84"/>
      <c r="HE19" s="84"/>
      <c r="HF19" s="84"/>
      <c r="HG19" s="84"/>
      <c r="HH19" s="84"/>
      <c r="HI19" s="84"/>
      <c r="HJ19" s="84"/>
      <c r="HK19" s="84"/>
      <c r="HL19" s="84"/>
      <c r="HM19" s="84"/>
      <c r="HN19" s="84"/>
      <c r="HO19" s="84"/>
      <c r="HP19" s="84"/>
      <c r="HQ19" s="84"/>
      <c r="HR19" s="84"/>
      <c r="HS19" s="84"/>
      <c r="HT19" s="84"/>
      <c r="HU19" s="84"/>
      <c r="HV19" s="84"/>
      <c r="HW19" s="84"/>
      <c r="HX19" s="84"/>
      <c r="HY19" s="84"/>
      <c r="HZ19" s="84"/>
      <c r="IA19" s="84"/>
      <c r="IB19" s="84"/>
      <c r="IC19" s="84"/>
      <c r="ID19" s="84"/>
      <c r="IE19" s="84"/>
      <c r="IF19" s="84"/>
      <c r="IG19" s="84"/>
      <c r="IH19" s="84"/>
      <c r="II19" s="84"/>
      <c r="IJ19" s="84"/>
      <c r="IK19" s="84"/>
      <c r="IL19" s="84"/>
      <c r="IM19" s="84"/>
      <c r="IN19" s="84"/>
      <c r="IO19" s="84"/>
      <c r="IP19" s="84"/>
      <c r="IQ19" s="84"/>
      <c r="IR19" s="84"/>
      <c r="IS19" s="84"/>
      <c r="IT19" s="84"/>
      <c r="IU19" s="84"/>
      <c r="IV19" s="84"/>
    </row>
    <row r="20" spans="1:256" ht="16.5" customHeight="1" x14ac:dyDescent="0.3">
      <c r="A20" s="112"/>
      <c r="B20" s="34"/>
      <c r="C20" s="35" t="s">
        <v>52</v>
      </c>
      <c r="D20" s="36">
        <f>SUM(D4:D19)</f>
        <v>12533248078.439999</v>
      </c>
      <c r="E20" s="36"/>
      <c r="F20" s="36">
        <f t="shared" ref="F20:H20" si="9">SUM(F4:F19)</f>
        <v>2602068421.48</v>
      </c>
      <c r="G20" s="36">
        <f t="shared" si="9"/>
        <v>205116558.94999999</v>
      </c>
      <c r="H20" s="36">
        <f t="shared" si="9"/>
        <v>1374072.7</v>
      </c>
      <c r="I20" s="36"/>
      <c r="J20" s="36">
        <f t="shared" ref="J20" si="10">SUM(J4:J19)</f>
        <v>15604765761.529997</v>
      </c>
      <c r="K20" s="36">
        <f t="shared" ref="K20" si="11">SUM(K4:K19)</f>
        <v>233684527.22999996</v>
      </c>
      <c r="L20" s="36">
        <f t="shared" ref="L20" si="12">SUM(L4:L19)</f>
        <v>43956712.160000004</v>
      </c>
      <c r="M20" s="36">
        <f t="shared" ref="M20" si="13">SUM(M4:M19)</f>
        <v>748460011.9799999</v>
      </c>
      <c r="N20" s="36">
        <f t="shared" ref="N20:O20" si="14">SUM(N4:N19)</f>
        <v>19184612309.330002</v>
      </c>
      <c r="O20" s="36">
        <f t="shared" si="14"/>
        <v>196626016.5</v>
      </c>
      <c r="P20" s="161">
        <f>SUM(P4:P19)</f>
        <v>15472337766.679998</v>
      </c>
      <c r="Q20" s="88">
        <f>(P20/$P$150)</f>
        <v>1.095206341272713E-2</v>
      </c>
      <c r="R20" s="161">
        <f>SUM(R4:R19)</f>
        <v>16486166293.329998</v>
      </c>
      <c r="S20" s="88">
        <f>(R20/$R$150)</f>
        <v>1.1711101750494946E-2</v>
      </c>
      <c r="T20" s="38">
        <f>((R20-P20)/P20)</f>
        <v>6.5525232317077547E-2</v>
      </c>
      <c r="U20" s="51"/>
      <c r="V20" s="39"/>
      <c r="W20" s="40"/>
      <c r="X20" s="40"/>
      <c r="Y20" s="36"/>
      <c r="Z20" s="36"/>
      <c r="AA20" s="41">
        <f>SUM(AA4:AA19)</f>
        <v>42198</v>
      </c>
      <c r="AB20" s="41"/>
      <c r="AC20" s="41"/>
      <c r="AD20" s="41"/>
      <c r="AE20" s="113"/>
      <c r="AF20" s="5"/>
      <c r="AG20" s="5"/>
      <c r="AH20" s="5"/>
      <c r="AI20" s="5"/>
      <c r="AJ20" s="6"/>
      <c r="AK20" s="4"/>
      <c r="AL20" s="5"/>
      <c r="AM20" s="5"/>
      <c r="AN20" s="5"/>
      <c r="AO20" s="6"/>
      <c r="AP20" s="4"/>
      <c r="AQ20" s="5"/>
      <c r="AR20" s="5"/>
      <c r="AS20" s="5"/>
      <c r="AT20" s="6"/>
    </row>
    <row r="21" spans="1:256" ht="15.75" customHeight="1" x14ac:dyDescent="0.3">
      <c r="A21" s="203" t="s">
        <v>53</v>
      </c>
      <c r="B21" s="201"/>
      <c r="C21" s="201"/>
      <c r="D21" s="42"/>
      <c r="E21" s="42"/>
      <c r="F21" s="42"/>
      <c r="G21" s="42"/>
      <c r="H21" s="42"/>
      <c r="I21" s="42"/>
      <c r="J21" s="42"/>
      <c r="K21" s="42"/>
      <c r="L21" s="42"/>
      <c r="M21" s="165"/>
      <c r="N21" s="42"/>
      <c r="O21" s="42"/>
      <c r="P21" s="42"/>
      <c r="Q21" s="42"/>
      <c r="R21" s="42"/>
      <c r="S21" s="42"/>
      <c r="T21" s="24"/>
      <c r="U21" s="24"/>
      <c r="V21" s="42"/>
      <c r="W21" s="42"/>
      <c r="X21" s="42"/>
      <c r="Y21" s="42"/>
      <c r="Z21" s="42"/>
      <c r="AA21" s="42"/>
      <c r="AB21" s="42"/>
      <c r="AC21" s="42"/>
      <c r="AD21" s="42"/>
      <c r="AE21" s="114"/>
      <c r="AF21" s="5"/>
      <c r="AG21" s="5"/>
      <c r="AH21" s="5"/>
      <c r="AI21" s="5"/>
      <c r="AJ21" s="6"/>
      <c r="AK21" s="4"/>
      <c r="AL21" s="5"/>
      <c r="AM21" s="5"/>
      <c r="AN21" s="5"/>
      <c r="AO21" s="6"/>
      <c r="AP21" s="4"/>
      <c r="AQ21" s="5"/>
      <c r="AR21" s="5"/>
      <c r="AS21" s="5"/>
      <c r="AT21" s="6"/>
    </row>
    <row r="22" spans="1:256" ht="18" customHeight="1" x14ac:dyDescent="0.3">
      <c r="A22" s="172">
        <v>17</v>
      </c>
      <c r="B22" s="58" t="s">
        <v>23</v>
      </c>
      <c r="C22" s="58" t="s">
        <v>54</v>
      </c>
      <c r="D22" s="53"/>
      <c r="E22" s="53"/>
      <c r="F22" s="53">
        <v>225678111176.95001</v>
      </c>
      <c r="G22" s="53"/>
      <c r="H22" s="53"/>
      <c r="I22" s="53"/>
      <c r="J22" s="53">
        <v>225678111176.95001</v>
      </c>
      <c r="K22" s="53">
        <v>1087194601.04</v>
      </c>
      <c r="L22" s="53">
        <v>400827150.04000002</v>
      </c>
      <c r="M22" s="152">
        <v>686367451</v>
      </c>
      <c r="N22" s="20">
        <v>226867957038.91</v>
      </c>
      <c r="O22" s="20">
        <v>505153142.62</v>
      </c>
      <c r="P22" s="30">
        <v>242187695569.09</v>
      </c>
      <c r="Q22" s="23">
        <f t="shared" ref="Q22:Q50" si="15">(P22/$P$51)</f>
        <v>0.39085902968163849</v>
      </c>
      <c r="R22" s="30">
        <v>226362803896.29001</v>
      </c>
      <c r="S22" s="23">
        <f t="shared" ref="S22:S50" si="16">(R22/$R$51)</f>
        <v>0.37337668770875226</v>
      </c>
      <c r="T22" s="24">
        <f t="shared" ref="T22:T51" si="17">((R22-P22)/P22)</f>
        <v>-6.5341435433434514E-2</v>
      </c>
      <c r="U22" s="59">
        <f t="shared" ref="U22:U50" si="18">(L22/R22)</f>
        <v>1.7707288615475989E-3</v>
      </c>
      <c r="V22" s="25">
        <f t="shared" ref="V22:V50" si="19">M22/R22</f>
        <v>3.0321565168209565E-3</v>
      </c>
      <c r="W22" s="26">
        <f t="shared" ref="W22:W50" si="20">R22/AE22</f>
        <v>100.00000000012811</v>
      </c>
      <c r="X22" s="26">
        <f t="shared" ref="X22:X50" si="21">M22/AE22</f>
        <v>0.30321565168248416</v>
      </c>
      <c r="Y22" s="20">
        <v>100</v>
      </c>
      <c r="Z22" s="20">
        <v>100</v>
      </c>
      <c r="AA22" s="149">
        <v>496500</v>
      </c>
      <c r="AB22" s="149">
        <v>2421876955.6900001</v>
      </c>
      <c r="AC22" s="149">
        <v>141079287.34999999</v>
      </c>
      <c r="AD22" s="149">
        <v>299328204.07999998</v>
      </c>
      <c r="AE22" s="150">
        <v>2263628038.96</v>
      </c>
      <c r="AF22" s="5"/>
      <c r="AG22" s="5"/>
      <c r="AH22" s="5"/>
      <c r="AI22" s="5"/>
      <c r="AJ22" s="6"/>
      <c r="AK22" s="4"/>
      <c r="AL22" s="5"/>
      <c r="AM22" s="5"/>
      <c r="AN22" s="5"/>
      <c r="AO22" s="6"/>
      <c r="AP22" s="4"/>
      <c r="AQ22" s="5"/>
      <c r="AR22" s="5"/>
      <c r="AS22" s="5"/>
      <c r="AT22" s="6"/>
    </row>
    <row r="23" spans="1:256" ht="18" customHeight="1" x14ac:dyDescent="0.3">
      <c r="A23" s="172">
        <v>18</v>
      </c>
      <c r="B23" s="58" t="s">
        <v>55</v>
      </c>
      <c r="C23" s="58" t="s">
        <v>56</v>
      </c>
      <c r="D23" s="53"/>
      <c r="E23" s="53"/>
      <c r="F23" s="53">
        <v>172188954907.23001</v>
      </c>
      <c r="G23" s="53">
        <v>1983339613.8</v>
      </c>
      <c r="H23" s="53"/>
      <c r="I23" s="53"/>
      <c r="J23" s="53">
        <v>173232033435.82001</v>
      </c>
      <c r="K23" s="53">
        <v>1592281148.1800001</v>
      </c>
      <c r="L23" s="53">
        <v>240173918.21000001</v>
      </c>
      <c r="M23" s="152">
        <v>1352107229.97</v>
      </c>
      <c r="N23" s="20">
        <v>174202888622.13</v>
      </c>
      <c r="O23" s="20">
        <v>970855186.30999994</v>
      </c>
      <c r="P23" s="30">
        <v>174720462887.45999</v>
      </c>
      <c r="Q23" s="23">
        <f t="shared" si="15"/>
        <v>0.28197580570412439</v>
      </c>
      <c r="R23" s="30">
        <v>173232033435.82001</v>
      </c>
      <c r="S23" s="23">
        <f t="shared" si="16"/>
        <v>0.28573953730910817</v>
      </c>
      <c r="T23" s="24">
        <f t="shared" si="17"/>
        <v>-8.5189188893043596E-3</v>
      </c>
      <c r="U23" s="59">
        <f t="shared" si="18"/>
        <v>1.3864290191974282E-3</v>
      </c>
      <c r="V23" s="25">
        <f t="shared" si="19"/>
        <v>7.8051801572307728E-3</v>
      </c>
      <c r="W23" s="26">
        <f t="shared" si="20"/>
        <v>100.02603381767112</v>
      </c>
      <c r="X23" s="26">
        <f t="shared" si="21"/>
        <v>0.78072121436018083</v>
      </c>
      <c r="Y23" s="20">
        <v>100</v>
      </c>
      <c r="Z23" s="20">
        <v>100</v>
      </c>
      <c r="AA23" s="149">
        <v>23263</v>
      </c>
      <c r="AB23" s="149">
        <v>1746697476</v>
      </c>
      <c r="AC23" s="149">
        <v>131504816</v>
      </c>
      <c r="AD23" s="149">
        <v>146332829.38</v>
      </c>
      <c r="AE23" s="150">
        <f>(AB23+AC23)-AD23</f>
        <v>1731869462.6199999</v>
      </c>
      <c r="AF23" s="5"/>
      <c r="AG23" s="5"/>
      <c r="AH23" s="5"/>
      <c r="AI23" s="5"/>
      <c r="AJ23" s="6"/>
      <c r="AK23" s="4"/>
      <c r="AL23" s="5"/>
      <c r="AM23" s="5"/>
      <c r="AN23" s="5"/>
      <c r="AO23" s="6"/>
      <c r="AP23" s="4"/>
      <c r="AQ23" s="5"/>
      <c r="AR23" s="5"/>
      <c r="AS23" s="5"/>
      <c r="AT23" s="6"/>
    </row>
    <row r="24" spans="1:256" ht="18" customHeight="1" x14ac:dyDescent="0.3">
      <c r="A24" s="172">
        <v>19</v>
      </c>
      <c r="B24" s="58" t="s">
        <v>33</v>
      </c>
      <c r="C24" s="58" t="s">
        <v>57</v>
      </c>
      <c r="D24" s="53"/>
      <c r="E24" s="53"/>
      <c r="F24" s="53">
        <v>8629918198</v>
      </c>
      <c r="G24" s="53"/>
      <c r="H24" s="53"/>
      <c r="I24" s="53"/>
      <c r="J24" s="53">
        <v>8629918198</v>
      </c>
      <c r="K24" s="53">
        <v>114428915</v>
      </c>
      <c r="L24" s="53">
        <v>23772557</v>
      </c>
      <c r="M24" s="152">
        <v>90656357</v>
      </c>
      <c r="N24" s="20">
        <v>20729177820.560001</v>
      </c>
      <c r="O24" s="20">
        <v>130294341.29000001</v>
      </c>
      <c r="P24" s="30">
        <v>21280431793</v>
      </c>
      <c r="Q24" s="23">
        <f t="shared" si="15"/>
        <v>3.434381297643363E-2</v>
      </c>
      <c r="R24" s="30">
        <v>20598883479</v>
      </c>
      <c r="S24" s="23">
        <f t="shared" si="16"/>
        <v>3.3977061387750432E-2</v>
      </c>
      <c r="T24" s="24">
        <f t="shared" si="17"/>
        <v>-3.2026996474018396E-2</v>
      </c>
      <c r="U24" s="59">
        <f t="shared" si="18"/>
        <v>1.1540701720185696E-3</v>
      </c>
      <c r="V24" s="25">
        <f t="shared" si="19"/>
        <v>4.4010325653048958E-3</v>
      </c>
      <c r="W24" s="26">
        <f t="shared" si="20"/>
        <v>1.0276093040067347</v>
      </c>
      <c r="X24" s="26">
        <f t="shared" si="21"/>
        <v>4.5225420113439371E-3</v>
      </c>
      <c r="Y24" s="20">
        <v>1</v>
      </c>
      <c r="Z24" s="20">
        <v>1</v>
      </c>
      <c r="AA24" s="149">
        <v>3780</v>
      </c>
      <c r="AB24" s="149">
        <v>20694643889</v>
      </c>
      <c r="AC24" s="149">
        <v>1872238049</v>
      </c>
      <c r="AD24" s="149">
        <v>2521439182</v>
      </c>
      <c r="AE24" s="150">
        <v>20045442756</v>
      </c>
      <c r="AF24" s="5"/>
      <c r="AG24" s="5"/>
      <c r="AH24" s="5"/>
      <c r="AI24" s="5"/>
      <c r="AJ24" s="6"/>
      <c r="AK24" s="4"/>
      <c r="AL24" s="5"/>
      <c r="AM24" s="5"/>
      <c r="AN24" s="5"/>
      <c r="AO24" s="6"/>
      <c r="AP24" s="4"/>
      <c r="AQ24" s="5"/>
      <c r="AR24" s="5"/>
      <c r="AS24" s="5"/>
      <c r="AT24" s="6"/>
    </row>
    <row r="25" spans="1:256" ht="18" customHeight="1" x14ac:dyDescent="0.3">
      <c r="A25" s="172">
        <v>20</v>
      </c>
      <c r="B25" s="58" t="s">
        <v>58</v>
      </c>
      <c r="C25" s="58" t="s">
        <v>59</v>
      </c>
      <c r="D25" s="53"/>
      <c r="E25" s="53"/>
      <c r="F25" s="53">
        <v>985688343.38</v>
      </c>
      <c r="G25" s="53"/>
      <c r="H25" s="53"/>
      <c r="I25" s="53"/>
      <c r="J25" s="53">
        <v>992362080.75999999</v>
      </c>
      <c r="K25" s="53">
        <v>8366551.3399999999</v>
      </c>
      <c r="L25" s="53">
        <v>1817327.64</v>
      </c>
      <c r="M25" s="152">
        <v>6393889.1200000001</v>
      </c>
      <c r="N25" s="20">
        <v>992362080.75999999</v>
      </c>
      <c r="O25" s="20">
        <v>28832835</v>
      </c>
      <c r="P25" s="30">
        <v>959717122.69000006</v>
      </c>
      <c r="Q25" s="23">
        <f t="shared" si="15"/>
        <v>1.5488569824409471E-3</v>
      </c>
      <c r="R25" s="30">
        <v>963529245</v>
      </c>
      <c r="S25" s="23">
        <f t="shared" si="16"/>
        <v>1.5893042134848337E-3</v>
      </c>
      <c r="T25" s="24">
        <f t="shared" si="17"/>
        <v>3.9721311831083204E-3</v>
      </c>
      <c r="U25" s="59">
        <f t="shared" si="18"/>
        <v>1.8861157037324797E-3</v>
      </c>
      <c r="V25" s="25">
        <f t="shared" si="19"/>
        <v>6.635905607618584E-3</v>
      </c>
      <c r="W25" s="26">
        <f t="shared" si="20"/>
        <v>101.1944237584768</v>
      </c>
      <c r="X25" s="26">
        <f t="shared" si="21"/>
        <v>0.67151664407860734</v>
      </c>
      <c r="Y25" s="20">
        <v>100</v>
      </c>
      <c r="Z25" s="20">
        <v>100</v>
      </c>
      <c r="AA25" s="149">
        <v>827</v>
      </c>
      <c r="AB25" s="149">
        <v>9360963.1500000004</v>
      </c>
      <c r="AC25" s="149">
        <v>519216.12</v>
      </c>
      <c r="AD25" s="149">
        <v>358614.65</v>
      </c>
      <c r="AE25" s="150">
        <v>9521564.6199999992</v>
      </c>
      <c r="AF25" s="5"/>
      <c r="AG25" s="5"/>
      <c r="AH25" s="5"/>
      <c r="AI25" s="5"/>
      <c r="AJ25" s="6"/>
      <c r="AK25" s="4"/>
      <c r="AL25" s="5"/>
      <c r="AM25" s="5"/>
      <c r="AN25" s="5"/>
      <c r="AO25" s="6"/>
      <c r="AP25" s="4"/>
      <c r="AQ25" s="5"/>
      <c r="AR25" s="5"/>
      <c r="AS25" s="5"/>
      <c r="AT25" s="6"/>
    </row>
    <row r="26" spans="1:256" ht="18" customHeight="1" x14ac:dyDescent="0.3">
      <c r="A26" s="172">
        <v>21</v>
      </c>
      <c r="B26" s="57" t="s">
        <v>35</v>
      </c>
      <c r="C26" s="58" t="s">
        <v>60</v>
      </c>
      <c r="D26" s="53"/>
      <c r="E26" s="53"/>
      <c r="F26" s="53">
        <v>24158845993.169998</v>
      </c>
      <c r="G26" s="53"/>
      <c r="H26" s="53"/>
      <c r="I26" s="138"/>
      <c r="J26" s="53">
        <v>24158845993.169998</v>
      </c>
      <c r="K26" s="53">
        <v>447800532.37</v>
      </c>
      <c r="L26" s="53">
        <v>126005294.04000001</v>
      </c>
      <c r="M26" s="152">
        <v>321795238.32999998</v>
      </c>
      <c r="N26" s="20">
        <v>70710339575</v>
      </c>
      <c r="O26" s="20">
        <v>1152982900</v>
      </c>
      <c r="P26" s="30">
        <v>70273699115</v>
      </c>
      <c r="Q26" s="23">
        <f t="shared" si="15"/>
        <v>0.11341249101729303</v>
      </c>
      <c r="R26" s="30">
        <v>69557356675</v>
      </c>
      <c r="S26" s="23">
        <f t="shared" si="16"/>
        <v>0.11473216886369123</v>
      </c>
      <c r="T26" s="24">
        <f t="shared" si="17"/>
        <v>-1.0193606555814505E-2</v>
      </c>
      <c r="U26" s="59">
        <f t="shared" si="18"/>
        <v>1.8115308008144634E-3</v>
      </c>
      <c r="V26" s="25">
        <f t="shared" si="19"/>
        <v>4.626329316014078E-3</v>
      </c>
      <c r="W26" s="26">
        <f t="shared" si="20"/>
        <v>1.0000000000143767</v>
      </c>
      <c r="X26" s="26">
        <f t="shared" si="21"/>
        <v>4.626329316080589E-3</v>
      </c>
      <c r="Y26" s="20">
        <v>1</v>
      </c>
      <c r="Z26" s="20">
        <v>1</v>
      </c>
      <c r="AA26" s="149">
        <v>26355</v>
      </c>
      <c r="AB26" s="149">
        <v>70273699115</v>
      </c>
      <c r="AC26" s="149">
        <v>6298879597</v>
      </c>
      <c r="AD26" s="149">
        <v>7015222038</v>
      </c>
      <c r="AE26" s="150">
        <f>(AB26+AC26)-AD26</f>
        <v>69557356674</v>
      </c>
      <c r="AF26" s="5"/>
      <c r="AG26" s="5"/>
      <c r="AH26" s="5"/>
      <c r="AI26" s="5"/>
      <c r="AJ26" s="6"/>
      <c r="AK26" s="4"/>
      <c r="AL26" s="5"/>
      <c r="AM26" s="5"/>
      <c r="AN26" s="5"/>
      <c r="AO26" s="6"/>
      <c r="AP26" s="4"/>
      <c r="AQ26" s="5"/>
      <c r="AR26" s="5"/>
      <c r="AS26" s="5"/>
      <c r="AT26" s="6"/>
    </row>
    <row r="27" spans="1:256" ht="18" customHeight="1" x14ac:dyDescent="0.3">
      <c r="A27" s="172">
        <v>22</v>
      </c>
      <c r="B27" s="58" t="s">
        <v>39</v>
      </c>
      <c r="C27" s="58" t="s">
        <v>61</v>
      </c>
      <c r="D27" s="53"/>
      <c r="E27" s="53"/>
      <c r="F27" s="194">
        <v>1419130165.05</v>
      </c>
      <c r="G27" s="53"/>
      <c r="H27" s="53"/>
      <c r="I27" s="53"/>
      <c r="J27" s="53">
        <v>2072740028.0599999</v>
      </c>
      <c r="K27" s="53">
        <v>14129593.529999999</v>
      </c>
      <c r="L27" s="53">
        <v>3177692.41</v>
      </c>
      <c r="M27" s="152">
        <v>10951901.119999999</v>
      </c>
      <c r="N27" s="20">
        <v>2094858622.3</v>
      </c>
      <c r="O27" s="20">
        <v>10944112.689999999</v>
      </c>
      <c r="P27" s="30">
        <v>2021466763.22</v>
      </c>
      <c r="Q27" s="23">
        <f t="shared" si="15"/>
        <v>3.2623810047379301E-3</v>
      </c>
      <c r="R27" s="30">
        <v>2083914509.6099999</v>
      </c>
      <c r="S27" s="23">
        <f t="shared" si="16"/>
        <v>3.4373363630134067E-3</v>
      </c>
      <c r="T27" s="24">
        <f t="shared" si="17"/>
        <v>3.0892294410285865E-2</v>
      </c>
      <c r="U27" s="59">
        <f t="shared" si="18"/>
        <v>1.5248669728753406E-3</v>
      </c>
      <c r="V27" s="25">
        <f t="shared" si="19"/>
        <v>5.2554464540148643E-3</v>
      </c>
      <c r="W27" s="26">
        <f t="shared" si="20"/>
        <v>10.00000800326178</v>
      </c>
      <c r="X27" s="26">
        <f t="shared" si="21"/>
        <v>5.2554506600862382E-2</v>
      </c>
      <c r="Y27" s="20">
        <v>10</v>
      </c>
      <c r="Z27" s="20">
        <v>10</v>
      </c>
      <c r="AA27" s="149">
        <v>1397</v>
      </c>
      <c r="AB27" s="149">
        <v>202146676.31999999</v>
      </c>
      <c r="AC27" s="149">
        <v>22473862.219999999</v>
      </c>
      <c r="AD27" s="149">
        <v>16229254.359999999</v>
      </c>
      <c r="AE27" s="150">
        <v>208391284.18000001</v>
      </c>
      <c r="AF27" s="5"/>
      <c r="AG27" s="5"/>
      <c r="AH27" s="5"/>
      <c r="AI27" s="5"/>
      <c r="AJ27" s="6"/>
      <c r="AK27" s="4"/>
      <c r="AL27" s="5"/>
      <c r="AM27" s="5"/>
      <c r="AN27" s="5"/>
      <c r="AO27" s="6"/>
      <c r="AP27" s="4"/>
      <c r="AQ27" s="5"/>
      <c r="AR27" s="5"/>
      <c r="AS27" s="5"/>
      <c r="AT27" s="6"/>
    </row>
    <row r="28" spans="1:256" ht="18" customHeight="1" x14ac:dyDescent="0.3">
      <c r="A28" s="172">
        <v>23</v>
      </c>
      <c r="B28" s="58" t="s">
        <v>201</v>
      </c>
      <c r="C28" s="58" t="s">
        <v>62</v>
      </c>
      <c r="D28" s="53"/>
      <c r="E28" s="53"/>
      <c r="F28" s="53">
        <v>13248607243.77</v>
      </c>
      <c r="G28" s="53"/>
      <c r="H28" s="53"/>
      <c r="I28" s="53"/>
      <c r="J28" s="53">
        <v>13248607243.77</v>
      </c>
      <c r="K28" s="53">
        <v>216162133.50999999</v>
      </c>
      <c r="L28" s="53">
        <v>39283840.170000002</v>
      </c>
      <c r="M28" s="152">
        <v>176878293.34999999</v>
      </c>
      <c r="N28" s="20">
        <v>34058278415.389999</v>
      </c>
      <c r="O28" s="20">
        <v>249505803.97</v>
      </c>
      <c r="P28" s="30">
        <v>32339720108.25</v>
      </c>
      <c r="Q28" s="23">
        <f t="shared" si="15"/>
        <v>5.2192047130984076E-2</v>
      </c>
      <c r="R28" s="30">
        <v>33808772611.419998</v>
      </c>
      <c r="S28" s="23">
        <f t="shared" si="16"/>
        <v>5.5766262459506818E-2</v>
      </c>
      <c r="T28" s="24">
        <f t="shared" si="17"/>
        <v>4.5425640613235757E-2</v>
      </c>
      <c r="U28" s="59">
        <f>(L28/R28)</f>
        <v>1.1619422160487017E-3</v>
      </c>
      <c r="V28" s="25">
        <f t="shared" si="19"/>
        <v>5.231727734778922E-3</v>
      </c>
      <c r="W28" s="26">
        <f t="shared" si="20"/>
        <v>1.0052147745951663</v>
      </c>
      <c r="X28" s="26">
        <f t="shared" si="21"/>
        <v>5.2590100156590745E-3</v>
      </c>
      <c r="Y28" s="20">
        <v>1</v>
      </c>
      <c r="Z28" s="20">
        <v>1</v>
      </c>
      <c r="AA28" s="27">
        <v>20218</v>
      </c>
      <c r="AB28" s="20">
        <v>31787394767.560001</v>
      </c>
      <c r="AC28" s="20">
        <v>7448835207.0600004</v>
      </c>
      <c r="AD28" s="20">
        <v>5602847869.75</v>
      </c>
      <c r="AE28" s="150">
        <v>33633382104.869999</v>
      </c>
      <c r="AF28" s="5"/>
      <c r="AG28" s="5"/>
      <c r="AH28" s="5"/>
      <c r="AI28" s="5"/>
      <c r="AJ28" s="6"/>
      <c r="AK28" s="4"/>
      <c r="AL28" s="5"/>
      <c r="AM28" s="5"/>
      <c r="AN28" s="5"/>
      <c r="AO28" s="6"/>
      <c r="AP28" s="4"/>
      <c r="AQ28" s="5"/>
      <c r="AR28" s="5"/>
      <c r="AS28" s="5"/>
      <c r="AT28" s="6"/>
    </row>
    <row r="29" spans="1:256" ht="16.5" customHeight="1" x14ac:dyDescent="0.3">
      <c r="A29" s="172">
        <v>24</v>
      </c>
      <c r="B29" s="58" t="s">
        <v>63</v>
      </c>
      <c r="C29" s="58" t="s">
        <v>64</v>
      </c>
      <c r="D29" s="53"/>
      <c r="E29" s="53"/>
      <c r="F29" s="53">
        <v>1333582937.3</v>
      </c>
      <c r="G29" s="53"/>
      <c r="H29" s="53"/>
      <c r="I29" s="53"/>
      <c r="J29" s="53">
        <v>1333582937.3</v>
      </c>
      <c r="K29" s="53">
        <v>13234299.880000001</v>
      </c>
      <c r="L29" s="53">
        <v>3582250.8</v>
      </c>
      <c r="M29" s="152">
        <v>9652049.0800000001</v>
      </c>
      <c r="N29" s="20">
        <v>2321822450.9699998</v>
      </c>
      <c r="O29" s="20">
        <v>14287410.68</v>
      </c>
      <c r="P29" s="30">
        <v>2320971090.79</v>
      </c>
      <c r="Q29" s="23">
        <f t="shared" si="15"/>
        <v>3.7457415263547947E-3</v>
      </c>
      <c r="R29" s="30">
        <v>2321695617.77</v>
      </c>
      <c r="S29" s="23">
        <f t="shared" si="16"/>
        <v>3.8295471018641833E-3</v>
      </c>
      <c r="T29" s="24">
        <f t="shared" si="17"/>
        <v>3.1216544784855912E-4</v>
      </c>
      <c r="U29" s="59">
        <f t="shared" si="18"/>
        <v>1.5429459282180879E-3</v>
      </c>
      <c r="V29" s="25">
        <f t="shared" si="19"/>
        <v>4.157327517924525E-3</v>
      </c>
      <c r="W29" s="26">
        <f t="shared" si="20"/>
        <v>100.00000076538888</v>
      </c>
      <c r="X29" s="26">
        <f t="shared" si="21"/>
        <v>0.41573275497442475</v>
      </c>
      <c r="Y29" s="20">
        <v>100</v>
      </c>
      <c r="Z29" s="20">
        <v>100</v>
      </c>
      <c r="AA29" s="149">
        <v>539</v>
      </c>
      <c r="AB29" s="149">
        <v>23209711</v>
      </c>
      <c r="AC29" s="149">
        <v>1029496</v>
      </c>
      <c r="AD29" s="149">
        <v>1022251</v>
      </c>
      <c r="AE29" s="150">
        <v>23216956</v>
      </c>
      <c r="AF29" s="5"/>
      <c r="AG29" s="5"/>
      <c r="AH29" s="5"/>
      <c r="AI29" s="5"/>
      <c r="AJ29" s="6"/>
      <c r="AK29" s="4"/>
      <c r="AL29" s="5"/>
      <c r="AM29" s="5"/>
      <c r="AN29" s="5"/>
      <c r="AO29" s="6"/>
      <c r="AP29" s="4"/>
      <c r="AQ29" s="5"/>
      <c r="AR29" s="5"/>
      <c r="AS29" s="5"/>
      <c r="AT29" s="6"/>
    </row>
    <row r="30" spans="1:256" ht="18" customHeight="1" x14ac:dyDescent="0.3">
      <c r="A30" s="172">
        <v>25</v>
      </c>
      <c r="B30" s="58" t="s">
        <v>65</v>
      </c>
      <c r="C30" s="58" t="s">
        <v>66</v>
      </c>
      <c r="D30" s="53"/>
      <c r="E30" s="53"/>
      <c r="F30" s="53">
        <v>2890332906.8600001</v>
      </c>
      <c r="G30" s="53"/>
      <c r="H30" s="53"/>
      <c r="I30" s="53"/>
      <c r="J30" s="53">
        <v>2890332906.8600001</v>
      </c>
      <c r="K30" s="53">
        <v>32018184.91</v>
      </c>
      <c r="L30" s="53">
        <v>4405839.6900000004</v>
      </c>
      <c r="M30" s="152">
        <v>27612345.219999999</v>
      </c>
      <c r="N30" s="20">
        <v>5106465381.4700003</v>
      </c>
      <c r="O30" s="20">
        <v>57826881.469999999</v>
      </c>
      <c r="P30" s="30">
        <v>5104117500</v>
      </c>
      <c r="Q30" s="23">
        <f t="shared" si="15"/>
        <v>8.2373731198162811E-3</v>
      </c>
      <c r="R30" s="30">
        <v>5048638500</v>
      </c>
      <c r="S30" s="23">
        <f t="shared" si="16"/>
        <v>8.3275338886177244E-3</v>
      </c>
      <c r="T30" s="24">
        <f t="shared" si="17"/>
        <v>-1.086945980377607E-2</v>
      </c>
      <c r="U30" s="59">
        <f t="shared" si="18"/>
        <v>8.7267878062570741E-4</v>
      </c>
      <c r="V30" s="25">
        <f t="shared" si="19"/>
        <v>5.4692656683579142E-3</v>
      </c>
      <c r="W30" s="26">
        <f t="shared" si="20"/>
        <v>100</v>
      </c>
      <c r="X30" s="26">
        <f t="shared" si="21"/>
        <v>0.54692656683579144</v>
      </c>
      <c r="Y30" s="20">
        <v>100</v>
      </c>
      <c r="Z30" s="20">
        <v>100</v>
      </c>
      <c r="AA30" s="149">
        <v>5694</v>
      </c>
      <c r="AB30" s="149">
        <v>51041175</v>
      </c>
      <c r="AC30" s="149">
        <v>5530542</v>
      </c>
      <c r="AD30" s="149">
        <v>6085332</v>
      </c>
      <c r="AE30" s="150">
        <v>50486385</v>
      </c>
      <c r="AF30" s="5"/>
      <c r="AG30" s="5"/>
      <c r="AH30" s="5"/>
      <c r="AI30" s="5"/>
      <c r="AJ30" s="6"/>
      <c r="AK30" s="4"/>
      <c r="AL30" s="5"/>
      <c r="AM30" s="5"/>
      <c r="AN30" s="5"/>
      <c r="AO30" s="6"/>
      <c r="AP30" s="4"/>
      <c r="AQ30" s="5"/>
      <c r="AR30" s="5"/>
      <c r="AS30" s="5"/>
      <c r="AT30" s="6"/>
    </row>
    <row r="31" spans="1:256" ht="18" customHeight="1" x14ac:dyDescent="0.3">
      <c r="A31" s="172">
        <v>26</v>
      </c>
      <c r="B31" s="57" t="s">
        <v>46</v>
      </c>
      <c r="C31" s="57" t="s">
        <v>67</v>
      </c>
      <c r="D31" s="53"/>
      <c r="E31" s="53"/>
      <c r="F31" s="53">
        <v>687229091.39999998</v>
      </c>
      <c r="G31" s="53"/>
      <c r="H31" s="53"/>
      <c r="I31" s="53"/>
      <c r="J31" s="53">
        <v>687229091.39999998</v>
      </c>
      <c r="K31" s="53">
        <v>4790855.99</v>
      </c>
      <c r="L31" s="53">
        <v>726036.75</v>
      </c>
      <c r="M31" s="152">
        <v>4064819.24</v>
      </c>
      <c r="N31" s="20">
        <v>709591219.63999999</v>
      </c>
      <c r="O31" s="20">
        <v>2223384.96</v>
      </c>
      <c r="P31" s="30">
        <v>809321967.14999998</v>
      </c>
      <c r="Q31" s="23">
        <f t="shared" si="15"/>
        <v>1.3061390176613773E-3</v>
      </c>
      <c r="R31" s="30">
        <v>707367834.69000006</v>
      </c>
      <c r="S31" s="23">
        <f t="shared" si="16"/>
        <v>1.1667758773180365E-3</v>
      </c>
      <c r="T31" s="24">
        <f t="shared" si="17"/>
        <v>-0.12597474997376873</v>
      </c>
      <c r="U31" s="59">
        <f t="shared" si="18"/>
        <v>1.0263920896518874E-3</v>
      </c>
      <c r="V31" s="25">
        <f t="shared" si="19"/>
        <v>5.7464010104182704E-3</v>
      </c>
      <c r="W31" s="26">
        <f t="shared" si="20"/>
        <v>10.030013631031172</v>
      </c>
      <c r="X31" s="26">
        <f t="shared" si="21"/>
        <v>5.7636480463866546E-2</v>
      </c>
      <c r="Y31" s="20">
        <v>10</v>
      </c>
      <c r="Z31" s="20">
        <v>10</v>
      </c>
      <c r="AA31" s="149">
        <v>485</v>
      </c>
      <c r="AB31" s="149">
        <v>80749484</v>
      </c>
      <c r="AC31" s="149">
        <v>7367739</v>
      </c>
      <c r="AD31" s="149">
        <v>17592111</v>
      </c>
      <c r="AE31" s="150">
        <v>70525112</v>
      </c>
      <c r="AF31" s="5"/>
      <c r="AG31" s="5"/>
      <c r="AH31" s="5"/>
      <c r="AI31" s="5"/>
      <c r="AJ31" s="6"/>
      <c r="AK31" s="4"/>
      <c r="AL31" s="5"/>
      <c r="AM31" s="5"/>
      <c r="AN31" s="5"/>
      <c r="AO31" s="6"/>
      <c r="AP31" s="4"/>
      <c r="AQ31" s="5"/>
      <c r="AR31" s="5"/>
      <c r="AS31" s="5"/>
      <c r="AT31" s="6"/>
    </row>
    <row r="32" spans="1:256" ht="18" customHeight="1" x14ac:dyDescent="0.3">
      <c r="A32" s="172">
        <v>27</v>
      </c>
      <c r="B32" s="57" t="s">
        <v>29</v>
      </c>
      <c r="C32" s="57" t="s">
        <v>68</v>
      </c>
      <c r="D32" s="53"/>
      <c r="E32" s="53"/>
      <c r="F32" s="53">
        <v>2167184820.9899998</v>
      </c>
      <c r="G32" s="53"/>
      <c r="H32" s="53"/>
      <c r="I32" s="53"/>
      <c r="J32" s="53">
        <v>2189587964.6100001</v>
      </c>
      <c r="K32" s="53">
        <v>12487807.84</v>
      </c>
      <c r="L32" s="53">
        <v>3566485.61</v>
      </c>
      <c r="M32" s="152">
        <v>8921322.2300000004</v>
      </c>
      <c r="N32" s="20">
        <v>2189587964.6100001</v>
      </c>
      <c r="O32" s="20">
        <v>10204327.609999999</v>
      </c>
      <c r="P32" s="30">
        <v>1779052654.79</v>
      </c>
      <c r="Q32" s="23">
        <f t="shared" si="15"/>
        <v>2.8711565745312365E-3</v>
      </c>
      <c r="R32" s="30">
        <v>2179383637</v>
      </c>
      <c r="S32" s="23">
        <f t="shared" si="16"/>
        <v>3.5948089952204838E-3</v>
      </c>
      <c r="T32" s="24">
        <f t="shared" si="17"/>
        <v>0.22502480808093633</v>
      </c>
      <c r="U32" s="59">
        <f t="shared" si="18"/>
        <v>1.6364652599252308E-3</v>
      </c>
      <c r="V32" s="25">
        <f t="shared" si="19"/>
        <v>4.0935070258123632E-3</v>
      </c>
      <c r="W32" s="26">
        <f t="shared" si="20"/>
        <v>100</v>
      </c>
      <c r="X32" s="26">
        <f t="shared" si="21"/>
        <v>0.40935070258123629</v>
      </c>
      <c r="Y32" s="20">
        <v>100</v>
      </c>
      <c r="Z32" s="20">
        <v>100</v>
      </c>
      <c r="AA32" s="149">
        <v>1361</v>
      </c>
      <c r="AB32" s="149">
        <v>17790526.550000001</v>
      </c>
      <c r="AC32" s="149">
        <v>5412154.4299999997</v>
      </c>
      <c r="AD32" s="149">
        <v>1408844.61</v>
      </c>
      <c r="AE32" s="150">
        <v>21793836.370000001</v>
      </c>
      <c r="AF32" s="5"/>
      <c r="AG32" s="5"/>
      <c r="AH32" s="5"/>
      <c r="AI32" s="5"/>
      <c r="AJ32" s="6"/>
      <c r="AK32" s="4"/>
      <c r="AL32" s="5"/>
      <c r="AM32" s="5"/>
      <c r="AN32" s="5"/>
      <c r="AO32" s="6"/>
      <c r="AP32" s="4"/>
      <c r="AQ32" s="5"/>
      <c r="AR32" s="5"/>
      <c r="AS32" s="5"/>
      <c r="AT32" s="6"/>
    </row>
    <row r="33" spans="1:256" ht="16.5" customHeight="1" x14ac:dyDescent="0.3">
      <c r="A33" s="172">
        <v>28</v>
      </c>
      <c r="B33" s="58" t="s">
        <v>44</v>
      </c>
      <c r="C33" s="58" t="s">
        <v>69</v>
      </c>
      <c r="D33" s="53"/>
      <c r="E33" s="53"/>
      <c r="F33" s="53">
        <v>18413321272.360001</v>
      </c>
      <c r="G33" s="53"/>
      <c r="H33" s="53"/>
      <c r="I33" s="53"/>
      <c r="J33" s="53">
        <v>18413321272.360001</v>
      </c>
      <c r="K33" s="53">
        <v>97152159.719999999</v>
      </c>
      <c r="L33" s="53">
        <v>29283817.359999999</v>
      </c>
      <c r="M33" s="152">
        <v>67868342.359999999</v>
      </c>
      <c r="N33" s="20">
        <v>18426105165.860001</v>
      </c>
      <c r="O33" s="20">
        <v>115000224.55</v>
      </c>
      <c r="P33" s="30">
        <v>17385809181.25</v>
      </c>
      <c r="Q33" s="23">
        <f t="shared" si="15"/>
        <v>2.8058405241627737E-2</v>
      </c>
      <c r="R33" s="30">
        <v>18311104941.310001</v>
      </c>
      <c r="S33" s="23">
        <f t="shared" si="16"/>
        <v>3.0203459197325082E-2</v>
      </c>
      <c r="T33" s="24">
        <f t="shared" si="17"/>
        <v>5.3221322655370058E-2</v>
      </c>
      <c r="U33" s="59">
        <f t="shared" si="18"/>
        <v>1.5992381373958198E-3</v>
      </c>
      <c r="V33" s="25">
        <f t="shared" si="19"/>
        <v>3.7064034408370665E-3</v>
      </c>
      <c r="W33" s="26">
        <f t="shared" si="20"/>
        <v>100.00000000169297</v>
      </c>
      <c r="X33" s="26">
        <f t="shared" si="21"/>
        <v>0.37064034408998148</v>
      </c>
      <c r="Y33" s="20">
        <v>100</v>
      </c>
      <c r="Z33" s="20">
        <v>100</v>
      </c>
      <c r="AA33" s="149">
        <v>5680</v>
      </c>
      <c r="AB33" s="149">
        <v>173850948.41</v>
      </c>
      <c r="AC33" s="149">
        <v>17113411.859999999</v>
      </c>
      <c r="AD33" s="149">
        <v>7853310.8600000003</v>
      </c>
      <c r="AE33" s="150">
        <v>183111049.41</v>
      </c>
      <c r="AF33" s="5"/>
      <c r="AG33" s="5"/>
      <c r="AH33" s="5"/>
      <c r="AI33" s="5"/>
      <c r="AJ33" s="6"/>
      <c r="AK33" s="4"/>
      <c r="AL33" s="5"/>
      <c r="AM33" s="5"/>
      <c r="AN33" s="5"/>
      <c r="AO33" s="6"/>
      <c r="AP33" s="4"/>
      <c r="AQ33" s="5"/>
      <c r="AR33" s="5"/>
      <c r="AS33" s="5"/>
      <c r="AT33" s="6"/>
    </row>
    <row r="34" spans="1:256" ht="16.5" customHeight="1" x14ac:dyDescent="0.3">
      <c r="A34" s="172">
        <v>29</v>
      </c>
      <c r="B34" s="58" t="s">
        <v>70</v>
      </c>
      <c r="C34" s="58" t="s">
        <v>169</v>
      </c>
      <c r="D34" s="53"/>
      <c r="E34" s="53"/>
      <c r="F34" s="53">
        <v>4833809937.7200003</v>
      </c>
      <c r="G34" s="53"/>
      <c r="H34" s="53"/>
      <c r="I34" s="53"/>
      <c r="J34" s="53">
        <v>11782104409.559999</v>
      </c>
      <c r="K34" s="53">
        <v>75791814.359999999</v>
      </c>
      <c r="L34" s="53">
        <v>17783074.870000001</v>
      </c>
      <c r="M34" s="152">
        <v>58008739.490000002</v>
      </c>
      <c r="N34" s="20">
        <v>11782104409.559999</v>
      </c>
      <c r="O34" s="20">
        <v>66417027.229999997</v>
      </c>
      <c r="P34" s="30">
        <v>11280582283.190001</v>
      </c>
      <c r="Q34" s="23">
        <f t="shared" si="15"/>
        <v>1.8205373460823557E-2</v>
      </c>
      <c r="R34" s="30">
        <v>11715687382.33</v>
      </c>
      <c r="S34" s="23">
        <f t="shared" si="16"/>
        <v>1.9324573091300586E-2</v>
      </c>
      <c r="T34" s="24">
        <f t="shared" si="17"/>
        <v>3.8571156011013769E-2</v>
      </c>
      <c r="U34" s="59">
        <f t="shared" si="18"/>
        <v>1.5178857449560357E-3</v>
      </c>
      <c r="V34" s="25">
        <f>M34/R34</f>
        <v>4.951373111704121E-3</v>
      </c>
      <c r="W34" s="26">
        <f t="shared" si="20"/>
        <v>99.999999849176589</v>
      </c>
      <c r="X34" s="26">
        <f t="shared" si="21"/>
        <v>0.49513731042362913</v>
      </c>
      <c r="Y34" s="20">
        <v>100</v>
      </c>
      <c r="Z34" s="20">
        <v>100</v>
      </c>
      <c r="AA34" s="149">
        <v>2371</v>
      </c>
      <c r="AB34" s="149">
        <v>112805823</v>
      </c>
      <c r="AC34" s="149">
        <v>11306230</v>
      </c>
      <c r="AD34" s="149">
        <v>6955179</v>
      </c>
      <c r="AE34" s="150">
        <v>117156874</v>
      </c>
      <c r="AF34" s="5"/>
      <c r="AG34" s="5"/>
      <c r="AH34" s="5"/>
      <c r="AI34" s="5"/>
      <c r="AJ34" s="6"/>
      <c r="AK34" s="4"/>
      <c r="AL34" s="5"/>
      <c r="AM34" s="5"/>
      <c r="AN34" s="5"/>
      <c r="AO34" s="6"/>
      <c r="AP34" s="4"/>
      <c r="AQ34" s="5"/>
      <c r="AR34" s="5"/>
      <c r="AS34" s="5"/>
      <c r="AT34" s="6"/>
    </row>
    <row r="35" spans="1:256" ht="16.5" customHeight="1" x14ac:dyDescent="0.3">
      <c r="A35" s="172">
        <v>30</v>
      </c>
      <c r="B35" s="58" t="s">
        <v>70</v>
      </c>
      <c r="C35" s="58" t="s">
        <v>71</v>
      </c>
      <c r="D35" s="53"/>
      <c r="E35" s="53"/>
      <c r="F35" s="53">
        <v>200913907.71000001</v>
      </c>
      <c r="G35" s="53"/>
      <c r="H35" s="53"/>
      <c r="I35" s="53"/>
      <c r="J35" s="53">
        <v>390183858.91000003</v>
      </c>
      <c r="K35" s="53">
        <v>2108405.09</v>
      </c>
      <c r="L35" s="53">
        <v>360625.25</v>
      </c>
      <c r="M35" s="152">
        <v>1747779.84</v>
      </c>
      <c r="N35" s="20">
        <v>390183858.91000003</v>
      </c>
      <c r="O35" s="20">
        <v>1436782.35</v>
      </c>
      <c r="P35" s="30">
        <v>412317412.24000001</v>
      </c>
      <c r="Q35" s="23">
        <f t="shared" si="15"/>
        <v>6.6542597587496458E-4</v>
      </c>
      <c r="R35" s="30">
        <v>388747076.56</v>
      </c>
      <c r="S35" s="23">
        <f t="shared" si="16"/>
        <v>6.4122326329256278E-4</v>
      </c>
      <c r="T35" s="24">
        <f t="shared" si="17"/>
        <v>-5.7165511279160544E-2</v>
      </c>
      <c r="U35" s="59">
        <f t="shared" si="18"/>
        <v>9.2766035230708766E-4</v>
      </c>
      <c r="V35" s="25">
        <f>M35/R35</f>
        <v>4.4959305043937589E-3</v>
      </c>
      <c r="W35" s="26">
        <f t="shared" si="20"/>
        <v>999349.81120822625</v>
      </c>
      <c r="X35" s="26">
        <f>M35/AE35</f>
        <v>4493.0073007712081</v>
      </c>
      <c r="Y35" s="20">
        <v>1000000</v>
      </c>
      <c r="Z35" s="20">
        <v>1000000</v>
      </c>
      <c r="AA35" s="149">
        <v>10</v>
      </c>
      <c r="AB35" s="149">
        <v>412</v>
      </c>
      <c r="AC35" s="149">
        <v>30</v>
      </c>
      <c r="AD35" s="149">
        <v>53</v>
      </c>
      <c r="AE35" s="150">
        <v>389</v>
      </c>
      <c r="AF35" s="5"/>
      <c r="AG35" s="5"/>
      <c r="AH35" s="5"/>
      <c r="AI35" s="5"/>
      <c r="AJ35" s="6"/>
      <c r="AK35" s="4"/>
      <c r="AL35" s="5"/>
      <c r="AM35" s="5"/>
      <c r="AN35" s="5"/>
      <c r="AO35" s="6"/>
      <c r="AP35" s="4"/>
      <c r="AQ35" s="5"/>
      <c r="AR35" s="5"/>
      <c r="AS35" s="5"/>
      <c r="AT35" s="6"/>
    </row>
    <row r="36" spans="1:256" ht="16.5" customHeight="1" x14ac:dyDescent="0.3">
      <c r="A36" s="172">
        <v>31</v>
      </c>
      <c r="B36" s="58" t="s">
        <v>72</v>
      </c>
      <c r="C36" s="58" t="s">
        <v>73</v>
      </c>
      <c r="D36" s="53"/>
      <c r="E36" s="53"/>
      <c r="F36" s="53">
        <v>2339635782.6799998</v>
      </c>
      <c r="G36" s="53"/>
      <c r="H36" s="53"/>
      <c r="I36" s="53"/>
      <c r="J36" s="53">
        <v>2339635782.6799998</v>
      </c>
      <c r="K36" s="53">
        <v>31190128.02</v>
      </c>
      <c r="L36" s="53">
        <v>7005156.1900000004</v>
      </c>
      <c r="M36" s="152">
        <v>24184971.829999998</v>
      </c>
      <c r="N36" s="20">
        <v>5378806966.6700001</v>
      </c>
      <c r="O36" s="20">
        <v>22297767.039999999</v>
      </c>
      <c r="P36" s="30">
        <v>5442847808.1400003</v>
      </c>
      <c r="Q36" s="23">
        <f t="shared" si="15"/>
        <v>8.7840392056067283E-3</v>
      </c>
      <c r="R36" s="30">
        <v>5356509199.6300001</v>
      </c>
      <c r="S36" s="23">
        <f t="shared" si="16"/>
        <v>8.8353546970359291E-3</v>
      </c>
      <c r="T36" s="24">
        <f t="shared" si="17"/>
        <v>-1.5862763676926135E-2</v>
      </c>
      <c r="U36" s="59">
        <f t="shared" si="18"/>
        <v>1.3077838437174495E-3</v>
      </c>
      <c r="V36" s="25">
        <f t="shared" si="19"/>
        <v>4.5150621288339377E-3</v>
      </c>
      <c r="W36" s="26">
        <f t="shared" si="20"/>
        <v>1.003232198166307</v>
      </c>
      <c r="X36" s="26">
        <f t="shared" si="21"/>
        <v>4.5296557043675162E-3</v>
      </c>
      <c r="Y36" s="20">
        <v>1</v>
      </c>
      <c r="Z36" s="20">
        <v>1</v>
      </c>
      <c r="AA36" s="149">
        <v>1539</v>
      </c>
      <c r="AB36" s="149">
        <v>5351761976.9200001</v>
      </c>
      <c r="AC36" s="149">
        <v>893314777.64999998</v>
      </c>
      <c r="AD36" s="149">
        <v>905825074.42999995</v>
      </c>
      <c r="AE36" s="150">
        <v>5339251680.1400003</v>
      </c>
      <c r="AF36" s="5"/>
      <c r="AG36" s="5"/>
      <c r="AH36" s="5"/>
      <c r="AI36" s="5"/>
      <c r="AJ36" s="6"/>
      <c r="AK36" s="4"/>
      <c r="AL36" s="5"/>
      <c r="AM36" s="5"/>
      <c r="AN36" s="5"/>
      <c r="AO36" s="6"/>
      <c r="AP36" s="4"/>
      <c r="AQ36" s="5"/>
      <c r="AR36" s="5"/>
      <c r="AS36" s="5"/>
      <c r="AT36" s="6"/>
    </row>
    <row r="37" spans="1:256" ht="16.5" customHeight="1" x14ac:dyDescent="0.3">
      <c r="A37" s="172">
        <v>32</v>
      </c>
      <c r="B37" s="58" t="s">
        <v>74</v>
      </c>
      <c r="C37" s="58" t="s">
        <v>75</v>
      </c>
      <c r="D37" s="53"/>
      <c r="E37" s="53"/>
      <c r="F37" s="53">
        <v>16981450888.58</v>
      </c>
      <c r="G37" s="53"/>
      <c r="H37" s="53"/>
      <c r="I37" s="53"/>
      <c r="J37" s="53">
        <v>16981450888.58</v>
      </c>
      <c r="K37" s="184">
        <v>90964871.530000001</v>
      </c>
      <c r="L37" s="184">
        <v>18485202.899999999</v>
      </c>
      <c r="M37" s="152">
        <v>72479668.629999995</v>
      </c>
      <c r="N37" s="184">
        <v>17317976599.52</v>
      </c>
      <c r="O37" s="184">
        <v>18484431.41</v>
      </c>
      <c r="P37" s="30">
        <v>14942348746.6</v>
      </c>
      <c r="Q37" s="23">
        <f t="shared" si="15"/>
        <v>2.4114982053638722E-2</v>
      </c>
      <c r="R37" s="30">
        <v>17299492168.110001</v>
      </c>
      <c r="S37" s="23">
        <f t="shared" si="16"/>
        <v>2.8534843064286133E-2</v>
      </c>
      <c r="T37" s="24">
        <f t="shared" si="17"/>
        <v>0.15774919067167051</v>
      </c>
      <c r="U37" s="59">
        <f t="shared" si="18"/>
        <v>1.0685402045544287E-3</v>
      </c>
      <c r="V37" s="25">
        <f t="shared" si="19"/>
        <v>4.1896992076801828E-3</v>
      </c>
      <c r="W37" s="26">
        <f t="shared" si="20"/>
        <v>1.0060750459238827</v>
      </c>
      <c r="X37" s="26">
        <f t="shared" si="21"/>
        <v>4.2151518227740948E-3</v>
      </c>
      <c r="Y37" s="20">
        <v>1</v>
      </c>
      <c r="Z37" s="20">
        <v>1</v>
      </c>
      <c r="AA37" s="149">
        <v>2582</v>
      </c>
      <c r="AB37" s="184">
        <v>14724313801.93</v>
      </c>
      <c r="AC37" s="184">
        <v>4009083684.02</v>
      </c>
      <c r="AD37" s="184">
        <v>1538365924.24</v>
      </c>
      <c r="AE37" s="150">
        <v>17195031561.709999</v>
      </c>
      <c r="AF37" s="5"/>
      <c r="AG37" s="5"/>
      <c r="AH37" s="5"/>
      <c r="AI37" s="5"/>
      <c r="AJ37" s="6"/>
      <c r="AK37" s="4"/>
      <c r="AL37" s="5"/>
      <c r="AM37" s="5"/>
      <c r="AN37" s="5"/>
      <c r="AO37" s="6"/>
      <c r="AP37" s="4"/>
      <c r="AQ37" s="5"/>
      <c r="AR37" s="5"/>
      <c r="AS37" s="5"/>
      <c r="AT37" s="6"/>
    </row>
    <row r="38" spans="1:256" ht="16.5" customHeight="1" x14ac:dyDescent="0.3">
      <c r="A38" s="172">
        <v>33</v>
      </c>
      <c r="B38" s="58" t="s">
        <v>31</v>
      </c>
      <c r="C38" s="58" t="s">
        <v>76</v>
      </c>
      <c r="D38" s="53"/>
      <c r="E38" s="53"/>
      <c r="F38" s="53">
        <v>584887839.92999995</v>
      </c>
      <c r="G38" s="53"/>
      <c r="H38" s="53"/>
      <c r="I38" s="53"/>
      <c r="J38" s="53">
        <v>584887839.92999995</v>
      </c>
      <c r="K38" s="53">
        <v>4035730.66</v>
      </c>
      <c r="L38" s="53">
        <v>1271757.6299999999</v>
      </c>
      <c r="M38" s="152">
        <v>2763973.03</v>
      </c>
      <c r="N38" s="20">
        <v>608883546.62</v>
      </c>
      <c r="O38" s="20">
        <v>14628437.439999999</v>
      </c>
      <c r="P38" s="30">
        <v>584032824.50999999</v>
      </c>
      <c r="Q38" s="23">
        <f t="shared" si="15"/>
        <v>9.4255202583190003E-4</v>
      </c>
      <c r="R38" s="30">
        <v>594255109.17999995</v>
      </c>
      <c r="S38" s="23">
        <f t="shared" si="16"/>
        <v>9.8020081259148897E-4</v>
      </c>
      <c r="T38" s="24">
        <f t="shared" si="17"/>
        <v>1.7502928330400593E-2</v>
      </c>
      <c r="U38" s="59">
        <f t="shared" si="18"/>
        <v>2.1400869935386357E-3</v>
      </c>
      <c r="V38" s="25">
        <f t="shared" si="19"/>
        <v>4.6511556860048672E-3</v>
      </c>
      <c r="W38" s="26">
        <f t="shared" si="20"/>
        <v>102.92769561376768</v>
      </c>
      <c r="X38" s="26">
        <f t="shared" si="21"/>
        <v>0.47873273670135374</v>
      </c>
      <c r="Y38" s="20">
        <v>100</v>
      </c>
      <c r="Z38" s="20">
        <v>100</v>
      </c>
      <c r="AA38" s="149">
        <v>613</v>
      </c>
      <c r="AB38" s="149">
        <v>5684120</v>
      </c>
      <c r="AC38" s="149">
        <v>169550</v>
      </c>
      <c r="AD38" s="149">
        <v>80150</v>
      </c>
      <c r="AE38" s="150">
        <v>5773520</v>
      </c>
      <c r="AF38" s="5"/>
      <c r="AG38" s="5"/>
      <c r="AH38" s="5"/>
      <c r="AI38" s="5"/>
      <c r="AJ38" s="6"/>
      <c r="AK38" s="4"/>
      <c r="AL38" s="5"/>
      <c r="AM38" s="5"/>
      <c r="AN38" s="5"/>
      <c r="AO38" s="6"/>
      <c r="AP38" s="4"/>
      <c r="AQ38" s="5"/>
      <c r="AR38" s="5"/>
      <c r="AS38" s="5"/>
      <c r="AT38" s="6"/>
    </row>
    <row r="39" spans="1:256" ht="16.5" customHeight="1" x14ac:dyDescent="0.3">
      <c r="A39" s="172">
        <v>34</v>
      </c>
      <c r="B39" s="58" t="s">
        <v>25</v>
      </c>
      <c r="C39" s="58" t="s">
        <v>77</v>
      </c>
      <c r="D39" s="53"/>
      <c r="E39" s="53"/>
      <c r="F39" s="53">
        <v>4601424088.4499998</v>
      </c>
      <c r="G39" s="53"/>
      <c r="H39" s="53"/>
      <c r="I39" s="53"/>
      <c r="J39" s="53">
        <v>4595607288.0699997</v>
      </c>
      <c r="K39" s="153">
        <v>23568547.530000001</v>
      </c>
      <c r="L39" s="53">
        <v>5104441.08</v>
      </c>
      <c r="M39" s="152">
        <v>18464106.449999999</v>
      </c>
      <c r="N39" s="20">
        <v>4595607288.0699997</v>
      </c>
      <c r="O39" s="20">
        <v>7236006.3700000001</v>
      </c>
      <c r="P39" s="30">
        <v>4556127119.1000004</v>
      </c>
      <c r="Q39" s="23">
        <f t="shared" si="15"/>
        <v>7.352988848971509E-3</v>
      </c>
      <c r="R39" s="30">
        <v>4588371281.6999998</v>
      </c>
      <c r="S39" s="23">
        <f t="shared" si="16"/>
        <v>7.5683409184311955E-3</v>
      </c>
      <c r="T39" s="24">
        <f t="shared" si="17"/>
        <v>7.0770989827800973E-3</v>
      </c>
      <c r="U39" s="59">
        <f t="shared" si="18"/>
        <v>1.1124734173884889E-3</v>
      </c>
      <c r="V39" s="25">
        <f t="shared" si="19"/>
        <v>4.024109061017184E-3</v>
      </c>
      <c r="W39" s="26">
        <f t="shared" si="20"/>
        <v>0.99041809900913125</v>
      </c>
      <c r="X39" s="26">
        <f t="shared" si="21"/>
        <v>3.9855504464180597E-3</v>
      </c>
      <c r="Y39" s="20">
        <v>0.99</v>
      </c>
      <c r="Z39" s="20">
        <v>0.99</v>
      </c>
      <c r="AA39" s="155">
        <v>829</v>
      </c>
      <c r="AB39" s="155">
        <v>4601616404</v>
      </c>
      <c r="AC39" s="155">
        <v>256712511</v>
      </c>
      <c r="AD39" s="155">
        <v>225566967</v>
      </c>
      <c r="AE39" s="150">
        <v>4632761948</v>
      </c>
      <c r="AF39" s="5"/>
      <c r="AG39" s="5"/>
      <c r="AH39" s="5"/>
      <c r="AI39" s="5"/>
      <c r="AJ39" s="6"/>
      <c r="AK39" s="4"/>
      <c r="AL39" s="5"/>
      <c r="AM39" s="5"/>
      <c r="AN39" s="5"/>
      <c r="AO39" s="6"/>
      <c r="AP39" s="4"/>
      <c r="AQ39" s="5"/>
      <c r="AR39" s="5"/>
      <c r="AS39" s="5"/>
      <c r="AT39" s="6"/>
    </row>
    <row r="40" spans="1:256" ht="16.5" customHeight="1" x14ac:dyDescent="0.3">
      <c r="A40" s="172">
        <v>35</v>
      </c>
      <c r="B40" s="58" t="s">
        <v>78</v>
      </c>
      <c r="C40" s="58" t="s">
        <v>79</v>
      </c>
      <c r="D40" s="53"/>
      <c r="E40" s="53"/>
      <c r="F40" s="53">
        <v>246789632.87</v>
      </c>
      <c r="G40" s="53"/>
      <c r="H40" s="53"/>
      <c r="I40" s="53"/>
      <c r="J40" s="53">
        <v>638749224.45000005</v>
      </c>
      <c r="K40" s="53">
        <v>3880744.22</v>
      </c>
      <c r="L40" s="53">
        <v>1373700</v>
      </c>
      <c r="M40" s="152">
        <v>2507044.2200000002</v>
      </c>
      <c r="N40" s="20">
        <v>644260183.66999996</v>
      </c>
      <c r="O40" s="20">
        <v>4174360.85</v>
      </c>
      <c r="P40" s="30">
        <v>658016808.34000003</v>
      </c>
      <c r="Q40" s="23">
        <f t="shared" si="15"/>
        <v>1.0619524275072465E-3</v>
      </c>
      <c r="R40" s="30">
        <v>640085822.82000005</v>
      </c>
      <c r="S40" s="23">
        <f t="shared" si="16"/>
        <v>1.0557968016837234E-3</v>
      </c>
      <c r="T40" s="24">
        <f t="shared" si="17"/>
        <v>-2.7250041781204722E-2</v>
      </c>
      <c r="U40" s="59">
        <f t="shared" si="18"/>
        <v>2.1461184594714906E-3</v>
      </c>
      <c r="V40" s="25">
        <f t="shared" si="19"/>
        <v>3.9167313672951194E-3</v>
      </c>
      <c r="W40" s="26">
        <f t="shared" si="20"/>
        <v>9.9743056261627867</v>
      </c>
      <c r="X40" s="26">
        <f t="shared" si="21"/>
        <v>3.9066675712979969E-2</v>
      </c>
      <c r="Y40" s="20">
        <v>10</v>
      </c>
      <c r="Z40" s="20">
        <v>10</v>
      </c>
      <c r="AA40" s="149">
        <v>283</v>
      </c>
      <c r="AB40" s="149">
        <v>65832637</v>
      </c>
      <c r="AC40" s="149">
        <v>2263955</v>
      </c>
      <c r="AD40" s="149">
        <v>3923120</v>
      </c>
      <c r="AE40" s="150">
        <v>64173472</v>
      </c>
      <c r="AF40" s="5"/>
      <c r="AG40" s="5"/>
      <c r="AH40" s="5"/>
      <c r="AI40" s="5"/>
      <c r="AJ40" s="6"/>
      <c r="AK40" s="4"/>
      <c r="AL40" s="5"/>
      <c r="AM40" s="5"/>
      <c r="AN40" s="5"/>
      <c r="AO40" s="6"/>
      <c r="AP40" s="4"/>
      <c r="AQ40" s="5"/>
      <c r="AR40" s="5"/>
      <c r="AS40" s="5"/>
      <c r="AT40" s="6"/>
    </row>
    <row r="41" spans="1:256" ht="16.5" customHeight="1" x14ac:dyDescent="0.3">
      <c r="A41" s="172">
        <v>36</v>
      </c>
      <c r="B41" s="58" t="s">
        <v>80</v>
      </c>
      <c r="C41" s="58" t="s">
        <v>81</v>
      </c>
      <c r="D41" s="53"/>
      <c r="E41" s="53"/>
      <c r="F41" s="53">
        <v>509565145.36000001</v>
      </c>
      <c r="G41" s="53"/>
      <c r="H41" s="53"/>
      <c r="I41" s="53"/>
      <c r="J41" s="53">
        <v>550734100.15999997</v>
      </c>
      <c r="K41" s="53">
        <v>3813622.09</v>
      </c>
      <c r="L41" s="53">
        <v>1163413.6000000001</v>
      </c>
      <c r="M41" s="152">
        <v>2650208.4900000002</v>
      </c>
      <c r="N41" s="20">
        <v>620759087.78999996</v>
      </c>
      <c r="O41" s="20">
        <v>1912256.47</v>
      </c>
      <c r="P41" s="30">
        <v>615362735.03999996</v>
      </c>
      <c r="Q41" s="23">
        <f t="shared" si="15"/>
        <v>9.9311437335741662E-4</v>
      </c>
      <c r="R41" s="30">
        <v>618846831.32000005</v>
      </c>
      <c r="S41" s="23">
        <f t="shared" si="16"/>
        <v>1.0207639068792501E-3</v>
      </c>
      <c r="T41" s="24">
        <f t="shared" si="17"/>
        <v>5.6618577655236412E-3</v>
      </c>
      <c r="U41" s="59">
        <f t="shared" si="18"/>
        <v>1.8799701979865346E-3</v>
      </c>
      <c r="V41" s="25">
        <f t="shared" si="19"/>
        <v>4.2824950470330544E-3</v>
      </c>
      <c r="W41" s="26">
        <f t="shared" si="20"/>
        <v>1.00434459421418</v>
      </c>
      <c r="X41" s="26">
        <f t="shared" si="21"/>
        <v>4.3011007502366484E-3</v>
      </c>
      <c r="Y41" s="20">
        <v>1</v>
      </c>
      <c r="Z41" s="20">
        <v>1</v>
      </c>
      <c r="AA41" s="149">
        <v>147</v>
      </c>
      <c r="AB41" s="149">
        <v>608768298.47000003</v>
      </c>
      <c r="AC41" s="149">
        <v>14697525</v>
      </c>
      <c r="AD41" s="149">
        <v>7296000</v>
      </c>
      <c r="AE41" s="150">
        <v>616169823.47000003</v>
      </c>
      <c r="AF41" s="5"/>
      <c r="AG41" s="5"/>
      <c r="AH41" s="5"/>
      <c r="AI41" s="5"/>
      <c r="AJ41" s="6"/>
      <c r="AK41" s="4"/>
      <c r="AL41" s="5"/>
      <c r="AM41" s="5"/>
      <c r="AN41" s="5"/>
      <c r="AO41" s="6"/>
      <c r="AP41" s="4"/>
      <c r="AQ41" s="5"/>
      <c r="AR41" s="5"/>
      <c r="AS41" s="5"/>
      <c r="AT41" s="6"/>
    </row>
    <row r="42" spans="1:256" ht="16.5" customHeight="1" x14ac:dyDescent="0.3">
      <c r="A42" s="172">
        <v>37</v>
      </c>
      <c r="B42" s="58" t="s">
        <v>82</v>
      </c>
      <c r="C42" s="58" t="s">
        <v>151</v>
      </c>
      <c r="D42" s="53"/>
      <c r="E42" s="53"/>
      <c r="F42" s="53">
        <v>5625869603.9799995</v>
      </c>
      <c r="G42" s="53"/>
      <c r="H42" s="53"/>
      <c r="I42" s="53"/>
      <c r="J42" s="53">
        <v>5625869603.9799995</v>
      </c>
      <c r="K42" s="53">
        <v>38164665.280000001</v>
      </c>
      <c r="L42" s="53">
        <v>8431302.9100000001</v>
      </c>
      <c r="M42" s="152">
        <v>30700669.300000001</v>
      </c>
      <c r="N42" s="20">
        <v>5684664230.6099997</v>
      </c>
      <c r="O42" s="20">
        <v>124952902.5</v>
      </c>
      <c r="P42" s="30">
        <v>5693630572.0299997</v>
      </c>
      <c r="Q42" s="23">
        <f t="shared" si="15"/>
        <v>9.1887695430608943E-3</v>
      </c>
      <c r="R42" s="30">
        <v>5559711328.1099997</v>
      </c>
      <c r="S42" s="23">
        <f t="shared" si="16"/>
        <v>9.1705287466646458E-3</v>
      </c>
      <c r="T42" s="24">
        <f>((R42-P42)/P42)</f>
        <v>-2.3520887459379487E-2</v>
      </c>
      <c r="U42" s="59">
        <f t="shared" si="18"/>
        <v>1.5165001224741979E-3</v>
      </c>
      <c r="V42" s="25">
        <f>M42/R42</f>
        <v>5.5219898099343519E-3</v>
      </c>
      <c r="W42" s="26">
        <f t="shared" si="20"/>
        <v>100.00000000197851</v>
      </c>
      <c r="X42" s="26">
        <f t="shared" si="21"/>
        <v>0.55219898100436049</v>
      </c>
      <c r="Y42" s="20">
        <v>100</v>
      </c>
      <c r="Z42" s="20">
        <v>100</v>
      </c>
      <c r="AA42" s="149">
        <v>1260</v>
      </c>
      <c r="AB42" s="149">
        <v>56936305.719999999</v>
      </c>
      <c r="AC42" s="149">
        <v>2732673.78</v>
      </c>
      <c r="AD42" s="149">
        <v>4071866.22</v>
      </c>
      <c r="AE42" s="150">
        <v>55597113.280000001</v>
      </c>
      <c r="AF42" s="5"/>
      <c r="AG42" s="5"/>
      <c r="AH42" s="5"/>
      <c r="AI42" s="5"/>
      <c r="AJ42" s="6"/>
      <c r="AK42" s="4"/>
      <c r="AL42" s="5"/>
      <c r="AM42" s="5"/>
      <c r="AN42" s="5"/>
      <c r="AO42" s="6"/>
      <c r="AP42" s="4"/>
      <c r="AQ42" s="5"/>
      <c r="AR42" s="5"/>
      <c r="AS42" s="5"/>
      <c r="AT42" s="6"/>
    </row>
    <row r="43" spans="1:256" ht="16.5" customHeight="1" x14ac:dyDescent="0.3">
      <c r="A43" s="172">
        <v>38</v>
      </c>
      <c r="B43" s="58" t="s">
        <v>173</v>
      </c>
      <c r="C43" s="58" t="s">
        <v>83</v>
      </c>
      <c r="D43" s="53"/>
      <c r="E43" s="53"/>
      <c r="F43" s="53">
        <v>213150241.83000001</v>
      </c>
      <c r="G43" s="53"/>
      <c r="H43" s="53"/>
      <c r="I43" s="53"/>
      <c r="J43" s="53">
        <v>213150241.83000001</v>
      </c>
      <c r="K43" s="53">
        <v>2217606.0299999998</v>
      </c>
      <c r="L43" s="53">
        <v>652672.39</v>
      </c>
      <c r="M43" s="152">
        <v>1564933.64</v>
      </c>
      <c r="N43" s="20">
        <v>301314652.97000003</v>
      </c>
      <c r="O43" s="20">
        <v>1655343.59</v>
      </c>
      <c r="P43" s="30">
        <v>301189791.32999998</v>
      </c>
      <c r="Q43" s="23">
        <f t="shared" si="15"/>
        <v>4.8608063804659994E-4</v>
      </c>
      <c r="R43" s="30">
        <v>299659309.38</v>
      </c>
      <c r="S43" s="23">
        <f t="shared" si="16"/>
        <v>4.9427643787562398E-4</v>
      </c>
      <c r="T43" s="24">
        <f t="shared" si="17"/>
        <v>-5.0814536018689571E-3</v>
      </c>
      <c r="U43" s="59">
        <f t="shared" si="18"/>
        <v>2.1780481018607092E-3</v>
      </c>
      <c r="V43" s="25">
        <f t="shared" si="19"/>
        <v>5.2223761819309841E-3</v>
      </c>
      <c r="W43" s="26">
        <f t="shared" si="20"/>
        <v>0.99263585256320463</v>
      </c>
      <c r="X43" s="26">
        <f t="shared" si="21"/>
        <v>5.1839178337568358E-3</v>
      </c>
      <c r="Y43" s="20">
        <v>1</v>
      </c>
      <c r="Z43" s="20">
        <v>1</v>
      </c>
      <c r="AA43" s="149">
        <v>270</v>
      </c>
      <c r="AB43" s="149">
        <v>298430861</v>
      </c>
      <c r="AC43" s="149">
        <v>6729916</v>
      </c>
      <c r="AD43" s="149">
        <v>3278361</v>
      </c>
      <c r="AE43" s="150">
        <v>301882416</v>
      </c>
      <c r="AF43" s="5"/>
      <c r="AG43" s="5"/>
      <c r="AH43" s="5"/>
      <c r="AI43" s="5"/>
      <c r="AJ43" s="6"/>
      <c r="AK43" s="4"/>
      <c r="AL43" s="5"/>
      <c r="AM43" s="5"/>
      <c r="AN43" s="5"/>
      <c r="AO43" s="6"/>
      <c r="AP43" s="4"/>
      <c r="AQ43" s="5"/>
      <c r="AR43" s="5"/>
      <c r="AS43" s="5"/>
      <c r="AT43" s="6"/>
    </row>
    <row r="44" spans="1:256" ht="16.5" customHeight="1" x14ac:dyDescent="0.3">
      <c r="A44" s="172">
        <v>39</v>
      </c>
      <c r="B44" s="58" t="s">
        <v>50</v>
      </c>
      <c r="C44" s="58" t="s">
        <v>84</v>
      </c>
      <c r="D44" s="53"/>
      <c r="E44" s="53"/>
      <c r="F44" s="53">
        <v>348449570.91000003</v>
      </c>
      <c r="G44" s="53"/>
      <c r="H44" s="53"/>
      <c r="I44" s="53"/>
      <c r="J44" s="53">
        <v>348449570.91000003</v>
      </c>
      <c r="K44" s="53">
        <v>2265428.02</v>
      </c>
      <c r="L44" s="53">
        <v>510490.53</v>
      </c>
      <c r="M44" s="152">
        <v>1754937.49</v>
      </c>
      <c r="N44" s="20">
        <v>351832416.29000002</v>
      </c>
      <c r="O44" s="20">
        <v>510490.53</v>
      </c>
      <c r="P44" s="30">
        <v>356317692.04000002</v>
      </c>
      <c r="Q44" s="23">
        <f t="shared" si="15"/>
        <v>5.7504980606838923E-4</v>
      </c>
      <c r="R44" s="30">
        <v>351321925.75999999</v>
      </c>
      <c r="S44" s="23">
        <f t="shared" si="16"/>
        <v>5.7949192491814187E-4</v>
      </c>
      <c r="T44" s="24">
        <f t="shared" si="17"/>
        <v>-1.4020539511799513E-2</v>
      </c>
      <c r="U44" s="59">
        <f>(L44/R44)</f>
        <v>1.4530562784992062E-3</v>
      </c>
      <c r="V44" s="25">
        <f t="shared" si="19"/>
        <v>4.9952404371108273E-3</v>
      </c>
      <c r="W44" s="26">
        <f t="shared" si="20"/>
        <v>99.737217424275727</v>
      </c>
      <c r="X44" s="26">
        <f t="shared" si="21"/>
        <v>0.49821138156265671</v>
      </c>
      <c r="Y44" s="20">
        <v>100</v>
      </c>
      <c r="Z44" s="20">
        <v>100</v>
      </c>
      <c r="AA44" s="149">
        <v>821</v>
      </c>
      <c r="AB44" s="149">
        <v>3493152.44</v>
      </c>
      <c r="AC44" s="149">
        <v>317812.05</v>
      </c>
      <c r="AD44" s="149">
        <v>288488.78000000003</v>
      </c>
      <c r="AE44" s="150">
        <v>3522475.71</v>
      </c>
      <c r="AF44" s="5"/>
      <c r="AG44" s="5"/>
      <c r="AH44" s="5"/>
      <c r="AI44" s="5"/>
      <c r="AJ44" s="6"/>
      <c r="AK44" s="4"/>
      <c r="AL44" s="5"/>
      <c r="AM44" s="5"/>
      <c r="AN44" s="5"/>
      <c r="AO44" s="6"/>
      <c r="AP44" s="4"/>
      <c r="AQ44" s="5"/>
      <c r="AR44" s="5"/>
      <c r="AS44" s="5"/>
      <c r="AT44" s="6"/>
    </row>
    <row r="45" spans="1:256" ht="16.5" customHeight="1" x14ac:dyDescent="0.3">
      <c r="A45" s="172">
        <v>40</v>
      </c>
      <c r="B45" s="58" t="s">
        <v>85</v>
      </c>
      <c r="C45" s="58" t="s">
        <v>86</v>
      </c>
      <c r="D45" s="53"/>
      <c r="E45" s="53"/>
      <c r="F45" s="53">
        <v>114458737.2</v>
      </c>
      <c r="G45" s="53"/>
      <c r="H45" s="53"/>
      <c r="I45" s="53"/>
      <c r="J45" s="53">
        <v>114458737.2</v>
      </c>
      <c r="K45" s="53">
        <v>931960.22</v>
      </c>
      <c r="L45" s="53">
        <v>138711.71</v>
      </c>
      <c r="M45" s="152">
        <v>793248.51</v>
      </c>
      <c r="N45" s="20">
        <v>115105834.65000001</v>
      </c>
      <c r="O45" s="20">
        <v>2975495.88</v>
      </c>
      <c r="P45" s="30">
        <v>111604611.14</v>
      </c>
      <c r="Q45" s="23">
        <f t="shared" si="15"/>
        <v>1.801151372107293E-4</v>
      </c>
      <c r="R45" s="30">
        <v>112130388.77</v>
      </c>
      <c r="S45" s="23">
        <f t="shared" si="16"/>
        <v>1.8495473827766739E-4</v>
      </c>
      <c r="T45" s="24">
        <f>((R45-P45)/P45)</f>
        <v>4.711074431686741E-3</v>
      </c>
      <c r="U45" s="99">
        <f>(L45/R45)</f>
        <v>1.237057246671312E-3</v>
      </c>
      <c r="V45" s="25">
        <f t="shared" si="19"/>
        <v>7.074340138310751E-3</v>
      </c>
      <c r="W45" s="26">
        <f t="shared" si="20"/>
        <v>1</v>
      </c>
      <c r="X45" s="26">
        <f t="shared" si="21"/>
        <v>7.074340138310751E-3</v>
      </c>
      <c r="Y45" s="20">
        <v>1</v>
      </c>
      <c r="Z45" s="20">
        <v>1</v>
      </c>
      <c r="AA45" s="149">
        <v>38</v>
      </c>
      <c r="AB45" s="149">
        <v>112329079.77</v>
      </c>
      <c r="AC45" s="149">
        <v>877558</v>
      </c>
      <c r="AD45" s="149">
        <v>1076249</v>
      </c>
      <c r="AE45" s="150">
        <v>112130388.77</v>
      </c>
      <c r="AF45" s="5"/>
      <c r="AG45" s="5"/>
      <c r="AH45" s="5"/>
      <c r="AI45" s="5"/>
      <c r="AJ45" s="6"/>
      <c r="AK45" s="4"/>
      <c r="AL45" s="5"/>
      <c r="AM45" s="5"/>
      <c r="AN45" s="5"/>
      <c r="AO45" s="6"/>
      <c r="AP45" s="4"/>
      <c r="AQ45" s="5"/>
      <c r="AR45" s="5"/>
      <c r="AS45" s="5"/>
      <c r="AT45" s="6"/>
    </row>
    <row r="46" spans="1:256" ht="16.5" customHeight="1" x14ac:dyDescent="0.3">
      <c r="A46" s="172">
        <v>41</v>
      </c>
      <c r="B46" s="58" t="s">
        <v>87</v>
      </c>
      <c r="C46" s="61" t="s">
        <v>88</v>
      </c>
      <c r="D46" s="53"/>
      <c r="E46" s="53"/>
      <c r="F46" s="53">
        <v>661849633.04999995</v>
      </c>
      <c r="G46" s="53"/>
      <c r="H46" s="53"/>
      <c r="I46" s="53"/>
      <c r="J46" s="53">
        <v>855072016.36000001</v>
      </c>
      <c r="K46" s="53">
        <v>7559160.6100000003</v>
      </c>
      <c r="L46" s="53">
        <v>1623603.31</v>
      </c>
      <c r="M46" s="152">
        <v>5935557.2999999998</v>
      </c>
      <c r="N46" s="20">
        <v>1388164187.99</v>
      </c>
      <c r="O46" s="20">
        <v>9597762.6699999999</v>
      </c>
      <c r="P46" s="30">
        <v>1434354770.03</v>
      </c>
      <c r="Q46" s="23">
        <f t="shared" si="15"/>
        <v>2.3148596063717942E-3</v>
      </c>
      <c r="R46" s="30">
        <v>1378566425.3199999</v>
      </c>
      <c r="S46" s="23">
        <f t="shared" si="16"/>
        <v>2.2738919858419047E-3</v>
      </c>
      <c r="T46" s="24">
        <f t="shared" si="17"/>
        <v>-3.8894383645988226E-2</v>
      </c>
      <c r="U46" s="59">
        <f t="shared" si="18"/>
        <v>1.1777476080799814E-3</v>
      </c>
      <c r="V46" s="25">
        <f t="shared" si="19"/>
        <v>4.3056012325428626E-3</v>
      </c>
      <c r="W46" s="26">
        <f t="shared" si="20"/>
        <v>1.0043242225391196</v>
      </c>
      <c r="X46" s="26">
        <f t="shared" si="21"/>
        <v>4.3242196104370852E-3</v>
      </c>
      <c r="Y46" s="20">
        <v>1</v>
      </c>
      <c r="Z46" s="20">
        <v>1.03</v>
      </c>
      <c r="AA46" s="149">
        <v>36</v>
      </c>
      <c r="AB46" s="149">
        <v>1415427718</v>
      </c>
      <c r="AC46" s="149">
        <v>18913146</v>
      </c>
      <c r="AD46" s="149">
        <v>61710000</v>
      </c>
      <c r="AE46" s="150">
        <v>1372630864</v>
      </c>
      <c r="AF46" s="5"/>
      <c r="AG46" s="5"/>
      <c r="AH46" s="5"/>
      <c r="AI46" s="5"/>
      <c r="AJ46" s="6"/>
      <c r="AK46" s="4"/>
      <c r="AL46" s="5"/>
      <c r="AM46" s="5"/>
      <c r="AN46" s="5"/>
      <c r="AO46" s="6"/>
      <c r="AP46" s="4"/>
      <c r="AQ46" s="5"/>
      <c r="AR46" s="5"/>
      <c r="AS46" s="5"/>
      <c r="AT46" s="6"/>
    </row>
    <row r="47" spans="1:256" ht="16.5" customHeight="1" x14ac:dyDescent="0.3">
      <c r="A47" s="172">
        <v>42</v>
      </c>
      <c r="B47" s="57" t="s">
        <v>89</v>
      </c>
      <c r="C47" s="58" t="s">
        <v>90</v>
      </c>
      <c r="D47" s="53"/>
      <c r="E47" s="53"/>
      <c r="F47" s="53">
        <v>114554563.48999999</v>
      </c>
      <c r="G47" s="53"/>
      <c r="H47" s="53"/>
      <c r="I47" s="53"/>
      <c r="J47" s="53">
        <v>114554563.48999999</v>
      </c>
      <c r="K47" s="53">
        <v>655304.19999999995</v>
      </c>
      <c r="L47" s="53">
        <v>57049.85</v>
      </c>
      <c r="M47" s="152">
        <v>598254.35</v>
      </c>
      <c r="N47" s="20">
        <v>155598988.19</v>
      </c>
      <c r="O47" s="20">
        <v>4175905.88</v>
      </c>
      <c r="P47" s="30">
        <v>157728141.75</v>
      </c>
      <c r="Q47" s="23">
        <f t="shared" si="15"/>
        <v>2.5455243831867548E-4</v>
      </c>
      <c r="R47" s="30">
        <v>151051190.90000001</v>
      </c>
      <c r="S47" s="23">
        <f t="shared" si="16"/>
        <v>2.4915309565852565E-4</v>
      </c>
      <c r="T47" s="24">
        <f>((R47-P47)/P47)</f>
        <v>-4.2332019992874823E-2</v>
      </c>
      <c r="U47" s="59">
        <f>(L47/R47)</f>
        <v>3.7768553600989847E-4</v>
      </c>
      <c r="V47" s="25">
        <f>M47/R47</f>
        <v>3.9606066422611698E-3</v>
      </c>
      <c r="W47" s="26">
        <f>R47/AE47</f>
        <v>0.99867671849172857</v>
      </c>
      <c r="X47" s="26">
        <f>M47/AE47</f>
        <v>3.9553656447299289E-3</v>
      </c>
      <c r="Y47" s="20">
        <v>1</v>
      </c>
      <c r="Z47" s="20">
        <v>1</v>
      </c>
      <c r="AA47" s="149">
        <v>39</v>
      </c>
      <c r="AB47" s="149">
        <v>157675295</v>
      </c>
      <c r="AC47" s="53">
        <v>1184296</v>
      </c>
      <c r="AD47" s="149">
        <v>7608252</v>
      </c>
      <c r="AE47" s="150">
        <f>(AB47+AC47)-AD47</f>
        <v>151251339</v>
      </c>
      <c r="AF47" s="5"/>
      <c r="AG47" s="5"/>
      <c r="AH47" s="5"/>
      <c r="AI47" s="5"/>
      <c r="AJ47" s="6"/>
      <c r="AK47" s="4"/>
      <c r="AL47" s="5"/>
      <c r="AM47" s="5"/>
      <c r="AN47" s="5"/>
      <c r="AO47" s="6"/>
      <c r="AP47" s="4"/>
      <c r="AQ47" s="5"/>
      <c r="AR47" s="5"/>
      <c r="AS47" s="5"/>
      <c r="AT47" s="6"/>
      <c r="AU47" s="18"/>
      <c r="AV47" s="18"/>
      <c r="AW47" s="18"/>
      <c r="AX47" s="18"/>
      <c r="AY47" s="18"/>
      <c r="AZ47" s="18"/>
      <c r="BA47" s="18"/>
      <c r="BB47" s="18"/>
      <c r="BC47" s="18"/>
      <c r="BD47" s="18"/>
      <c r="BE47" s="18"/>
      <c r="BF47" s="18"/>
      <c r="BG47" s="18"/>
      <c r="BH47" s="18"/>
      <c r="BI47" s="18"/>
      <c r="BJ47" s="18"/>
      <c r="BK47" s="18"/>
      <c r="BL47" s="18"/>
      <c r="BM47" s="18"/>
      <c r="BN47" s="18"/>
      <c r="BO47" s="18"/>
      <c r="BP47" s="18"/>
      <c r="BQ47" s="18"/>
      <c r="BR47" s="18"/>
      <c r="BS47" s="18"/>
      <c r="BT47" s="18"/>
      <c r="BU47" s="18"/>
      <c r="BV47" s="18"/>
      <c r="BW47" s="18"/>
      <c r="BX47" s="18"/>
      <c r="BY47" s="18"/>
      <c r="BZ47" s="18"/>
      <c r="CA47" s="18"/>
      <c r="CB47" s="18"/>
      <c r="CC47" s="18"/>
      <c r="CD47" s="18"/>
      <c r="CE47" s="18"/>
      <c r="CF47" s="18"/>
      <c r="CG47" s="18"/>
      <c r="CH47" s="18"/>
      <c r="CI47" s="18"/>
      <c r="CJ47" s="18"/>
      <c r="CK47" s="18"/>
      <c r="CL47" s="18"/>
      <c r="CM47" s="18"/>
      <c r="CN47" s="18"/>
      <c r="CO47" s="18"/>
      <c r="CP47" s="18"/>
      <c r="CQ47" s="18"/>
      <c r="CR47" s="18"/>
      <c r="CS47" s="18"/>
      <c r="CT47" s="18"/>
      <c r="CU47" s="18"/>
      <c r="CV47" s="18"/>
      <c r="CW47" s="18"/>
      <c r="CX47" s="18"/>
      <c r="CY47" s="18"/>
      <c r="CZ47" s="18"/>
      <c r="DA47" s="18"/>
      <c r="DB47" s="18"/>
      <c r="DC47" s="18"/>
      <c r="DD47" s="18"/>
      <c r="DE47" s="18"/>
      <c r="DF47" s="18"/>
      <c r="DG47" s="18"/>
      <c r="DH47" s="18"/>
      <c r="DI47" s="18"/>
      <c r="DJ47" s="18"/>
      <c r="DK47" s="18"/>
      <c r="DL47" s="18"/>
      <c r="DM47" s="18"/>
      <c r="DN47" s="18"/>
      <c r="DO47" s="18"/>
      <c r="DP47" s="18"/>
      <c r="DQ47" s="18"/>
      <c r="DR47" s="18"/>
      <c r="DS47" s="18"/>
      <c r="DT47" s="18"/>
      <c r="DU47" s="18"/>
      <c r="DV47" s="18"/>
      <c r="DW47" s="18"/>
      <c r="DX47" s="18"/>
      <c r="DY47" s="18"/>
      <c r="DZ47" s="18"/>
      <c r="EA47" s="18"/>
      <c r="EB47" s="18"/>
      <c r="EC47" s="18"/>
      <c r="ED47" s="18"/>
      <c r="EE47" s="18"/>
      <c r="EF47" s="18"/>
      <c r="EG47" s="18"/>
      <c r="EH47" s="18"/>
      <c r="EI47" s="18"/>
      <c r="EJ47" s="18"/>
      <c r="EK47" s="18"/>
      <c r="EL47" s="18"/>
      <c r="EM47" s="18"/>
      <c r="EN47" s="18"/>
      <c r="EO47" s="18"/>
      <c r="EP47" s="18"/>
      <c r="EQ47" s="18"/>
      <c r="ER47" s="18"/>
      <c r="ES47" s="18"/>
      <c r="ET47" s="18"/>
      <c r="EU47" s="18"/>
      <c r="EV47" s="18"/>
      <c r="EW47" s="18"/>
      <c r="EX47" s="18"/>
      <c r="EY47" s="18"/>
      <c r="EZ47" s="18"/>
      <c r="FA47" s="18"/>
      <c r="FB47" s="18"/>
      <c r="FC47" s="18"/>
      <c r="FD47" s="18"/>
      <c r="FE47" s="18"/>
      <c r="FF47" s="18"/>
      <c r="FG47" s="18"/>
      <c r="FH47" s="18"/>
      <c r="FI47" s="18"/>
      <c r="FJ47" s="18"/>
      <c r="FK47" s="18"/>
      <c r="FL47" s="18"/>
      <c r="FM47" s="18"/>
      <c r="FN47" s="18"/>
      <c r="FO47" s="18"/>
      <c r="FP47" s="18"/>
      <c r="FQ47" s="18"/>
      <c r="FR47" s="18"/>
      <c r="FS47" s="18"/>
      <c r="FT47" s="18"/>
      <c r="FU47" s="18"/>
      <c r="FV47" s="18"/>
      <c r="FW47" s="18"/>
      <c r="FX47" s="18"/>
      <c r="FY47" s="18"/>
      <c r="FZ47" s="18"/>
      <c r="GA47" s="18"/>
      <c r="GB47" s="18"/>
      <c r="GC47" s="18"/>
      <c r="GD47" s="18"/>
      <c r="GE47" s="18"/>
      <c r="GF47" s="18"/>
      <c r="GG47" s="18"/>
      <c r="GH47" s="18"/>
      <c r="GI47" s="18"/>
      <c r="GJ47" s="18"/>
      <c r="GK47" s="18"/>
      <c r="GL47" s="18"/>
      <c r="GM47" s="18"/>
      <c r="GN47" s="18"/>
      <c r="GO47" s="18"/>
      <c r="GP47" s="18"/>
      <c r="GQ47" s="18"/>
      <c r="GR47" s="18"/>
      <c r="GS47" s="18"/>
      <c r="GT47" s="18"/>
      <c r="GU47" s="18"/>
      <c r="GV47" s="18"/>
      <c r="GW47" s="18"/>
      <c r="GX47" s="18"/>
      <c r="GY47" s="18"/>
      <c r="GZ47" s="18"/>
      <c r="HA47" s="18"/>
      <c r="HB47" s="18"/>
      <c r="HC47" s="18"/>
      <c r="HD47" s="18"/>
      <c r="HE47" s="18"/>
      <c r="HF47" s="18"/>
      <c r="HG47" s="18"/>
      <c r="HH47" s="18"/>
      <c r="HI47" s="18"/>
      <c r="HJ47" s="18"/>
      <c r="HK47" s="18"/>
      <c r="HL47" s="18"/>
      <c r="HM47" s="18"/>
      <c r="HN47" s="18"/>
      <c r="HO47" s="18"/>
      <c r="HP47" s="18"/>
      <c r="HQ47" s="18"/>
      <c r="HR47" s="18"/>
      <c r="HS47" s="18"/>
      <c r="HT47" s="18"/>
      <c r="HU47" s="18"/>
      <c r="HV47" s="18"/>
      <c r="HW47" s="18"/>
      <c r="HX47" s="18"/>
      <c r="HY47" s="18"/>
      <c r="HZ47" s="18"/>
      <c r="IA47" s="18"/>
      <c r="IB47" s="18"/>
      <c r="IC47" s="18"/>
      <c r="ID47" s="18"/>
      <c r="IE47" s="18"/>
      <c r="IF47" s="18"/>
      <c r="IG47" s="18"/>
      <c r="IH47" s="18"/>
      <c r="II47" s="18"/>
      <c r="IJ47" s="18"/>
      <c r="IK47" s="18"/>
      <c r="IL47" s="18"/>
      <c r="IM47" s="18"/>
      <c r="IN47" s="18"/>
      <c r="IO47" s="18"/>
      <c r="IP47" s="18"/>
      <c r="IQ47" s="18"/>
      <c r="IR47" s="18"/>
      <c r="IS47" s="18"/>
      <c r="IT47" s="18"/>
      <c r="IU47" s="18"/>
      <c r="IV47" s="18"/>
    </row>
    <row r="48" spans="1:256" ht="16.5" customHeight="1" x14ac:dyDescent="0.3">
      <c r="A48" s="172">
        <v>43</v>
      </c>
      <c r="B48" s="57" t="s">
        <v>159</v>
      </c>
      <c r="C48" s="57" t="s">
        <v>160</v>
      </c>
      <c r="D48" s="53"/>
      <c r="E48" s="53"/>
      <c r="F48" s="53">
        <v>353210002.19</v>
      </c>
      <c r="G48" s="53"/>
      <c r="H48" s="53"/>
      <c r="I48" s="53">
        <v>1236810.25</v>
      </c>
      <c r="J48" s="53">
        <v>354446812.44</v>
      </c>
      <c r="K48" s="53">
        <v>7836163.6299999999</v>
      </c>
      <c r="L48" s="53">
        <v>1906444.8</v>
      </c>
      <c r="M48" s="152">
        <v>3949729.54</v>
      </c>
      <c r="N48" s="20">
        <v>948507672.64999998</v>
      </c>
      <c r="O48" s="20">
        <v>933270817.21000004</v>
      </c>
      <c r="P48" s="30">
        <v>862131775.38999999</v>
      </c>
      <c r="Q48" s="23">
        <f t="shared" si="15"/>
        <v>1.3913670898714761E-3</v>
      </c>
      <c r="R48" s="30">
        <v>934382433.95000005</v>
      </c>
      <c r="S48" s="23">
        <f t="shared" si="16"/>
        <v>1.5412276762631625E-3</v>
      </c>
      <c r="T48" s="24">
        <f>((R48-P48)/P48)</f>
        <v>8.3804657968111942E-2</v>
      </c>
      <c r="U48" s="59">
        <f>(L48/R48)</f>
        <v>2.0403260278992106E-3</v>
      </c>
      <c r="V48" s="25">
        <f>M48/R48</f>
        <v>4.2271016625419081E-3</v>
      </c>
      <c r="W48" s="26">
        <f>R48/AE48</f>
        <v>1.0011910977172984</v>
      </c>
      <c r="X48" s="26">
        <f>M48/AE48</f>
        <v>4.2321365536829502E-3</v>
      </c>
      <c r="Y48" s="20">
        <v>1</v>
      </c>
      <c r="Z48" s="20">
        <v>1</v>
      </c>
      <c r="AA48" s="149">
        <v>239</v>
      </c>
      <c r="AB48" s="149">
        <v>861179751.04999995</v>
      </c>
      <c r="AC48" s="149">
        <v>96355535.340000004</v>
      </c>
      <c r="AD48" s="149">
        <v>24264469.18</v>
      </c>
      <c r="AE48" s="150">
        <v>933270817.21000004</v>
      </c>
      <c r="AF48" s="5"/>
      <c r="AG48" s="5"/>
      <c r="AH48" s="5"/>
      <c r="AI48" s="5"/>
      <c r="AJ48" s="6"/>
      <c r="AK48" s="4"/>
      <c r="AL48" s="5"/>
      <c r="AM48" s="5"/>
      <c r="AN48" s="5"/>
      <c r="AO48" s="6"/>
      <c r="AP48" s="4"/>
      <c r="AQ48" s="5"/>
      <c r="AR48" s="5"/>
      <c r="AS48" s="5"/>
      <c r="AT48" s="6"/>
      <c r="AU48" s="18"/>
      <c r="AV48" s="18"/>
      <c r="AW48" s="18"/>
      <c r="AX48" s="18"/>
      <c r="AY48" s="18"/>
      <c r="AZ48" s="18"/>
      <c r="BA48" s="18"/>
      <c r="BB48" s="18"/>
      <c r="BC48" s="18"/>
      <c r="BD48" s="18"/>
      <c r="BE48" s="18"/>
      <c r="BF48" s="18"/>
      <c r="BG48" s="18"/>
      <c r="BH48" s="18"/>
      <c r="BI48" s="18"/>
      <c r="BJ48" s="18"/>
      <c r="BK48" s="18"/>
      <c r="BL48" s="18"/>
      <c r="BM48" s="18"/>
      <c r="BN48" s="18"/>
      <c r="BO48" s="18"/>
      <c r="BP48" s="18"/>
      <c r="BQ48" s="18"/>
      <c r="BR48" s="18"/>
      <c r="BS48" s="18"/>
      <c r="BT48" s="18"/>
      <c r="BU48" s="18"/>
      <c r="BV48" s="18"/>
      <c r="BW48" s="18"/>
      <c r="BX48" s="18"/>
      <c r="BY48" s="18"/>
      <c r="BZ48" s="18"/>
      <c r="CA48" s="18"/>
      <c r="CB48" s="18"/>
      <c r="CC48" s="18"/>
      <c r="CD48" s="18"/>
      <c r="CE48" s="18"/>
      <c r="CF48" s="18"/>
      <c r="CG48" s="18"/>
      <c r="CH48" s="18"/>
      <c r="CI48" s="18"/>
      <c r="CJ48" s="18"/>
      <c r="CK48" s="18"/>
      <c r="CL48" s="18"/>
      <c r="CM48" s="18"/>
      <c r="CN48" s="18"/>
      <c r="CO48" s="18"/>
      <c r="CP48" s="18"/>
      <c r="CQ48" s="18"/>
      <c r="CR48" s="18"/>
      <c r="CS48" s="18"/>
      <c r="CT48" s="18"/>
      <c r="CU48" s="18"/>
      <c r="CV48" s="18"/>
      <c r="CW48" s="18"/>
      <c r="CX48" s="18"/>
      <c r="CY48" s="18"/>
      <c r="CZ48" s="18"/>
      <c r="DA48" s="18"/>
      <c r="DB48" s="18"/>
      <c r="DC48" s="18"/>
      <c r="DD48" s="18"/>
      <c r="DE48" s="18"/>
      <c r="DF48" s="18"/>
      <c r="DG48" s="18"/>
      <c r="DH48" s="18"/>
      <c r="DI48" s="18"/>
      <c r="DJ48" s="18"/>
      <c r="DK48" s="18"/>
      <c r="DL48" s="18"/>
      <c r="DM48" s="18"/>
      <c r="DN48" s="18"/>
      <c r="DO48" s="18"/>
      <c r="DP48" s="18"/>
      <c r="DQ48" s="18"/>
      <c r="DR48" s="18"/>
      <c r="DS48" s="18"/>
      <c r="DT48" s="18"/>
      <c r="DU48" s="18"/>
      <c r="DV48" s="18"/>
      <c r="DW48" s="18"/>
      <c r="DX48" s="18"/>
      <c r="DY48" s="18"/>
      <c r="DZ48" s="18"/>
      <c r="EA48" s="18"/>
      <c r="EB48" s="18"/>
      <c r="EC48" s="18"/>
      <c r="ED48" s="18"/>
      <c r="EE48" s="18"/>
      <c r="EF48" s="18"/>
      <c r="EG48" s="18"/>
      <c r="EH48" s="18"/>
      <c r="EI48" s="18"/>
      <c r="EJ48" s="18"/>
      <c r="EK48" s="18"/>
      <c r="EL48" s="18"/>
      <c r="EM48" s="18"/>
      <c r="EN48" s="18"/>
      <c r="EO48" s="18"/>
      <c r="EP48" s="18"/>
      <c r="EQ48" s="18"/>
      <c r="ER48" s="18"/>
      <c r="ES48" s="18"/>
      <c r="ET48" s="18"/>
      <c r="EU48" s="18"/>
      <c r="EV48" s="18"/>
      <c r="EW48" s="18"/>
      <c r="EX48" s="18"/>
      <c r="EY48" s="18"/>
      <c r="EZ48" s="18"/>
      <c r="FA48" s="18"/>
      <c r="FB48" s="18"/>
      <c r="FC48" s="18"/>
      <c r="FD48" s="18"/>
      <c r="FE48" s="18"/>
      <c r="FF48" s="18"/>
      <c r="FG48" s="18"/>
      <c r="FH48" s="18"/>
      <c r="FI48" s="18"/>
      <c r="FJ48" s="18"/>
      <c r="FK48" s="18"/>
      <c r="FL48" s="18"/>
      <c r="FM48" s="18"/>
      <c r="FN48" s="18"/>
      <c r="FO48" s="18"/>
      <c r="FP48" s="18"/>
      <c r="FQ48" s="18"/>
      <c r="FR48" s="18"/>
      <c r="FS48" s="18"/>
      <c r="FT48" s="18"/>
      <c r="FU48" s="18"/>
      <c r="FV48" s="18"/>
      <c r="FW48" s="18"/>
      <c r="FX48" s="18"/>
      <c r="FY48" s="18"/>
      <c r="FZ48" s="18"/>
      <c r="GA48" s="18"/>
      <c r="GB48" s="18"/>
      <c r="GC48" s="18"/>
      <c r="GD48" s="18"/>
      <c r="GE48" s="18"/>
      <c r="GF48" s="18"/>
      <c r="GG48" s="18"/>
      <c r="GH48" s="18"/>
      <c r="GI48" s="18"/>
      <c r="GJ48" s="18"/>
      <c r="GK48" s="18"/>
      <c r="GL48" s="18"/>
      <c r="GM48" s="18"/>
      <c r="GN48" s="18"/>
      <c r="GO48" s="18"/>
      <c r="GP48" s="18"/>
      <c r="GQ48" s="18"/>
      <c r="GR48" s="18"/>
      <c r="GS48" s="18"/>
      <c r="GT48" s="18"/>
      <c r="GU48" s="18"/>
      <c r="GV48" s="18"/>
      <c r="GW48" s="18"/>
      <c r="GX48" s="18"/>
      <c r="GY48" s="18"/>
      <c r="GZ48" s="18"/>
      <c r="HA48" s="18"/>
      <c r="HB48" s="18"/>
      <c r="HC48" s="18"/>
      <c r="HD48" s="18"/>
      <c r="HE48" s="18"/>
      <c r="HF48" s="18"/>
      <c r="HG48" s="18"/>
      <c r="HH48" s="18"/>
      <c r="HI48" s="18"/>
      <c r="HJ48" s="18"/>
      <c r="HK48" s="18"/>
      <c r="HL48" s="18"/>
      <c r="HM48" s="18"/>
      <c r="HN48" s="18"/>
      <c r="HO48" s="18"/>
      <c r="HP48" s="18"/>
      <c r="HQ48" s="18"/>
      <c r="HR48" s="18"/>
      <c r="HS48" s="18"/>
      <c r="HT48" s="18"/>
      <c r="HU48" s="18"/>
      <c r="HV48" s="18"/>
      <c r="HW48" s="18"/>
      <c r="HX48" s="18"/>
      <c r="HY48" s="18"/>
      <c r="HZ48" s="18"/>
      <c r="IA48" s="18"/>
      <c r="IB48" s="18"/>
      <c r="IC48" s="18"/>
      <c r="ID48" s="18"/>
      <c r="IE48" s="18"/>
      <c r="IF48" s="18"/>
      <c r="IG48" s="18"/>
      <c r="IH48" s="18"/>
      <c r="II48" s="18"/>
      <c r="IJ48" s="18"/>
      <c r="IK48" s="18"/>
      <c r="IL48" s="18"/>
      <c r="IM48" s="18"/>
      <c r="IN48" s="18"/>
      <c r="IO48" s="18"/>
      <c r="IP48" s="18"/>
      <c r="IQ48" s="18"/>
      <c r="IR48" s="18"/>
      <c r="IS48" s="18"/>
      <c r="IT48" s="18"/>
      <c r="IU48" s="18"/>
      <c r="IV48" s="18"/>
    </row>
    <row r="49" spans="1:256" ht="16.5" customHeight="1" x14ac:dyDescent="0.3">
      <c r="A49" s="172">
        <v>44</v>
      </c>
      <c r="B49" s="57" t="s">
        <v>155</v>
      </c>
      <c r="C49" s="58" t="s">
        <v>156</v>
      </c>
      <c r="D49" s="53"/>
      <c r="E49" s="53"/>
      <c r="F49" s="53">
        <v>4675076.72</v>
      </c>
      <c r="G49" s="53"/>
      <c r="H49" s="53"/>
      <c r="I49" s="53"/>
      <c r="J49" s="53">
        <v>4675076.72</v>
      </c>
      <c r="K49" s="53">
        <v>7479.45</v>
      </c>
      <c r="L49" s="53">
        <v>9573.11</v>
      </c>
      <c r="M49" s="152">
        <v>-2093.66</v>
      </c>
      <c r="N49" s="20">
        <v>6897380.8499999996</v>
      </c>
      <c r="O49" s="20">
        <v>242498.95</v>
      </c>
      <c r="P49" s="30">
        <v>6825087.04</v>
      </c>
      <c r="Q49" s="23">
        <f t="shared" si="15"/>
        <v>1.1014791200183473E-5</v>
      </c>
      <c r="R49" s="30">
        <v>6654881.9000000004</v>
      </c>
      <c r="S49" s="23">
        <f t="shared" si="16"/>
        <v>1.0976970236034668E-5</v>
      </c>
      <c r="T49" s="24">
        <f>((R49-P49)/P49)</f>
        <v>-2.4938164012044552E-2</v>
      </c>
      <c r="U49" s="59">
        <f>(L49/R49)</f>
        <v>1.4385093745991194E-3</v>
      </c>
      <c r="V49" s="25">
        <f>M49/R49</f>
        <v>-3.1460513221128681E-4</v>
      </c>
      <c r="W49" s="26">
        <f>R49/AE49</f>
        <v>100.33745797210706</v>
      </c>
      <c r="X49" s="26">
        <f>M49/AE49</f>
        <v>-3.1566679231059179E-2</v>
      </c>
      <c r="Y49" s="20">
        <v>100</v>
      </c>
      <c r="Z49" s="20">
        <v>100</v>
      </c>
      <c r="AA49" s="149">
        <v>71</v>
      </c>
      <c r="AB49" s="53">
        <v>66325</v>
      </c>
      <c r="AC49" s="149">
        <v>0</v>
      </c>
      <c r="AD49" s="149">
        <v>0</v>
      </c>
      <c r="AE49" s="150">
        <f>(AB49+AC49)-AD49</f>
        <v>66325</v>
      </c>
      <c r="AF49" s="5"/>
      <c r="AG49" s="5"/>
      <c r="AH49" s="5"/>
      <c r="AI49" s="5"/>
      <c r="AJ49" s="6"/>
      <c r="AK49" s="4"/>
      <c r="AL49" s="5"/>
      <c r="AM49" s="5"/>
      <c r="AN49" s="5"/>
      <c r="AO49" s="6"/>
      <c r="AP49" s="4"/>
      <c r="AQ49" s="5"/>
      <c r="AR49" s="5"/>
      <c r="AS49" s="5"/>
      <c r="AT49" s="6"/>
      <c r="AU49" s="18"/>
      <c r="AV49" s="18"/>
      <c r="AW49" s="18"/>
      <c r="AX49" s="18"/>
      <c r="AY49" s="18"/>
      <c r="AZ49" s="18"/>
      <c r="BA49" s="18"/>
      <c r="BB49" s="18"/>
      <c r="BC49" s="18"/>
      <c r="BD49" s="18"/>
      <c r="BE49" s="18"/>
      <c r="BF49" s="18"/>
      <c r="BG49" s="18"/>
      <c r="BH49" s="18"/>
      <c r="BI49" s="18"/>
      <c r="BJ49" s="18"/>
      <c r="BK49" s="18"/>
      <c r="BL49" s="18"/>
      <c r="BM49" s="18"/>
      <c r="BN49" s="18"/>
      <c r="BO49" s="18"/>
      <c r="BP49" s="18"/>
      <c r="BQ49" s="18"/>
      <c r="BR49" s="18"/>
      <c r="BS49" s="18"/>
      <c r="BT49" s="18"/>
      <c r="BU49" s="18"/>
      <c r="BV49" s="18"/>
      <c r="BW49" s="18"/>
      <c r="BX49" s="18"/>
      <c r="BY49" s="18"/>
      <c r="BZ49" s="18"/>
      <c r="CA49" s="18"/>
      <c r="CB49" s="18"/>
      <c r="CC49" s="18"/>
      <c r="CD49" s="18"/>
      <c r="CE49" s="18"/>
      <c r="CF49" s="18"/>
      <c r="CG49" s="18"/>
      <c r="CH49" s="18"/>
      <c r="CI49" s="18"/>
      <c r="CJ49" s="18"/>
      <c r="CK49" s="18"/>
      <c r="CL49" s="18"/>
      <c r="CM49" s="18"/>
      <c r="CN49" s="18"/>
      <c r="CO49" s="18"/>
      <c r="CP49" s="18"/>
      <c r="CQ49" s="18"/>
      <c r="CR49" s="18"/>
      <c r="CS49" s="18"/>
      <c r="CT49" s="18"/>
      <c r="CU49" s="18"/>
      <c r="CV49" s="18"/>
      <c r="CW49" s="18"/>
      <c r="CX49" s="18"/>
      <c r="CY49" s="18"/>
      <c r="CZ49" s="18"/>
      <c r="DA49" s="18"/>
      <c r="DB49" s="18"/>
      <c r="DC49" s="18"/>
      <c r="DD49" s="18"/>
      <c r="DE49" s="18"/>
      <c r="DF49" s="18"/>
      <c r="DG49" s="18"/>
      <c r="DH49" s="18"/>
      <c r="DI49" s="18"/>
      <c r="DJ49" s="18"/>
      <c r="DK49" s="18"/>
      <c r="DL49" s="18"/>
      <c r="DM49" s="18"/>
      <c r="DN49" s="18"/>
      <c r="DO49" s="18"/>
      <c r="DP49" s="18"/>
      <c r="DQ49" s="18"/>
      <c r="DR49" s="18"/>
      <c r="DS49" s="18"/>
      <c r="DT49" s="18"/>
      <c r="DU49" s="18"/>
      <c r="DV49" s="18"/>
      <c r="DW49" s="18"/>
      <c r="DX49" s="18"/>
      <c r="DY49" s="18"/>
      <c r="DZ49" s="18"/>
      <c r="EA49" s="18"/>
      <c r="EB49" s="18"/>
      <c r="EC49" s="18"/>
      <c r="ED49" s="18"/>
      <c r="EE49" s="18"/>
      <c r="EF49" s="18"/>
      <c r="EG49" s="18"/>
      <c r="EH49" s="18"/>
      <c r="EI49" s="18"/>
      <c r="EJ49" s="18"/>
      <c r="EK49" s="18"/>
      <c r="EL49" s="18"/>
      <c r="EM49" s="18"/>
      <c r="EN49" s="18"/>
      <c r="EO49" s="18"/>
      <c r="EP49" s="18"/>
      <c r="EQ49" s="18"/>
      <c r="ER49" s="18"/>
      <c r="ES49" s="18"/>
      <c r="ET49" s="18"/>
      <c r="EU49" s="18"/>
      <c r="EV49" s="18"/>
      <c r="EW49" s="18"/>
      <c r="EX49" s="18"/>
      <c r="EY49" s="18"/>
      <c r="EZ49" s="18"/>
      <c r="FA49" s="18"/>
      <c r="FB49" s="18"/>
      <c r="FC49" s="18"/>
      <c r="FD49" s="18"/>
      <c r="FE49" s="18"/>
      <c r="FF49" s="18"/>
      <c r="FG49" s="18"/>
      <c r="FH49" s="18"/>
      <c r="FI49" s="18"/>
      <c r="FJ49" s="18"/>
      <c r="FK49" s="18"/>
      <c r="FL49" s="18"/>
      <c r="FM49" s="18"/>
      <c r="FN49" s="18"/>
      <c r="FO49" s="18"/>
      <c r="FP49" s="18"/>
      <c r="FQ49" s="18"/>
      <c r="FR49" s="18"/>
      <c r="FS49" s="18"/>
      <c r="FT49" s="18"/>
      <c r="FU49" s="18"/>
      <c r="FV49" s="18"/>
      <c r="FW49" s="18"/>
      <c r="FX49" s="18"/>
      <c r="FY49" s="18"/>
      <c r="FZ49" s="18"/>
      <c r="GA49" s="18"/>
      <c r="GB49" s="18"/>
      <c r="GC49" s="18"/>
      <c r="GD49" s="18"/>
      <c r="GE49" s="18"/>
      <c r="GF49" s="18"/>
      <c r="GG49" s="18"/>
      <c r="GH49" s="18"/>
      <c r="GI49" s="18"/>
      <c r="GJ49" s="18"/>
      <c r="GK49" s="18"/>
      <c r="GL49" s="18"/>
      <c r="GM49" s="18"/>
      <c r="GN49" s="18"/>
      <c r="GO49" s="18"/>
      <c r="GP49" s="18"/>
      <c r="GQ49" s="18"/>
      <c r="GR49" s="18"/>
      <c r="GS49" s="18"/>
      <c r="GT49" s="18"/>
      <c r="GU49" s="18"/>
      <c r="GV49" s="18"/>
      <c r="GW49" s="18"/>
      <c r="GX49" s="18"/>
      <c r="GY49" s="18"/>
      <c r="GZ49" s="18"/>
      <c r="HA49" s="18"/>
      <c r="HB49" s="18"/>
      <c r="HC49" s="18"/>
      <c r="HD49" s="18"/>
      <c r="HE49" s="18"/>
      <c r="HF49" s="18"/>
      <c r="HG49" s="18"/>
      <c r="HH49" s="18"/>
      <c r="HI49" s="18"/>
      <c r="HJ49" s="18"/>
      <c r="HK49" s="18"/>
      <c r="HL49" s="18"/>
      <c r="HM49" s="18"/>
      <c r="HN49" s="18"/>
      <c r="HO49" s="18"/>
      <c r="HP49" s="18"/>
      <c r="HQ49" s="18"/>
      <c r="HR49" s="18"/>
      <c r="HS49" s="18"/>
      <c r="HT49" s="18"/>
      <c r="HU49" s="18"/>
      <c r="HV49" s="18"/>
      <c r="HW49" s="18"/>
      <c r="HX49" s="18"/>
      <c r="HY49" s="18"/>
      <c r="HZ49" s="18"/>
      <c r="IA49" s="18"/>
      <c r="IB49" s="18"/>
      <c r="IC49" s="18"/>
      <c r="ID49" s="18"/>
      <c r="IE49" s="18"/>
      <c r="IF49" s="18"/>
      <c r="IG49" s="18"/>
      <c r="IH49" s="18"/>
      <c r="II49" s="18"/>
      <c r="IJ49" s="18"/>
      <c r="IK49" s="18"/>
      <c r="IL49" s="18"/>
      <c r="IM49" s="18"/>
      <c r="IN49" s="18"/>
      <c r="IO49" s="18"/>
      <c r="IP49" s="18"/>
      <c r="IQ49" s="18"/>
      <c r="IR49" s="18"/>
      <c r="IS49" s="18"/>
      <c r="IT49" s="18"/>
      <c r="IU49" s="18"/>
      <c r="IV49" s="18"/>
    </row>
    <row r="50" spans="1:256" ht="16.5" customHeight="1" x14ac:dyDescent="0.3">
      <c r="A50" s="176">
        <v>45</v>
      </c>
      <c r="B50" s="177" t="s">
        <v>153</v>
      </c>
      <c r="C50" s="58" t="s">
        <v>170</v>
      </c>
      <c r="D50" s="53"/>
      <c r="E50" s="53"/>
      <c r="F50" s="53">
        <v>751321065.96000004</v>
      </c>
      <c r="G50" s="53"/>
      <c r="H50" s="53"/>
      <c r="I50" s="53"/>
      <c r="J50" s="53">
        <v>751321065.96000004</v>
      </c>
      <c r="K50" s="53">
        <v>8847364.5500000007</v>
      </c>
      <c r="L50" s="53">
        <v>1584918.61</v>
      </c>
      <c r="M50" s="152">
        <v>7262445.9400000004</v>
      </c>
      <c r="N50" s="20">
        <v>1097580368.6500001</v>
      </c>
      <c r="O50" s="20">
        <v>10001964.07</v>
      </c>
      <c r="P50" s="30">
        <v>1031386925.33</v>
      </c>
      <c r="Q50" s="23">
        <f t="shared" si="15"/>
        <v>1.6645226005951674E-3</v>
      </c>
      <c r="R50" s="30">
        <v>1087578404.5799999</v>
      </c>
      <c r="S50" s="23">
        <f t="shared" si="16"/>
        <v>1.7939185031110364E-3</v>
      </c>
      <c r="T50" s="24">
        <f>((R50-P50)/P50)</f>
        <v>5.4481473315187698E-2</v>
      </c>
      <c r="U50" s="59">
        <f t="shared" si="18"/>
        <v>1.4572913578695622E-3</v>
      </c>
      <c r="V50" s="25">
        <f t="shared" si="19"/>
        <v>6.6776297776936873E-3</v>
      </c>
      <c r="W50" s="26">
        <f t="shared" si="20"/>
        <v>99.842100619995392</v>
      </c>
      <c r="X50" s="26">
        <f t="shared" si="21"/>
        <v>0.66670858416757062</v>
      </c>
      <c r="Y50" s="20">
        <v>100</v>
      </c>
      <c r="Z50" s="20">
        <v>100</v>
      </c>
      <c r="AA50" s="149">
        <v>552</v>
      </c>
      <c r="AB50" s="149">
        <v>10312621</v>
      </c>
      <c r="AC50" s="149">
        <v>1673685</v>
      </c>
      <c r="AD50" s="149">
        <v>1093322</v>
      </c>
      <c r="AE50" s="150">
        <v>10892984</v>
      </c>
      <c r="AF50" s="5"/>
      <c r="AG50" s="5"/>
      <c r="AH50" s="5"/>
      <c r="AI50" s="5"/>
      <c r="AJ50" s="6"/>
      <c r="AK50" s="4"/>
      <c r="AL50" s="5"/>
      <c r="AM50" s="5"/>
      <c r="AN50" s="5"/>
      <c r="AO50" s="6"/>
      <c r="AP50" s="4"/>
      <c r="AQ50" s="5"/>
      <c r="AR50" s="5"/>
      <c r="AS50" s="5"/>
      <c r="AT50" s="6"/>
    </row>
    <row r="51" spans="1:256" ht="16.5" customHeight="1" x14ac:dyDescent="0.3">
      <c r="A51" s="115" t="s">
        <v>91</v>
      </c>
      <c r="B51" s="89"/>
      <c r="C51" s="35" t="s">
        <v>52</v>
      </c>
      <c r="D51" s="36"/>
      <c r="E51" s="36"/>
      <c r="F51" s="36">
        <f t="shared" ref="F51" si="22">SUM(F22:F50)</f>
        <v>510286922775.08997</v>
      </c>
      <c r="G51" s="36"/>
      <c r="H51" s="36"/>
      <c r="I51" s="36">
        <f t="shared" ref="I51" si="23">SUM(I22:I50)</f>
        <v>1236810.25</v>
      </c>
      <c r="J51" s="36">
        <f t="shared" ref="J51" si="24">SUM(J22:J50)</f>
        <v>519772023410.28992</v>
      </c>
      <c r="K51" s="36">
        <f t="shared" ref="K51" si="25">SUM(K22:K50)</f>
        <v>3943885778.8000007</v>
      </c>
      <c r="L51" s="36">
        <f t="shared" ref="L51" si="26">SUM(L22:L50)</f>
        <v>944084348.45999992</v>
      </c>
      <c r="M51" s="36">
        <f t="shared" ref="M51:N51" si="27">SUM(M22:M50)</f>
        <v>2998633412.4099994</v>
      </c>
      <c r="N51" s="36">
        <f t="shared" si="27"/>
        <v>609797682031.26013</v>
      </c>
      <c r="O51" s="36">
        <f>SUM(O22:O50)</f>
        <v>4472080801.5899992</v>
      </c>
      <c r="P51" s="37">
        <f>SUM(P22:P50)</f>
        <v>619629270855.93005</v>
      </c>
      <c r="Q51" s="88">
        <f>(P51/$P$150)</f>
        <v>0.43860334289045089</v>
      </c>
      <c r="R51" s="37">
        <f>SUM(R22:R50)</f>
        <v>606258535543.22986</v>
      </c>
      <c r="S51" s="88">
        <f>(R51/$R$150)</f>
        <v>0.43066139638087558</v>
      </c>
      <c r="T51" s="38">
        <f t="shared" si="17"/>
        <v>-2.1578605049161766E-2</v>
      </c>
      <c r="U51" s="51"/>
      <c r="V51" s="39"/>
      <c r="W51" s="40"/>
      <c r="X51" s="40"/>
      <c r="Y51" s="36"/>
      <c r="Z51" s="36"/>
      <c r="AA51" s="41">
        <f>SUM(AA22:AA50)</f>
        <v>597799</v>
      </c>
      <c r="AB51" s="41"/>
      <c r="AC51" s="41"/>
      <c r="AD51" s="41"/>
      <c r="AE51" s="113"/>
      <c r="AF51" s="5"/>
      <c r="AG51" s="5"/>
      <c r="AH51" s="5"/>
      <c r="AI51" s="5"/>
      <c r="AJ51" s="6"/>
      <c r="AK51" s="4"/>
      <c r="AL51" s="5"/>
      <c r="AM51" s="5"/>
      <c r="AN51" s="5"/>
      <c r="AO51" s="6"/>
      <c r="AP51" s="4"/>
      <c r="AQ51" s="5"/>
      <c r="AR51" s="5"/>
      <c r="AS51" s="5"/>
      <c r="AT51" s="6"/>
    </row>
    <row r="52" spans="1:256" ht="16.5" customHeight="1" x14ac:dyDescent="0.3">
      <c r="A52" s="203" t="s">
        <v>189</v>
      </c>
      <c r="B52" s="201"/>
      <c r="C52" s="201"/>
      <c r="D52" s="45"/>
      <c r="E52" s="45"/>
      <c r="F52" s="45"/>
      <c r="G52" s="45"/>
      <c r="H52" s="45"/>
      <c r="I52" s="45"/>
      <c r="J52" s="45"/>
      <c r="K52" s="45"/>
      <c r="L52" s="45"/>
      <c r="M52" s="166"/>
      <c r="N52" s="45"/>
      <c r="O52" s="45"/>
      <c r="P52" s="45">
        <v>0</v>
      </c>
      <c r="Q52" s="24"/>
      <c r="R52" s="45">
        <v>0</v>
      </c>
      <c r="S52" s="24"/>
      <c r="T52" s="24"/>
      <c r="U52" s="24"/>
      <c r="V52" s="46"/>
      <c r="W52" s="47"/>
      <c r="X52" s="47"/>
      <c r="Y52" s="45"/>
      <c r="Z52" s="45"/>
      <c r="AA52" s="45"/>
      <c r="AB52" s="45"/>
      <c r="AC52" s="45"/>
      <c r="AD52" s="45"/>
      <c r="AE52" s="116"/>
      <c r="AF52" s="5"/>
      <c r="AG52" s="5"/>
      <c r="AH52" s="5"/>
      <c r="AI52" s="5"/>
      <c r="AJ52" s="6"/>
      <c r="AK52" s="4"/>
      <c r="AL52" s="5"/>
      <c r="AM52" s="5"/>
      <c r="AN52" s="5"/>
      <c r="AO52" s="6"/>
      <c r="AP52" s="4"/>
      <c r="AQ52" s="5"/>
      <c r="AR52" s="5"/>
      <c r="AS52" s="5"/>
      <c r="AT52" s="6"/>
    </row>
    <row r="53" spans="1:256" ht="16.5" customHeight="1" x14ac:dyDescent="0.3">
      <c r="A53" s="172">
        <v>46</v>
      </c>
      <c r="B53" s="58" t="s">
        <v>23</v>
      </c>
      <c r="C53" s="58" t="s">
        <v>92</v>
      </c>
      <c r="D53" s="20"/>
      <c r="E53" s="20"/>
      <c r="F53" s="20">
        <v>16261881071.540001</v>
      </c>
      <c r="G53" s="20">
        <v>49963897186.360001</v>
      </c>
      <c r="H53" s="20"/>
      <c r="I53" s="20"/>
      <c r="J53" s="20">
        <v>66225778257.900002</v>
      </c>
      <c r="K53" s="20">
        <v>389398180.88</v>
      </c>
      <c r="L53" s="20">
        <v>119442368.40000001</v>
      </c>
      <c r="M53" s="152">
        <v>269955812.48000002</v>
      </c>
      <c r="N53" s="20">
        <v>67287236170.870003</v>
      </c>
      <c r="O53" s="20">
        <v>513521327.63</v>
      </c>
      <c r="P53" s="30">
        <v>69903993810.619995</v>
      </c>
      <c r="Q53" s="23">
        <f t="shared" ref="Q53:Q80" si="28">(P53/$P$81)</f>
        <v>0.1679752289997706</v>
      </c>
      <c r="R53" s="30">
        <v>66773714843.239998</v>
      </c>
      <c r="S53" s="23">
        <f t="shared" ref="S53:S80" si="29">(R53/$R$81)</f>
        <v>0.15948496965777523</v>
      </c>
      <c r="T53" s="24">
        <f t="shared" ref="T53:T55" si="30">((R53-P53)/P53)</f>
        <v>-4.4779687064238058E-2</v>
      </c>
      <c r="U53" s="59">
        <f t="shared" ref="U53:U55" si="31">(L53/R53)</f>
        <v>1.7887632683070956E-3</v>
      </c>
      <c r="V53" s="25">
        <f t="shared" ref="V53:V55" si="32">M53/R53</f>
        <v>4.0428454986180789E-3</v>
      </c>
      <c r="W53" s="26">
        <f t="shared" ref="W53:W54" si="33">R53/AE53</f>
        <v>238.25702903625657</v>
      </c>
      <c r="X53" s="26">
        <f t="shared" ref="X53:X54" si="34">M53/AE53</f>
        <v>0.96323635735334667</v>
      </c>
      <c r="Y53" s="148">
        <v>238.26</v>
      </c>
      <c r="Z53" s="148">
        <v>238.26</v>
      </c>
      <c r="AA53" s="149">
        <v>6883</v>
      </c>
      <c r="AB53" s="149">
        <v>294234098.70999998</v>
      </c>
      <c r="AC53" s="149">
        <v>39431456.560000002</v>
      </c>
      <c r="AD53" s="149">
        <v>53406395.18</v>
      </c>
      <c r="AE53" s="150">
        <v>280259160.08999997</v>
      </c>
      <c r="AF53" s="5"/>
      <c r="AG53" s="5"/>
      <c r="AH53" s="5"/>
      <c r="AI53" s="5"/>
      <c r="AJ53" s="6"/>
      <c r="AK53" s="4"/>
      <c r="AL53" s="5"/>
      <c r="AM53" s="5"/>
      <c r="AN53" s="5"/>
      <c r="AO53" s="6"/>
      <c r="AP53" s="4"/>
      <c r="AQ53" s="5"/>
      <c r="AR53" s="5"/>
      <c r="AS53" s="5"/>
      <c r="AT53" s="6"/>
    </row>
    <row r="54" spans="1:256" ht="16.5" customHeight="1" x14ac:dyDescent="0.3">
      <c r="A54" s="172">
        <v>47</v>
      </c>
      <c r="B54" s="58" t="s">
        <v>31</v>
      </c>
      <c r="C54" s="58" t="s">
        <v>93</v>
      </c>
      <c r="D54" s="20"/>
      <c r="E54" s="20"/>
      <c r="F54" s="20">
        <v>413816592.49000001</v>
      </c>
      <c r="G54" s="20">
        <v>983131476.95000005</v>
      </c>
      <c r="H54" s="20"/>
      <c r="I54" s="20"/>
      <c r="J54" s="20">
        <v>1396948069.4400001</v>
      </c>
      <c r="K54" s="20">
        <v>12688256.01</v>
      </c>
      <c r="L54" s="20">
        <v>1842877.47</v>
      </c>
      <c r="M54" s="152">
        <v>1045378.54</v>
      </c>
      <c r="N54" s="20">
        <v>1400110932.1600001</v>
      </c>
      <c r="O54" s="20">
        <v>30224212.510000002</v>
      </c>
      <c r="P54" s="30">
        <v>1396840937.0599999</v>
      </c>
      <c r="Q54" s="23">
        <f t="shared" si="28"/>
        <v>3.3565274813133973E-3</v>
      </c>
      <c r="R54" s="30">
        <v>1369886719.6500001</v>
      </c>
      <c r="S54" s="23">
        <f t="shared" si="29"/>
        <v>3.2718913786790389E-3</v>
      </c>
      <c r="T54" s="24">
        <f t="shared" si="30"/>
        <v>-1.9296554600362528E-2</v>
      </c>
      <c r="U54" s="59">
        <f t="shared" si="31"/>
        <v>1.3452772726133492E-3</v>
      </c>
      <c r="V54" s="25">
        <f t="shared" si="32"/>
        <v>7.631131282644229E-4</v>
      </c>
      <c r="W54" s="26">
        <f t="shared" si="33"/>
        <v>318.66853438550623</v>
      </c>
      <c r="X54" s="26">
        <f t="shared" si="34"/>
        <v>0.24318014215436248</v>
      </c>
      <c r="Y54" s="148">
        <v>318.66849999999999</v>
      </c>
      <c r="Z54" s="148">
        <v>318.66849999999999</v>
      </c>
      <c r="AA54" s="149">
        <v>97</v>
      </c>
      <c r="AB54" s="149">
        <v>4346470.9145</v>
      </c>
      <c r="AC54" s="53">
        <v>311.58780000000002</v>
      </c>
      <c r="AD54" s="149">
        <v>48000</v>
      </c>
      <c r="AE54" s="150">
        <v>4298782.5022999998</v>
      </c>
      <c r="AF54" s="5"/>
      <c r="AG54" s="5"/>
      <c r="AH54" s="5"/>
      <c r="AI54" s="5"/>
      <c r="AJ54" s="6"/>
      <c r="AK54" s="4"/>
      <c r="AL54" s="5"/>
      <c r="AM54" s="5"/>
      <c r="AN54" s="5"/>
      <c r="AO54" s="6"/>
      <c r="AP54" s="4"/>
      <c r="AQ54" s="5"/>
      <c r="AR54" s="5"/>
      <c r="AS54" s="5"/>
      <c r="AT54" s="6"/>
    </row>
    <row r="55" spans="1:256" ht="16.5" customHeight="1" x14ac:dyDescent="0.3">
      <c r="A55" s="172">
        <v>48</v>
      </c>
      <c r="B55" s="58" t="s">
        <v>37</v>
      </c>
      <c r="C55" s="58" t="s">
        <v>190</v>
      </c>
      <c r="D55" s="20"/>
      <c r="E55" s="20"/>
      <c r="F55" s="20">
        <v>22583158374.060001</v>
      </c>
      <c r="G55" s="20">
        <v>35385143643.900002</v>
      </c>
      <c r="H55" s="20"/>
      <c r="I55" s="20"/>
      <c r="J55" s="20">
        <v>58070422958.5</v>
      </c>
      <c r="K55" s="20">
        <v>949228761.50999999</v>
      </c>
      <c r="L55" s="20">
        <v>59705755.520000003</v>
      </c>
      <c r="M55" s="152">
        <v>889523005.99000001</v>
      </c>
      <c r="N55" s="20">
        <v>58107820371.760002</v>
      </c>
      <c r="O55" s="20">
        <v>37397413.229999997</v>
      </c>
      <c r="P55" s="30">
        <v>51795439411.400002</v>
      </c>
      <c r="Q55" s="23">
        <f t="shared" si="28"/>
        <v>0.12446142662240678</v>
      </c>
      <c r="R55" s="30">
        <v>58070422958.540001</v>
      </c>
      <c r="S55" s="23">
        <f t="shared" si="29"/>
        <v>0.13869768463981935</v>
      </c>
      <c r="T55" s="24">
        <f t="shared" si="30"/>
        <v>0.12114934477723335</v>
      </c>
      <c r="U55" s="59">
        <f t="shared" si="31"/>
        <v>1.0281611959779863E-3</v>
      </c>
      <c r="V55" s="25">
        <f t="shared" si="32"/>
        <v>1.5318004599778522E-2</v>
      </c>
      <c r="W55" s="26">
        <f>R55/AE55</f>
        <v>1444.406810012365</v>
      </c>
      <c r="X55" s="26">
        <f>M55/AE55</f>
        <v>22.125430159720828</v>
      </c>
      <c r="Y55" s="148">
        <v>1444.4</v>
      </c>
      <c r="Z55" s="148">
        <v>1444.4</v>
      </c>
      <c r="AA55" s="149">
        <v>2168</v>
      </c>
      <c r="AB55" s="149">
        <v>36161293</v>
      </c>
      <c r="AC55" s="149">
        <v>5377776</v>
      </c>
      <c r="AD55" s="149">
        <v>1335421</v>
      </c>
      <c r="AE55" s="150">
        <v>40203648</v>
      </c>
      <c r="AF55" s="5"/>
      <c r="AG55" s="5"/>
      <c r="AH55" s="5"/>
      <c r="AI55" s="5"/>
      <c r="AJ55" s="6"/>
      <c r="AK55" s="4"/>
      <c r="AL55" s="5"/>
      <c r="AM55" s="5"/>
      <c r="AN55" s="5"/>
      <c r="AO55" s="6"/>
      <c r="AP55" s="4"/>
      <c r="AQ55" s="5"/>
      <c r="AR55" s="5"/>
      <c r="AS55" s="5"/>
      <c r="AT55" s="6"/>
    </row>
    <row r="56" spans="1:256" ht="16.5" customHeight="1" x14ac:dyDescent="0.3">
      <c r="A56" s="172">
        <v>49</v>
      </c>
      <c r="B56" s="57" t="s">
        <v>159</v>
      </c>
      <c r="C56" s="58" t="s">
        <v>161</v>
      </c>
      <c r="D56" s="20"/>
      <c r="E56" s="20"/>
      <c r="F56" s="20"/>
      <c r="G56" s="20">
        <v>472494794.94</v>
      </c>
      <c r="H56" s="29"/>
      <c r="I56" s="28"/>
      <c r="J56" s="28">
        <v>644503094.95000005</v>
      </c>
      <c r="K56" s="28">
        <v>5797974.8399999999</v>
      </c>
      <c r="L56" s="20">
        <v>1417359.8</v>
      </c>
      <c r="M56" s="152">
        <v>4380615.04</v>
      </c>
      <c r="N56" s="20">
        <v>644503094.95000005</v>
      </c>
      <c r="O56" s="20">
        <v>615663499.16999996</v>
      </c>
      <c r="P56" s="30">
        <v>632402978.77999997</v>
      </c>
      <c r="Q56" s="23">
        <f t="shared" si="28"/>
        <v>1.519627554735923E-3</v>
      </c>
      <c r="R56" s="30">
        <v>635827705.35000002</v>
      </c>
      <c r="S56" s="23">
        <f t="shared" si="29"/>
        <v>1.5186359263278818E-3</v>
      </c>
      <c r="T56" s="24">
        <f>((R56-P56)/P56)</f>
        <v>5.4154181509499886E-3</v>
      </c>
      <c r="U56" s="59">
        <f>(L56/R56)</f>
        <v>2.2291570311800033E-3</v>
      </c>
      <c r="V56" s="25">
        <f>M56/R56</f>
        <v>6.8896259208909919E-3</v>
      </c>
      <c r="W56" s="26">
        <f>R56/AE56</f>
        <v>1.0345543695445059</v>
      </c>
      <c r="X56" s="26">
        <f>M56/AE56</f>
        <v>7.1276926009848657E-3</v>
      </c>
      <c r="Y56" s="148">
        <v>1.03</v>
      </c>
      <c r="Z56" s="148">
        <v>1.03</v>
      </c>
      <c r="AA56" s="149">
        <v>40</v>
      </c>
      <c r="AB56" s="149">
        <v>616113811.74000001</v>
      </c>
      <c r="AC56" s="149">
        <v>189421.16</v>
      </c>
      <c r="AD56" s="149">
        <v>1712328.77</v>
      </c>
      <c r="AE56" s="150">
        <v>614590904.13</v>
      </c>
      <c r="AF56" s="5"/>
      <c r="AG56" s="5"/>
      <c r="AH56" s="5"/>
      <c r="AI56" s="5"/>
      <c r="AJ56" s="6"/>
      <c r="AK56" s="4"/>
      <c r="AL56" s="5"/>
      <c r="AM56" s="5"/>
      <c r="AN56" s="5"/>
      <c r="AO56" s="6"/>
      <c r="AP56" s="4"/>
      <c r="AQ56" s="5"/>
      <c r="AR56" s="5"/>
      <c r="AS56" s="5"/>
      <c r="AT56" s="6"/>
      <c r="AU56" s="18"/>
      <c r="AV56" s="18"/>
      <c r="AW56" s="18"/>
      <c r="AX56" s="18"/>
      <c r="AY56" s="18"/>
      <c r="AZ56" s="18"/>
      <c r="BA56" s="18"/>
      <c r="BB56" s="18"/>
      <c r="BC56" s="18"/>
      <c r="BD56" s="18"/>
      <c r="BE56" s="18"/>
      <c r="BF56" s="18"/>
      <c r="BG56" s="18"/>
      <c r="BH56" s="18"/>
      <c r="BI56" s="18"/>
      <c r="BJ56" s="18"/>
      <c r="BK56" s="18"/>
      <c r="BL56" s="18"/>
      <c r="BM56" s="18"/>
      <c r="BN56" s="18"/>
      <c r="BO56" s="18"/>
      <c r="BP56" s="18"/>
      <c r="BQ56" s="18"/>
      <c r="BR56" s="18"/>
      <c r="BS56" s="18"/>
      <c r="BT56" s="18"/>
      <c r="BU56" s="18"/>
      <c r="BV56" s="18"/>
      <c r="BW56" s="18"/>
      <c r="BX56" s="18"/>
      <c r="BY56" s="18"/>
      <c r="BZ56" s="18"/>
      <c r="CA56" s="18"/>
      <c r="CB56" s="18"/>
      <c r="CC56" s="18"/>
      <c r="CD56" s="18"/>
      <c r="CE56" s="18"/>
      <c r="CF56" s="18"/>
      <c r="CG56" s="18"/>
      <c r="CH56" s="18"/>
      <c r="CI56" s="18"/>
      <c r="CJ56" s="18"/>
      <c r="CK56" s="18"/>
      <c r="CL56" s="18"/>
      <c r="CM56" s="18"/>
      <c r="CN56" s="18"/>
      <c r="CO56" s="18"/>
      <c r="CP56" s="18"/>
      <c r="CQ56" s="18"/>
      <c r="CR56" s="18"/>
      <c r="CS56" s="18"/>
      <c r="CT56" s="18"/>
      <c r="CU56" s="18"/>
      <c r="CV56" s="18"/>
      <c r="CW56" s="18"/>
      <c r="CX56" s="18"/>
      <c r="CY56" s="18"/>
      <c r="CZ56" s="18"/>
      <c r="DA56" s="18"/>
      <c r="DB56" s="18"/>
      <c r="DC56" s="18"/>
      <c r="DD56" s="18"/>
      <c r="DE56" s="18"/>
      <c r="DF56" s="18"/>
      <c r="DG56" s="18"/>
      <c r="DH56" s="18"/>
      <c r="DI56" s="18"/>
      <c r="DJ56" s="18"/>
      <c r="DK56" s="18"/>
      <c r="DL56" s="18"/>
      <c r="DM56" s="18"/>
      <c r="DN56" s="18"/>
      <c r="DO56" s="18"/>
      <c r="DP56" s="18"/>
      <c r="DQ56" s="18"/>
      <c r="DR56" s="18"/>
      <c r="DS56" s="18"/>
      <c r="DT56" s="18"/>
      <c r="DU56" s="18"/>
      <c r="DV56" s="18"/>
      <c r="DW56" s="18"/>
      <c r="DX56" s="18"/>
      <c r="DY56" s="18"/>
      <c r="DZ56" s="18"/>
      <c r="EA56" s="18"/>
      <c r="EB56" s="18"/>
      <c r="EC56" s="18"/>
      <c r="ED56" s="18"/>
      <c r="EE56" s="18"/>
      <c r="EF56" s="18"/>
      <c r="EG56" s="18"/>
      <c r="EH56" s="18"/>
      <c r="EI56" s="18"/>
      <c r="EJ56" s="18"/>
      <c r="EK56" s="18"/>
      <c r="EL56" s="18"/>
      <c r="EM56" s="18"/>
      <c r="EN56" s="18"/>
      <c r="EO56" s="18"/>
      <c r="EP56" s="18"/>
      <c r="EQ56" s="18"/>
      <c r="ER56" s="18"/>
      <c r="ES56" s="18"/>
      <c r="ET56" s="18"/>
      <c r="EU56" s="18"/>
      <c r="EV56" s="18"/>
      <c r="EW56" s="18"/>
      <c r="EX56" s="18"/>
      <c r="EY56" s="18"/>
      <c r="EZ56" s="18"/>
      <c r="FA56" s="18"/>
      <c r="FB56" s="18"/>
      <c r="FC56" s="18"/>
      <c r="FD56" s="18"/>
      <c r="FE56" s="18"/>
      <c r="FF56" s="18"/>
      <c r="FG56" s="18"/>
      <c r="FH56" s="18"/>
      <c r="FI56" s="18"/>
      <c r="FJ56" s="18"/>
      <c r="FK56" s="18"/>
      <c r="FL56" s="18"/>
      <c r="FM56" s="18"/>
      <c r="FN56" s="18"/>
      <c r="FO56" s="18"/>
      <c r="FP56" s="18"/>
      <c r="FQ56" s="18"/>
      <c r="FR56" s="18"/>
      <c r="FS56" s="18"/>
      <c r="FT56" s="18"/>
      <c r="FU56" s="18"/>
      <c r="FV56" s="18"/>
      <c r="FW56" s="18"/>
      <c r="FX56" s="18"/>
      <c r="FY56" s="18"/>
      <c r="FZ56" s="18"/>
      <c r="GA56" s="18"/>
      <c r="GB56" s="18"/>
      <c r="GC56" s="18"/>
      <c r="GD56" s="18"/>
      <c r="GE56" s="18"/>
      <c r="GF56" s="18"/>
      <c r="GG56" s="18"/>
      <c r="GH56" s="18"/>
      <c r="GI56" s="18"/>
      <c r="GJ56" s="18"/>
      <c r="GK56" s="18"/>
      <c r="GL56" s="18"/>
      <c r="GM56" s="18"/>
      <c r="GN56" s="18"/>
      <c r="GO56" s="18"/>
      <c r="GP56" s="18"/>
      <c r="GQ56" s="18"/>
      <c r="GR56" s="18"/>
      <c r="GS56" s="18"/>
      <c r="GT56" s="18"/>
      <c r="GU56" s="18"/>
      <c r="GV56" s="18"/>
      <c r="GW56" s="18"/>
      <c r="GX56" s="18"/>
      <c r="GY56" s="18"/>
      <c r="GZ56" s="18"/>
      <c r="HA56" s="18"/>
      <c r="HB56" s="18"/>
      <c r="HC56" s="18"/>
      <c r="HD56" s="18"/>
      <c r="HE56" s="18"/>
      <c r="HF56" s="18"/>
      <c r="HG56" s="18"/>
      <c r="HH56" s="18"/>
      <c r="HI56" s="18"/>
      <c r="HJ56" s="18"/>
      <c r="HK56" s="18"/>
      <c r="HL56" s="18"/>
      <c r="HM56" s="18"/>
      <c r="HN56" s="18"/>
      <c r="HO56" s="18"/>
      <c r="HP56" s="18"/>
      <c r="HQ56" s="18"/>
      <c r="HR56" s="18"/>
      <c r="HS56" s="18"/>
      <c r="HT56" s="18"/>
      <c r="HU56" s="18"/>
      <c r="HV56" s="18"/>
      <c r="HW56" s="18"/>
      <c r="HX56" s="18"/>
      <c r="HY56" s="18"/>
      <c r="HZ56" s="18"/>
      <c r="IA56" s="18"/>
      <c r="IB56" s="18"/>
      <c r="IC56" s="18"/>
      <c r="ID56" s="18"/>
      <c r="IE56" s="18"/>
      <c r="IF56" s="18"/>
      <c r="IG56" s="18"/>
      <c r="IH56" s="18"/>
      <c r="II56" s="18"/>
      <c r="IJ56" s="18"/>
      <c r="IK56" s="18"/>
      <c r="IL56" s="18"/>
      <c r="IM56" s="18"/>
      <c r="IN56" s="18"/>
      <c r="IO56" s="18"/>
      <c r="IP56" s="18"/>
      <c r="IQ56" s="18"/>
      <c r="IR56" s="18"/>
      <c r="IS56" s="18"/>
      <c r="IT56" s="18"/>
      <c r="IU56" s="18"/>
      <c r="IV56" s="18"/>
    </row>
    <row r="57" spans="1:256" ht="16.5" customHeight="1" x14ac:dyDescent="0.3">
      <c r="A57" s="172">
        <v>50</v>
      </c>
      <c r="B57" s="58" t="s">
        <v>82</v>
      </c>
      <c r="C57" s="57" t="s">
        <v>98</v>
      </c>
      <c r="D57" s="20"/>
      <c r="E57" s="20"/>
      <c r="F57" s="20">
        <v>756341629.63999999</v>
      </c>
      <c r="G57" s="20">
        <v>2175869884.8699999</v>
      </c>
      <c r="H57" s="20"/>
      <c r="I57" s="20"/>
      <c r="J57" s="20">
        <v>2932211514.5100002</v>
      </c>
      <c r="K57" s="20">
        <v>19692386.809999999</v>
      </c>
      <c r="L57" s="20">
        <v>5036634.4800000004</v>
      </c>
      <c r="M57" s="152">
        <v>14655752.33</v>
      </c>
      <c r="N57" s="20">
        <v>2935791365.5100002</v>
      </c>
      <c r="O57" s="20">
        <v>44965088.210000001</v>
      </c>
      <c r="P57" s="30">
        <v>2901806251.7399998</v>
      </c>
      <c r="Q57" s="23">
        <f t="shared" si="28"/>
        <v>6.9728715496501512E-3</v>
      </c>
      <c r="R57" s="30">
        <v>2890826277.3000002</v>
      </c>
      <c r="S57" s="23">
        <f t="shared" si="29"/>
        <v>6.9045633031418014E-3</v>
      </c>
      <c r="T57" s="24">
        <f>((R57-P57)/P57)</f>
        <v>-3.7838413344845807E-3</v>
      </c>
      <c r="U57" s="59">
        <f t="shared" ref="U57:U78" si="35">(L57/R57)</f>
        <v>1.7422819626173322E-3</v>
      </c>
      <c r="V57" s="25">
        <f t="shared" ref="V57:V78" si="36">M57/R57</f>
        <v>5.0697450915965486E-3</v>
      </c>
      <c r="W57" s="26">
        <f t="shared" ref="W57:W75" si="37">R57/AE57</f>
        <v>3537.8301795514494</v>
      </c>
      <c r="X57" s="26">
        <f t="shared" ref="X57:X75" si="38">M57/AE57</f>
        <v>17.9358971876831</v>
      </c>
      <c r="Y57" s="148">
        <v>3537.83</v>
      </c>
      <c r="Z57" s="148">
        <v>3537.83</v>
      </c>
      <c r="AA57" s="149">
        <v>1043</v>
      </c>
      <c r="AB57" s="149">
        <v>824172.25</v>
      </c>
      <c r="AC57" s="149">
        <v>1687.62</v>
      </c>
      <c r="AD57" s="149">
        <v>8741.43</v>
      </c>
      <c r="AE57" s="150">
        <v>817118.44</v>
      </c>
      <c r="AF57" s="5"/>
      <c r="AG57" s="5"/>
      <c r="AH57" s="5"/>
      <c r="AI57" s="5"/>
      <c r="AJ57" s="6"/>
      <c r="AK57" s="4"/>
      <c r="AL57" s="5"/>
      <c r="AM57" s="5"/>
      <c r="AN57" s="5"/>
      <c r="AO57" s="6"/>
      <c r="AP57" s="4"/>
      <c r="AQ57" s="5"/>
      <c r="AR57" s="5"/>
      <c r="AS57" s="5"/>
      <c r="AT57" s="6"/>
    </row>
    <row r="58" spans="1:256" ht="16.5" customHeight="1" x14ac:dyDescent="0.3">
      <c r="A58" s="172">
        <v>51</v>
      </c>
      <c r="B58" s="58" t="s">
        <v>33</v>
      </c>
      <c r="C58" s="58" t="s">
        <v>99</v>
      </c>
      <c r="D58" s="20"/>
      <c r="E58" s="20"/>
      <c r="F58" s="20">
        <v>3588758573</v>
      </c>
      <c r="G58" s="20">
        <v>91459824678</v>
      </c>
      <c r="H58" s="20"/>
      <c r="I58" s="20"/>
      <c r="J58" s="20">
        <v>95048583251</v>
      </c>
      <c r="K58" s="20">
        <v>845109178</v>
      </c>
      <c r="L58" s="20">
        <v>202686704</v>
      </c>
      <c r="M58" s="152">
        <v>642422474</v>
      </c>
      <c r="N58" s="20">
        <v>128491039694.24001</v>
      </c>
      <c r="O58" s="20">
        <v>711491150.08000004</v>
      </c>
      <c r="P58" s="30">
        <v>131994890791</v>
      </c>
      <c r="Q58" s="23">
        <f t="shared" si="28"/>
        <v>0.31717604100682339</v>
      </c>
      <c r="R58" s="30">
        <v>127779548544</v>
      </c>
      <c r="S58" s="23">
        <f t="shared" si="29"/>
        <v>0.30519370489220532</v>
      </c>
      <c r="T58" s="24">
        <f>((R58-P58)/P58)</f>
        <v>-3.1935647067389529E-2</v>
      </c>
      <c r="U58" s="59">
        <f t="shared" si="35"/>
        <v>1.5862217883028929E-3</v>
      </c>
      <c r="V58" s="25">
        <f t="shared" si="36"/>
        <v>5.0275844712253485E-3</v>
      </c>
      <c r="W58" s="26">
        <f t="shared" si="37"/>
        <v>2.0045701108252492</v>
      </c>
      <c r="X58" s="26">
        <f t="shared" si="38"/>
        <v>1.0078145560667499E-2</v>
      </c>
      <c r="Y58" s="148">
        <v>2</v>
      </c>
      <c r="Z58" s="148">
        <v>2</v>
      </c>
      <c r="AA58" s="149">
        <v>2440</v>
      </c>
      <c r="AB58" s="149">
        <v>66021111658</v>
      </c>
      <c r="AC58" s="149">
        <v>8714950073</v>
      </c>
      <c r="AD58" s="149">
        <v>10991946295</v>
      </c>
      <c r="AE58" s="150">
        <v>63744115436</v>
      </c>
      <c r="AF58" s="5"/>
      <c r="AG58" s="5"/>
      <c r="AH58" s="5"/>
      <c r="AI58" s="5"/>
      <c r="AJ58" s="6"/>
      <c r="AK58" s="4"/>
      <c r="AL58" s="5"/>
      <c r="AM58" s="5"/>
      <c r="AN58" s="5"/>
      <c r="AO58" s="6"/>
      <c r="AP58" s="4"/>
      <c r="AQ58" s="5"/>
      <c r="AR58" s="5"/>
      <c r="AS58" s="5"/>
      <c r="AT58" s="6"/>
    </row>
    <row r="59" spans="1:256" ht="16.5" customHeight="1" x14ac:dyDescent="0.3">
      <c r="A59" s="172">
        <v>52</v>
      </c>
      <c r="B59" s="58" t="s">
        <v>44</v>
      </c>
      <c r="C59" s="58" t="s">
        <v>100</v>
      </c>
      <c r="D59" s="20">
        <v>20756250</v>
      </c>
      <c r="E59" s="20"/>
      <c r="F59" s="20">
        <v>574061635.25999999</v>
      </c>
      <c r="G59" s="20">
        <v>9728121910.6700001</v>
      </c>
      <c r="H59" s="20"/>
      <c r="I59" s="20"/>
      <c r="J59" s="20">
        <v>10322939795.93</v>
      </c>
      <c r="K59" s="20">
        <v>45474772.619999997</v>
      </c>
      <c r="L59" s="20">
        <v>6884201.75</v>
      </c>
      <c r="M59" s="152">
        <v>39854320.859999999</v>
      </c>
      <c r="N59" s="20">
        <v>10323805035.700001</v>
      </c>
      <c r="O59" s="20">
        <v>284278330.35000002</v>
      </c>
      <c r="P59" s="30">
        <v>10108303333</v>
      </c>
      <c r="Q59" s="23">
        <f t="shared" si="28"/>
        <v>2.4289664647198787E-2</v>
      </c>
      <c r="R59" s="30">
        <v>10039526705.35</v>
      </c>
      <c r="S59" s="23">
        <f t="shared" si="29"/>
        <v>2.397880087606457E-2</v>
      </c>
      <c r="T59" s="24">
        <f t="shared" ref="T59:T102" si="39">((R59-P59)/P59)</f>
        <v>-6.8039734646138383E-3</v>
      </c>
      <c r="U59" s="59">
        <f t="shared" si="35"/>
        <v>6.8570979011704336E-4</v>
      </c>
      <c r="V59" s="25">
        <f t="shared" si="36"/>
        <v>3.9697410076873331E-3</v>
      </c>
      <c r="W59" s="26">
        <f t="shared" si="37"/>
        <v>1.0003018239326045</v>
      </c>
      <c r="X59" s="26">
        <f t="shared" si="38"/>
        <v>3.9709391705296943E-3</v>
      </c>
      <c r="Y59" s="148">
        <v>1</v>
      </c>
      <c r="Z59" s="148">
        <v>1</v>
      </c>
      <c r="AA59" s="149">
        <v>4485</v>
      </c>
      <c r="AB59" s="149">
        <v>10082328523.049999</v>
      </c>
      <c r="AC59" s="149">
        <v>29999506</v>
      </c>
      <c r="AD59" s="149">
        <v>75830578.829999998</v>
      </c>
      <c r="AE59" s="150">
        <f>(AB59+AC59)-AD59</f>
        <v>10036497450.219999</v>
      </c>
      <c r="AF59" s="5"/>
      <c r="AG59" s="5"/>
      <c r="AH59" s="5"/>
      <c r="AI59" s="5"/>
      <c r="AJ59" s="6"/>
      <c r="AK59" s="4"/>
      <c r="AL59" s="5"/>
      <c r="AM59" s="5"/>
      <c r="AN59" s="5"/>
      <c r="AO59" s="6"/>
      <c r="AP59" s="4"/>
      <c r="AQ59" s="5"/>
      <c r="AR59" s="5"/>
      <c r="AS59" s="5"/>
      <c r="AT59" s="6"/>
    </row>
    <row r="60" spans="1:256" ht="16.5" customHeight="1" x14ac:dyDescent="0.3">
      <c r="A60" s="172">
        <v>53</v>
      </c>
      <c r="B60" s="57" t="s">
        <v>74</v>
      </c>
      <c r="C60" s="57" t="s">
        <v>112</v>
      </c>
      <c r="D60" s="20"/>
      <c r="E60" s="20"/>
      <c r="F60" s="20">
        <v>1081148845.4400001</v>
      </c>
      <c r="G60" s="20">
        <v>2976141168.0700002</v>
      </c>
      <c r="H60" s="20"/>
      <c r="I60" s="20"/>
      <c r="J60" s="20">
        <v>4057290013.5100002</v>
      </c>
      <c r="K60" s="20">
        <v>29352821.039999999</v>
      </c>
      <c r="L60" s="20">
        <v>6847357.4500000002</v>
      </c>
      <c r="M60" s="152">
        <v>22505463.59</v>
      </c>
      <c r="N60" s="20">
        <v>4065077128.9499998</v>
      </c>
      <c r="O60" s="20">
        <v>6189029.04</v>
      </c>
      <c r="P60" s="30">
        <v>4031321595.4400001</v>
      </c>
      <c r="Q60" s="23">
        <f t="shared" si="28"/>
        <v>9.687031187377999E-3</v>
      </c>
      <c r="R60" s="30">
        <v>4058888099.9099998</v>
      </c>
      <c r="S60" s="23">
        <f t="shared" si="29"/>
        <v>9.6944081511437068E-3</v>
      </c>
      <c r="T60" s="24">
        <f>((R60-P60)/P60)</f>
        <v>6.8380812141560325E-3</v>
      </c>
      <c r="U60" s="59">
        <f>(L60/R60)</f>
        <v>1.6870032583928172E-3</v>
      </c>
      <c r="V60" s="25">
        <f>M60/R60</f>
        <v>5.5447361533566362E-3</v>
      </c>
      <c r="W60" s="26">
        <f>R60/AE60</f>
        <v>22.523314009755058</v>
      </c>
      <c r="X60" s="26">
        <f>M60/AE60</f>
        <v>0.12488583348329289</v>
      </c>
      <c r="Y60" s="148">
        <v>22.523800000000001</v>
      </c>
      <c r="Z60" s="148">
        <v>22.523800000000001</v>
      </c>
      <c r="AA60" s="149">
        <v>1397</v>
      </c>
      <c r="AB60" s="149">
        <v>180001828.66</v>
      </c>
      <c r="AC60" s="149">
        <v>2538466.83</v>
      </c>
      <c r="AD60" s="149">
        <v>2331996.7400000002</v>
      </c>
      <c r="AE60" s="150">
        <f>(AB60+AC60)-AD60</f>
        <v>180208298.75</v>
      </c>
      <c r="AF60" s="5"/>
      <c r="AG60" s="5"/>
      <c r="AH60" s="5"/>
      <c r="AI60" s="5"/>
      <c r="AJ60" s="6"/>
      <c r="AK60" s="4"/>
      <c r="AL60" s="5"/>
      <c r="AM60" s="5"/>
      <c r="AN60" s="5"/>
      <c r="AO60" s="6"/>
      <c r="AP60" s="4"/>
      <c r="AQ60" s="5"/>
      <c r="AR60" s="5"/>
      <c r="AS60" s="5"/>
      <c r="AT60" s="6"/>
      <c r="AU60" s="18"/>
      <c r="AV60" s="18"/>
      <c r="AW60" s="18"/>
      <c r="AX60" s="18"/>
      <c r="AY60" s="18"/>
      <c r="AZ60" s="18"/>
      <c r="BA60" s="18"/>
      <c r="BB60" s="18"/>
      <c r="BC60" s="18"/>
      <c r="BD60" s="18"/>
      <c r="BE60" s="18"/>
      <c r="BF60" s="18"/>
      <c r="BG60" s="18"/>
      <c r="BH60" s="18"/>
      <c r="BI60" s="18"/>
      <c r="BJ60" s="18"/>
      <c r="BK60" s="18"/>
      <c r="BL60" s="18"/>
      <c r="BM60" s="18"/>
      <c r="BN60" s="18"/>
      <c r="BO60" s="18"/>
      <c r="BP60" s="18"/>
      <c r="BQ60" s="18"/>
      <c r="BR60" s="18"/>
      <c r="BS60" s="18"/>
      <c r="BT60" s="18"/>
      <c r="BU60" s="18"/>
      <c r="BV60" s="18"/>
      <c r="BW60" s="18"/>
      <c r="BX60" s="18"/>
      <c r="BY60" s="18"/>
      <c r="BZ60" s="18"/>
      <c r="CA60" s="18"/>
      <c r="CB60" s="18"/>
      <c r="CC60" s="18"/>
      <c r="CD60" s="18"/>
      <c r="CE60" s="18"/>
      <c r="CF60" s="18"/>
      <c r="CG60" s="18"/>
      <c r="CH60" s="18"/>
      <c r="CI60" s="18"/>
      <c r="CJ60" s="18"/>
      <c r="CK60" s="18"/>
      <c r="CL60" s="18"/>
      <c r="CM60" s="18"/>
      <c r="CN60" s="18"/>
      <c r="CO60" s="18"/>
      <c r="CP60" s="18"/>
      <c r="CQ60" s="18"/>
      <c r="CR60" s="18"/>
      <c r="CS60" s="18"/>
      <c r="CT60" s="18"/>
      <c r="CU60" s="18"/>
      <c r="CV60" s="18"/>
      <c r="CW60" s="18"/>
      <c r="CX60" s="18"/>
      <c r="CY60" s="18"/>
      <c r="CZ60" s="18"/>
      <c r="DA60" s="18"/>
      <c r="DB60" s="18"/>
      <c r="DC60" s="18"/>
      <c r="DD60" s="18"/>
      <c r="DE60" s="18"/>
      <c r="DF60" s="18"/>
      <c r="DG60" s="18"/>
      <c r="DH60" s="18"/>
      <c r="DI60" s="18"/>
      <c r="DJ60" s="18"/>
      <c r="DK60" s="18"/>
      <c r="DL60" s="18"/>
      <c r="DM60" s="18"/>
      <c r="DN60" s="18"/>
      <c r="DO60" s="18"/>
      <c r="DP60" s="18"/>
      <c r="DQ60" s="18"/>
      <c r="DR60" s="18"/>
      <c r="DS60" s="18"/>
      <c r="DT60" s="18"/>
      <c r="DU60" s="18"/>
      <c r="DV60" s="18"/>
      <c r="DW60" s="18"/>
      <c r="DX60" s="18"/>
      <c r="DY60" s="18"/>
      <c r="DZ60" s="18"/>
      <c r="EA60" s="18"/>
      <c r="EB60" s="18"/>
      <c r="EC60" s="18"/>
      <c r="ED60" s="18"/>
      <c r="EE60" s="18"/>
      <c r="EF60" s="18"/>
      <c r="EG60" s="18"/>
      <c r="EH60" s="18"/>
      <c r="EI60" s="18"/>
      <c r="EJ60" s="18"/>
      <c r="EK60" s="18"/>
      <c r="EL60" s="18"/>
      <c r="EM60" s="18"/>
      <c r="EN60" s="18"/>
      <c r="EO60" s="18"/>
      <c r="EP60" s="18"/>
      <c r="EQ60" s="18"/>
      <c r="ER60" s="18"/>
      <c r="ES60" s="18"/>
      <c r="ET60" s="18"/>
      <c r="EU60" s="18"/>
      <c r="EV60" s="18"/>
      <c r="EW60" s="18"/>
      <c r="EX60" s="18"/>
      <c r="EY60" s="18"/>
      <c r="EZ60" s="18"/>
      <c r="FA60" s="18"/>
      <c r="FB60" s="18"/>
      <c r="FC60" s="18"/>
      <c r="FD60" s="18"/>
      <c r="FE60" s="18"/>
      <c r="FF60" s="18"/>
      <c r="FG60" s="18"/>
      <c r="FH60" s="18"/>
      <c r="FI60" s="18"/>
      <c r="FJ60" s="18"/>
      <c r="FK60" s="18"/>
      <c r="FL60" s="18"/>
      <c r="FM60" s="18"/>
      <c r="FN60" s="18"/>
      <c r="FO60" s="18"/>
      <c r="FP60" s="18"/>
      <c r="FQ60" s="18"/>
      <c r="FR60" s="18"/>
      <c r="FS60" s="18"/>
      <c r="FT60" s="18"/>
      <c r="FU60" s="18"/>
      <c r="FV60" s="18"/>
      <c r="FW60" s="18"/>
      <c r="FX60" s="18"/>
      <c r="FY60" s="18"/>
      <c r="FZ60" s="18"/>
      <c r="GA60" s="18"/>
      <c r="GB60" s="18"/>
      <c r="GC60" s="18"/>
      <c r="GD60" s="18"/>
      <c r="GE60" s="18"/>
      <c r="GF60" s="18"/>
      <c r="GG60" s="18"/>
      <c r="GH60" s="18"/>
      <c r="GI60" s="18"/>
      <c r="GJ60" s="18"/>
      <c r="GK60" s="18"/>
      <c r="GL60" s="18"/>
      <c r="GM60" s="18"/>
      <c r="GN60" s="18"/>
      <c r="GO60" s="18"/>
      <c r="GP60" s="18"/>
      <c r="GQ60" s="18"/>
      <c r="GR60" s="18"/>
      <c r="GS60" s="18"/>
      <c r="GT60" s="18"/>
      <c r="GU60" s="18"/>
      <c r="GV60" s="18"/>
      <c r="GW60" s="18"/>
      <c r="GX60" s="18"/>
      <c r="GY60" s="18"/>
      <c r="GZ60" s="18"/>
      <c r="HA60" s="18"/>
      <c r="HB60" s="18"/>
      <c r="HC60" s="18"/>
      <c r="HD60" s="18"/>
      <c r="HE60" s="18"/>
      <c r="HF60" s="18"/>
      <c r="HG60" s="18"/>
      <c r="HH60" s="18"/>
      <c r="HI60" s="18"/>
      <c r="HJ60" s="18"/>
      <c r="HK60" s="18"/>
      <c r="HL60" s="18"/>
      <c r="HM60" s="18"/>
      <c r="HN60" s="18"/>
      <c r="HO60" s="18"/>
      <c r="HP60" s="18"/>
      <c r="HQ60" s="18"/>
      <c r="HR60" s="18"/>
      <c r="HS60" s="18"/>
      <c r="HT60" s="18"/>
      <c r="HU60" s="18"/>
      <c r="HV60" s="18"/>
      <c r="HW60" s="18"/>
      <c r="HX60" s="18"/>
      <c r="HY60" s="18"/>
      <c r="HZ60" s="18"/>
      <c r="IA60" s="18"/>
      <c r="IB60" s="18"/>
      <c r="IC60" s="18"/>
      <c r="ID60" s="18"/>
      <c r="IE60" s="18"/>
      <c r="IF60" s="18"/>
      <c r="IG60" s="18"/>
      <c r="IH60" s="18"/>
      <c r="II60" s="18"/>
      <c r="IJ60" s="18"/>
      <c r="IK60" s="18"/>
      <c r="IL60" s="18"/>
      <c r="IM60" s="18"/>
      <c r="IN60" s="18"/>
      <c r="IO60" s="18"/>
      <c r="IP60" s="18"/>
      <c r="IQ60" s="18"/>
      <c r="IR60" s="18"/>
      <c r="IS60" s="18"/>
      <c r="IT60" s="18"/>
      <c r="IU60" s="18"/>
      <c r="IV60" s="18"/>
    </row>
    <row r="61" spans="1:256" ht="16.5" customHeight="1" x14ac:dyDescent="0.3">
      <c r="A61" s="172">
        <v>54</v>
      </c>
      <c r="B61" s="58" t="s">
        <v>101</v>
      </c>
      <c r="C61" s="58" t="s">
        <v>102</v>
      </c>
      <c r="D61" s="20"/>
      <c r="E61" s="20"/>
      <c r="F61" s="20">
        <v>93715014.739999995</v>
      </c>
      <c r="G61" s="20">
        <v>360868977.38999999</v>
      </c>
      <c r="H61" s="20"/>
      <c r="I61" s="20"/>
      <c r="J61" s="20">
        <v>454583992.13</v>
      </c>
      <c r="K61" s="20">
        <v>3012062.44</v>
      </c>
      <c r="L61" s="20">
        <v>1034776.51</v>
      </c>
      <c r="M61" s="152">
        <v>1977285.93</v>
      </c>
      <c r="N61" s="20">
        <v>461251023.54000002</v>
      </c>
      <c r="O61" s="20">
        <v>2564535.0699999998</v>
      </c>
      <c r="P61" s="30">
        <v>458085647.56</v>
      </c>
      <c r="Q61" s="23">
        <f t="shared" si="28"/>
        <v>1.1007531523715202E-3</v>
      </c>
      <c r="R61" s="30">
        <v>458686488.47000003</v>
      </c>
      <c r="S61" s="23">
        <f t="shared" si="29"/>
        <v>1.0955448692319581E-3</v>
      </c>
      <c r="T61" s="24">
        <f t="shared" si="39"/>
        <v>1.3116344360501453E-3</v>
      </c>
      <c r="U61" s="59">
        <f t="shared" si="35"/>
        <v>2.2559559437898696E-3</v>
      </c>
      <c r="V61" s="25">
        <f t="shared" si="36"/>
        <v>4.3107568670606757E-3</v>
      </c>
      <c r="W61" s="26">
        <f t="shared" si="37"/>
        <v>2.0966841824455145</v>
      </c>
      <c r="X61" s="26">
        <f t="shared" si="38"/>
        <v>9.0382957375344988E-3</v>
      </c>
      <c r="Y61" s="148">
        <v>2.0996000000000001</v>
      </c>
      <c r="Z61" s="148">
        <v>2.0996000000000001</v>
      </c>
      <c r="AA61" s="149">
        <v>1414</v>
      </c>
      <c r="AB61" s="149">
        <v>220866658.41949999</v>
      </c>
      <c r="AC61" s="149">
        <v>0</v>
      </c>
      <c r="AD61" s="149">
        <v>2099095.66</v>
      </c>
      <c r="AE61" s="150">
        <v>218767562.7595</v>
      </c>
      <c r="AF61" s="5"/>
      <c r="AG61" s="5"/>
      <c r="AH61" s="5"/>
      <c r="AI61" s="5"/>
      <c r="AJ61" s="6"/>
      <c r="AK61" s="4"/>
      <c r="AL61" s="5"/>
      <c r="AM61" s="5"/>
      <c r="AN61" s="5"/>
      <c r="AO61" s="6"/>
      <c r="AP61" s="4"/>
      <c r="AQ61" s="5"/>
      <c r="AR61" s="5"/>
      <c r="AS61" s="5"/>
      <c r="AT61" s="6"/>
    </row>
    <row r="62" spans="1:256" ht="18" customHeight="1" x14ac:dyDescent="0.3">
      <c r="A62" s="172">
        <v>55</v>
      </c>
      <c r="B62" s="58" t="s">
        <v>23</v>
      </c>
      <c r="C62" s="58" t="s">
        <v>103</v>
      </c>
      <c r="D62" s="20">
        <v>4018728</v>
      </c>
      <c r="E62" s="20"/>
      <c r="F62" s="20">
        <v>4211828569.3200002</v>
      </c>
      <c r="G62" s="20">
        <v>18255395392.259998</v>
      </c>
      <c r="H62" s="20"/>
      <c r="I62" s="20"/>
      <c r="J62" s="20">
        <v>22606992689.580002</v>
      </c>
      <c r="K62" s="20">
        <v>146522610.15000001</v>
      </c>
      <c r="L62" s="20">
        <v>41314452.189999998</v>
      </c>
      <c r="M62" s="152">
        <v>105179922.09999999</v>
      </c>
      <c r="N62" s="20">
        <v>22777676465.860001</v>
      </c>
      <c r="O62" s="20">
        <v>154384151.52000001</v>
      </c>
      <c r="P62" s="30">
        <v>23181162786.700001</v>
      </c>
      <c r="Q62" s="23">
        <f t="shared" si="28"/>
        <v>5.5702985127372331E-2</v>
      </c>
      <c r="R62" s="30">
        <v>22623292314.34</v>
      </c>
      <c r="S62" s="23">
        <f t="shared" si="29"/>
        <v>5.4034362125604682E-2</v>
      </c>
      <c r="T62" s="24">
        <f t="shared" si="39"/>
        <v>-2.4065681152115204E-2</v>
      </c>
      <c r="U62" s="59">
        <f t="shared" si="35"/>
        <v>1.8261909723816996E-3</v>
      </c>
      <c r="V62" s="25">
        <f t="shared" si="36"/>
        <v>4.6491872464261381E-3</v>
      </c>
      <c r="W62" s="26">
        <f t="shared" si="37"/>
        <v>318.80339751787659</v>
      </c>
      <c r="X62" s="26">
        <f t="shared" si="38"/>
        <v>1.4821766898574342</v>
      </c>
      <c r="Y62" s="148">
        <v>318.8</v>
      </c>
      <c r="Z62" s="148">
        <v>318.8</v>
      </c>
      <c r="AA62" s="149">
        <v>9825</v>
      </c>
      <c r="AB62" s="149">
        <v>72986583.549999997</v>
      </c>
      <c r="AC62" s="149">
        <v>1911556.81</v>
      </c>
      <c r="AD62" s="149">
        <v>3934993.51</v>
      </c>
      <c r="AE62" s="150">
        <f>(AB62+AC62)-AD62</f>
        <v>70963146.849999994</v>
      </c>
      <c r="AF62" s="5"/>
      <c r="AG62" s="5"/>
      <c r="AH62" s="5"/>
      <c r="AI62" s="5"/>
      <c r="AJ62" s="6"/>
      <c r="AK62" s="4"/>
      <c r="AL62" s="5"/>
      <c r="AM62" s="5"/>
      <c r="AN62" s="5"/>
      <c r="AO62" s="6"/>
      <c r="AP62" s="4"/>
      <c r="AQ62" s="5"/>
      <c r="AR62" s="5"/>
      <c r="AS62" s="5"/>
      <c r="AT62" s="6"/>
    </row>
    <row r="63" spans="1:256" ht="16.5" customHeight="1" x14ac:dyDescent="0.3">
      <c r="A63" s="172">
        <v>56</v>
      </c>
      <c r="B63" s="58" t="s">
        <v>104</v>
      </c>
      <c r="C63" s="58" t="s">
        <v>105</v>
      </c>
      <c r="D63" s="20"/>
      <c r="E63" s="20"/>
      <c r="F63" s="20">
        <v>893317714.32000005</v>
      </c>
      <c r="G63" s="20">
        <v>4698408142.9700003</v>
      </c>
      <c r="H63" s="20"/>
      <c r="I63" s="20"/>
      <c r="J63" s="20">
        <v>5591725857.29</v>
      </c>
      <c r="K63" s="20">
        <v>56770348.340000004</v>
      </c>
      <c r="L63" s="20">
        <v>8765040.9199999999</v>
      </c>
      <c r="M63" s="152">
        <v>48005307.420000002</v>
      </c>
      <c r="N63" s="20">
        <v>6810505829</v>
      </c>
      <c r="O63" s="20">
        <v>63014687</v>
      </c>
      <c r="P63" s="30">
        <v>6417216888</v>
      </c>
      <c r="Q63" s="23">
        <f t="shared" si="28"/>
        <v>1.5420198726030912E-2</v>
      </c>
      <c r="R63" s="30">
        <v>6747491142</v>
      </c>
      <c r="S63" s="23">
        <f t="shared" si="29"/>
        <v>1.6115973517039112E-2</v>
      </c>
      <c r="T63" s="24">
        <f t="shared" si="39"/>
        <v>5.1466899087921243E-2</v>
      </c>
      <c r="U63" s="59">
        <f t="shared" si="35"/>
        <v>1.299007399274923E-3</v>
      </c>
      <c r="V63" s="25">
        <f t="shared" si="36"/>
        <v>7.1145417474043427E-3</v>
      </c>
      <c r="W63" s="26">
        <f t="shared" si="37"/>
        <v>1.0299999999664171</v>
      </c>
      <c r="X63" s="26">
        <f t="shared" si="38"/>
        <v>7.3279779995875458E-3</v>
      </c>
      <c r="Y63" s="148">
        <v>1.03</v>
      </c>
      <c r="Z63" s="148">
        <v>1.03</v>
      </c>
      <c r="AA63" s="149">
        <v>2223</v>
      </c>
      <c r="AB63" s="149">
        <v>6291389106</v>
      </c>
      <c r="AC63" s="149">
        <f>AE63-AB63</f>
        <v>259573168</v>
      </c>
      <c r="AD63" s="149">
        <v>0</v>
      </c>
      <c r="AE63" s="150">
        <v>6550962274</v>
      </c>
      <c r="AF63" s="5"/>
      <c r="AG63" s="5"/>
      <c r="AH63" s="5"/>
      <c r="AI63" s="5"/>
      <c r="AJ63" s="6"/>
      <c r="AK63" s="4"/>
      <c r="AL63" s="5"/>
      <c r="AM63" s="5"/>
      <c r="AN63" s="5"/>
      <c r="AO63" s="6"/>
      <c r="AP63" s="4"/>
      <c r="AQ63" s="5"/>
      <c r="AR63" s="5"/>
      <c r="AS63" s="5"/>
      <c r="AT63" s="6"/>
    </row>
    <row r="64" spans="1:256" ht="15.75" customHeight="1" x14ac:dyDescent="0.3">
      <c r="A64" s="172">
        <v>57</v>
      </c>
      <c r="B64" s="57" t="s">
        <v>25</v>
      </c>
      <c r="C64" s="58" t="s">
        <v>191</v>
      </c>
      <c r="D64" s="20"/>
      <c r="E64" s="20"/>
      <c r="F64" s="20">
        <v>401147643.81</v>
      </c>
      <c r="G64" s="20">
        <v>4668612451.1099997</v>
      </c>
      <c r="H64" s="20"/>
      <c r="I64" s="20"/>
      <c r="J64" s="20">
        <v>5071510796.21</v>
      </c>
      <c r="K64" s="153">
        <v>40011499.100000001</v>
      </c>
      <c r="L64" s="153">
        <v>6120846.25</v>
      </c>
      <c r="M64" s="152">
        <v>33890652.850000001</v>
      </c>
      <c r="N64" s="20">
        <v>5071510796.21</v>
      </c>
      <c r="O64" s="20">
        <v>28231007.34</v>
      </c>
      <c r="P64" s="30">
        <v>5302505031.4300003</v>
      </c>
      <c r="Q64" s="23">
        <f t="shared" si="28"/>
        <v>1.274161100637392E-2</v>
      </c>
      <c r="R64" s="30">
        <v>5043279788.8699999</v>
      </c>
      <c r="S64" s="23">
        <f t="shared" si="29"/>
        <v>1.2045568020168809E-2</v>
      </c>
      <c r="T64" s="24">
        <f t="shared" si="39"/>
        <v>-4.8887316659479256E-2</v>
      </c>
      <c r="U64" s="59">
        <f>(L65/R64)</f>
        <v>1.1853092610869007E-2</v>
      </c>
      <c r="V64" s="25">
        <f t="shared" si="36"/>
        <v>6.7199628552818327E-3</v>
      </c>
      <c r="W64" s="26">
        <f t="shared" si="37"/>
        <v>3.9791427770547232</v>
      </c>
      <c r="X64" s="26">
        <f t="shared" si="38"/>
        <v>2.6739691657670737E-2</v>
      </c>
      <c r="Y64" s="154">
        <v>3.98</v>
      </c>
      <c r="Z64" s="154">
        <v>3.98</v>
      </c>
      <c r="AA64" s="153">
        <v>898</v>
      </c>
      <c r="AB64" s="153">
        <v>1329419187</v>
      </c>
      <c r="AC64" s="153">
        <v>0</v>
      </c>
      <c r="AD64" s="153">
        <v>61990479</v>
      </c>
      <c r="AE64" s="150">
        <f>(AB64+AC64)-AD64</f>
        <v>1267428708</v>
      </c>
      <c r="AF64" s="5"/>
      <c r="AG64" s="5"/>
      <c r="AH64" s="5"/>
      <c r="AI64" s="5"/>
      <c r="AJ64" s="6"/>
      <c r="AK64" s="4"/>
      <c r="AL64" s="5"/>
      <c r="AM64" s="5"/>
      <c r="AN64" s="5"/>
      <c r="AO64" s="6"/>
      <c r="AP64" s="4"/>
      <c r="AQ64" s="5"/>
      <c r="AR64" s="5"/>
      <c r="AS64" s="5"/>
      <c r="AT64" s="6"/>
    </row>
    <row r="65" spans="1:256" ht="16.5" customHeight="1" x14ac:dyDescent="0.3">
      <c r="A65" s="172">
        <v>58</v>
      </c>
      <c r="B65" s="58" t="s">
        <v>23</v>
      </c>
      <c r="C65" s="57" t="s">
        <v>106</v>
      </c>
      <c r="D65" s="20"/>
      <c r="E65" s="20"/>
      <c r="F65" s="20">
        <v>29922304232.950001</v>
      </c>
      <c r="G65" s="20">
        <v>30331641642.779999</v>
      </c>
      <c r="H65" s="20"/>
      <c r="I65" s="20"/>
      <c r="J65" s="20">
        <v>60253945875.730003</v>
      </c>
      <c r="K65" s="20">
        <v>407014964.70999998</v>
      </c>
      <c r="L65" s="20">
        <v>59778462.399999999</v>
      </c>
      <c r="M65" s="152">
        <v>347236502.31</v>
      </c>
      <c r="N65" s="20">
        <v>60872666715.949997</v>
      </c>
      <c r="O65" s="20">
        <v>74787858.379999995</v>
      </c>
      <c r="P65" s="30">
        <v>58646483543.510002</v>
      </c>
      <c r="Q65" s="23">
        <f t="shared" si="28"/>
        <v>0.14092408696905895</v>
      </c>
      <c r="R65" s="30">
        <v>60797878857.57</v>
      </c>
      <c r="S65" s="23">
        <f t="shared" si="29"/>
        <v>0.14521204769900981</v>
      </c>
      <c r="T65" s="24">
        <f t="shared" si="39"/>
        <v>3.668413149552046E-2</v>
      </c>
      <c r="U65" s="59">
        <f>(L66/R65)</f>
        <v>3.6798966379094852E-5</v>
      </c>
      <c r="V65" s="25">
        <f t="shared" si="36"/>
        <v>5.7113259349633591E-3</v>
      </c>
      <c r="W65" s="26">
        <f t="shared" si="37"/>
        <v>4364.8770224010887</v>
      </c>
      <c r="X65" s="26">
        <f t="shared" si="38"/>
        <v>24.929235340964979</v>
      </c>
      <c r="Y65" s="148">
        <v>4364.88</v>
      </c>
      <c r="Z65" s="74">
        <v>4364.88</v>
      </c>
      <c r="AA65" s="149">
        <v>450</v>
      </c>
      <c r="AB65" s="149">
        <v>13514370.890000001</v>
      </c>
      <c r="AC65" s="149">
        <v>852056.98</v>
      </c>
      <c r="AD65" s="149">
        <v>437540.86</v>
      </c>
      <c r="AE65" s="150">
        <v>13928887.01</v>
      </c>
      <c r="AF65" s="5"/>
      <c r="AG65" s="5"/>
      <c r="AH65" s="5"/>
      <c r="AI65" s="5"/>
      <c r="AJ65" s="6"/>
      <c r="AK65" s="4"/>
      <c r="AL65" s="5"/>
      <c r="AM65" s="5"/>
      <c r="AN65" s="5"/>
      <c r="AO65" s="6"/>
      <c r="AP65" s="4"/>
      <c r="AQ65" s="5"/>
      <c r="AR65" s="5"/>
      <c r="AS65" s="5"/>
      <c r="AT65" s="6"/>
    </row>
    <row r="66" spans="1:256" ht="16.5" customHeight="1" x14ac:dyDescent="0.3">
      <c r="A66" s="172">
        <v>59</v>
      </c>
      <c r="B66" s="58" t="s">
        <v>23</v>
      </c>
      <c r="C66" s="57" t="s">
        <v>107</v>
      </c>
      <c r="D66" s="53">
        <v>77401294.739999995</v>
      </c>
      <c r="E66" s="20"/>
      <c r="F66" s="20">
        <v>142684390.09</v>
      </c>
      <c r="G66" s="20">
        <v>30322346.600000001</v>
      </c>
      <c r="H66" s="20"/>
      <c r="I66" s="20"/>
      <c r="J66" s="20">
        <v>252375310.84999999</v>
      </c>
      <c r="K66" s="20">
        <v>2412707.9500000002</v>
      </c>
      <c r="L66" s="20">
        <v>2237299.1</v>
      </c>
      <c r="M66" s="152">
        <v>5345577.6900000004</v>
      </c>
      <c r="N66" s="20">
        <v>253384139.25999999</v>
      </c>
      <c r="O66" s="20">
        <v>1115135.3899999999</v>
      </c>
      <c r="P66" s="30">
        <v>245168913.87</v>
      </c>
      <c r="Q66" s="23">
        <f t="shared" si="28"/>
        <v>5.891266321994004E-4</v>
      </c>
      <c r="R66" s="30">
        <v>252269003.87</v>
      </c>
      <c r="S66" s="23">
        <f t="shared" si="29"/>
        <v>6.0252922159949643E-4</v>
      </c>
      <c r="T66" s="24">
        <f t="shared" si="39"/>
        <v>2.895999287970415E-2</v>
      </c>
      <c r="U66" s="59">
        <f t="shared" si="35"/>
        <v>8.8687039060610529E-3</v>
      </c>
      <c r="V66" s="25">
        <f t="shared" si="36"/>
        <v>2.1189990081994771E-2</v>
      </c>
      <c r="W66" s="26">
        <f t="shared" si="37"/>
        <v>4064.2341291328621</v>
      </c>
      <c r="X66" s="26">
        <f t="shared" si="38"/>
        <v>86.121080887229994</v>
      </c>
      <c r="Y66" s="74">
        <v>4048.67</v>
      </c>
      <c r="Z66" s="74">
        <v>4073.15</v>
      </c>
      <c r="AA66" s="149">
        <v>15</v>
      </c>
      <c r="AB66" s="149">
        <v>62070.49</v>
      </c>
      <c r="AC66" s="149">
        <v>0</v>
      </c>
      <c r="AD66" s="149">
        <v>0</v>
      </c>
      <c r="AE66" s="150">
        <v>62070.49</v>
      </c>
      <c r="AF66" s="5"/>
      <c r="AG66" s="5"/>
      <c r="AH66" s="5"/>
      <c r="AI66" s="5"/>
      <c r="AJ66" s="6"/>
      <c r="AK66" s="4"/>
      <c r="AL66" s="5"/>
      <c r="AM66" s="5"/>
      <c r="AN66" s="5"/>
      <c r="AO66" s="6"/>
      <c r="AP66" s="4"/>
      <c r="AQ66" s="5"/>
      <c r="AR66" s="5"/>
      <c r="AS66" s="5"/>
      <c r="AT66" s="6"/>
    </row>
    <row r="67" spans="1:256" ht="16.5" customHeight="1" x14ac:dyDescent="0.3">
      <c r="A67" s="172">
        <v>60</v>
      </c>
      <c r="B67" s="57" t="s">
        <v>46</v>
      </c>
      <c r="C67" s="57" t="s">
        <v>109</v>
      </c>
      <c r="D67" s="20"/>
      <c r="E67" s="20"/>
      <c r="F67" s="20">
        <v>7571473.9699999997</v>
      </c>
      <c r="G67" s="20">
        <v>45203820.770000003</v>
      </c>
      <c r="H67" s="20"/>
      <c r="I67" s="20"/>
      <c r="J67" s="20">
        <v>52775294.740000002</v>
      </c>
      <c r="K67" s="20">
        <v>409884.17</v>
      </c>
      <c r="L67" s="20">
        <v>53877.440000000002</v>
      </c>
      <c r="M67" s="152">
        <v>356006.73</v>
      </c>
      <c r="N67" s="20">
        <v>55026340.950000003</v>
      </c>
      <c r="O67" s="20">
        <v>65953.899999999994</v>
      </c>
      <c r="P67" s="30">
        <v>55119611.280000001</v>
      </c>
      <c r="Q67" s="23">
        <f t="shared" si="28"/>
        <v>1.3244921816941635E-4</v>
      </c>
      <c r="R67" s="30">
        <v>54960387.049999997</v>
      </c>
      <c r="S67" s="23">
        <f t="shared" si="29"/>
        <v>1.3126955242233636E-4</v>
      </c>
      <c r="T67" s="24">
        <f>((R67-P67)/P67)</f>
        <v>-2.8887037898574267E-3</v>
      </c>
      <c r="U67" s="59">
        <f>(L67/R67)</f>
        <v>9.8029586201758747E-4</v>
      </c>
      <c r="V67" s="25">
        <f>M67/R67</f>
        <v>6.4775149723040387E-3</v>
      </c>
      <c r="W67" s="26">
        <f>R67/AE67</f>
        <v>11.696835119627815</v>
      </c>
      <c r="X67" s="26">
        <f>M67/AE67</f>
        <v>7.5766424615960865E-2</v>
      </c>
      <c r="Y67" s="74">
        <v>11.6968</v>
      </c>
      <c r="Z67" s="74">
        <v>11.710900000000001</v>
      </c>
      <c r="AA67" s="149">
        <v>47</v>
      </c>
      <c r="AB67" s="149">
        <v>4684788</v>
      </c>
      <c r="AC67" s="149">
        <v>13952</v>
      </c>
      <c r="AD67" s="149">
        <v>0</v>
      </c>
      <c r="AE67" s="150">
        <v>4698740</v>
      </c>
      <c r="AF67" s="5"/>
      <c r="AG67" s="5"/>
      <c r="AH67" s="5"/>
      <c r="AI67" s="5"/>
      <c r="AJ67" s="6"/>
      <c r="AK67" s="4"/>
      <c r="AL67" s="5"/>
      <c r="AM67" s="5"/>
      <c r="AN67" s="5"/>
      <c r="AO67" s="6"/>
      <c r="AP67" s="4"/>
      <c r="AQ67" s="5"/>
      <c r="AR67" s="5"/>
      <c r="AS67" s="5"/>
      <c r="AT67" s="6"/>
      <c r="AU67" s="18"/>
      <c r="AV67" s="18"/>
      <c r="AW67" s="18"/>
      <c r="AX67" s="18"/>
      <c r="AY67" s="18"/>
      <c r="AZ67" s="18"/>
      <c r="BA67" s="18"/>
      <c r="BB67" s="18"/>
      <c r="BC67" s="18"/>
      <c r="BD67" s="18"/>
      <c r="BE67" s="18"/>
      <c r="BF67" s="18"/>
      <c r="BG67" s="18"/>
      <c r="BH67" s="18"/>
      <c r="BI67" s="18"/>
      <c r="BJ67" s="18"/>
      <c r="BK67" s="18"/>
      <c r="BL67" s="18"/>
      <c r="BM67" s="18"/>
      <c r="BN67" s="18"/>
      <c r="BO67" s="18"/>
      <c r="BP67" s="18"/>
      <c r="BQ67" s="18"/>
      <c r="BR67" s="18"/>
      <c r="BS67" s="18"/>
      <c r="BT67" s="18"/>
      <c r="BU67" s="18"/>
      <c r="BV67" s="18"/>
      <c r="BW67" s="18"/>
      <c r="BX67" s="18"/>
      <c r="BY67" s="18"/>
      <c r="BZ67" s="18"/>
      <c r="CA67" s="18"/>
      <c r="CB67" s="18"/>
      <c r="CC67" s="18"/>
      <c r="CD67" s="18"/>
      <c r="CE67" s="18"/>
      <c r="CF67" s="18"/>
      <c r="CG67" s="18"/>
      <c r="CH67" s="18"/>
      <c r="CI67" s="18"/>
      <c r="CJ67" s="18"/>
      <c r="CK67" s="18"/>
      <c r="CL67" s="18"/>
      <c r="CM67" s="18"/>
      <c r="CN67" s="18"/>
      <c r="CO67" s="18"/>
      <c r="CP67" s="18"/>
      <c r="CQ67" s="18"/>
      <c r="CR67" s="18"/>
      <c r="CS67" s="18"/>
      <c r="CT67" s="18"/>
      <c r="CU67" s="18"/>
      <c r="CV67" s="18"/>
      <c r="CW67" s="18"/>
      <c r="CX67" s="18"/>
      <c r="CY67" s="18"/>
      <c r="CZ67" s="18"/>
      <c r="DA67" s="18"/>
      <c r="DB67" s="18"/>
      <c r="DC67" s="18"/>
      <c r="DD67" s="18"/>
      <c r="DE67" s="18"/>
      <c r="DF67" s="18"/>
      <c r="DG67" s="18"/>
      <c r="DH67" s="18"/>
      <c r="DI67" s="18"/>
      <c r="DJ67" s="18"/>
      <c r="DK67" s="18"/>
      <c r="DL67" s="18"/>
      <c r="DM67" s="18"/>
      <c r="DN67" s="18"/>
      <c r="DO67" s="18"/>
      <c r="DP67" s="18"/>
      <c r="DQ67" s="18"/>
      <c r="DR67" s="18"/>
      <c r="DS67" s="18"/>
      <c r="DT67" s="18"/>
      <c r="DU67" s="18"/>
      <c r="DV67" s="18"/>
      <c r="DW67" s="18"/>
      <c r="DX67" s="18"/>
      <c r="DY67" s="18"/>
      <c r="DZ67" s="18"/>
      <c r="EA67" s="18"/>
      <c r="EB67" s="18"/>
      <c r="EC67" s="18"/>
      <c r="ED67" s="18"/>
      <c r="EE67" s="18"/>
      <c r="EF67" s="18"/>
      <c r="EG67" s="18"/>
      <c r="EH67" s="18"/>
      <c r="EI67" s="18"/>
      <c r="EJ67" s="18"/>
      <c r="EK67" s="18"/>
      <c r="EL67" s="18"/>
      <c r="EM67" s="18"/>
      <c r="EN67" s="18"/>
      <c r="EO67" s="18"/>
      <c r="EP67" s="18"/>
      <c r="EQ67" s="18"/>
      <c r="ER67" s="18"/>
      <c r="ES67" s="18"/>
      <c r="ET67" s="18"/>
      <c r="EU67" s="18"/>
      <c r="EV67" s="18"/>
      <c r="EW67" s="18"/>
      <c r="EX67" s="18"/>
      <c r="EY67" s="18"/>
      <c r="EZ67" s="18"/>
      <c r="FA67" s="18"/>
      <c r="FB67" s="18"/>
      <c r="FC67" s="18"/>
      <c r="FD67" s="18"/>
      <c r="FE67" s="18"/>
      <c r="FF67" s="18"/>
      <c r="FG67" s="18"/>
      <c r="FH67" s="18"/>
      <c r="FI67" s="18"/>
      <c r="FJ67" s="18"/>
      <c r="FK67" s="18"/>
      <c r="FL67" s="18"/>
      <c r="FM67" s="18"/>
      <c r="FN67" s="18"/>
      <c r="FO67" s="18"/>
      <c r="FP67" s="18"/>
      <c r="FQ67" s="18"/>
      <c r="FR67" s="18"/>
      <c r="FS67" s="18"/>
      <c r="FT67" s="18"/>
      <c r="FU67" s="18"/>
      <c r="FV67" s="18"/>
      <c r="FW67" s="18"/>
      <c r="FX67" s="18"/>
      <c r="FY67" s="18"/>
      <c r="FZ67" s="18"/>
      <c r="GA67" s="18"/>
      <c r="GB67" s="18"/>
      <c r="GC67" s="18"/>
      <c r="GD67" s="18"/>
      <c r="GE67" s="18"/>
      <c r="GF67" s="18"/>
      <c r="GG67" s="18"/>
      <c r="GH67" s="18"/>
      <c r="GI67" s="18"/>
      <c r="GJ67" s="18"/>
      <c r="GK67" s="18"/>
      <c r="GL67" s="18"/>
      <c r="GM67" s="18"/>
      <c r="GN67" s="18"/>
      <c r="GO67" s="18"/>
      <c r="GP67" s="18"/>
      <c r="GQ67" s="18"/>
      <c r="GR67" s="18"/>
      <c r="GS67" s="18"/>
      <c r="GT67" s="18"/>
      <c r="GU67" s="18"/>
      <c r="GV67" s="18"/>
      <c r="GW67" s="18"/>
      <c r="GX67" s="18"/>
      <c r="GY67" s="18"/>
      <c r="GZ67" s="18"/>
      <c r="HA67" s="18"/>
      <c r="HB67" s="18"/>
      <c r="HC67" s="18"/>
      <c r="HD67" s="18"/>
      <c r="HE67" s="18"/>
      <c r="HF67" s="18"/>
      <c r="HG67" s="18"/>
      <c r="HH67" s="18"/>
      <c r="HI67" s="18"/>
      <c r="HJ67" s="18"/>
      <c r="HK67" s="18"/>
      <c r="HL67" s="18"/>
      <c r="HM67" s="18"/>
      <c r="HN67" s="18"/>
      <c r="HO67" s="18"/>
      <c r="HP67" s="18"/>
      <c r="HQ67" s="18"/>
      <c r="HR67" s="18"/>
      <c r="HS67" s="18"/>
      <c r="HT67" s="18"/>
      <c r="HU67" s="18"/>
      <c r="HV67" s="18"/>
      <c r="HW67" s="18"/>
      <c r="HX67" s="18"/>
      <c r="HY67" s="18"/>
      <c r="HZ67" s="18"/>
      <c r="IA67" s="18"/>
      <c r="IB67" s="18"/>
      <c r="IC67" s="18"/>
      <c r="ID67" s="18"/>
      <c r="IE67" s="18"/>
      <c r="IF67" s="18"/>
      <c r="IG67" s="18"/>
      <c r="IH67" s="18"/>
      <c r="II67" s="18"/>
      <c r="IJ67" s="18"/>
      <c r="IK67" s="18"/>
      <c r="IL67" s="18"/>
      <c r="IM67" s="18"/>
      <c r="IN67" s="18"/>
      <c r="IO67" s="18"/>
      <c r="IP67" s="18"/>
      <c r="IQ67" s="18"/>
      <c r="IR67" s="18"/>
      <c r="IS67" s="18"/>
      <c r="IT67" s="18"/>
      <c r="IU67" s="18"/>
      <c r="IV67" s="18"/>
    </row>
    <row r="68" spans="1:256" ht="16.5" customHeight="1" x14ac:dyDescent="0.3">
      <c r="A68" s="172">
        <v>61</v>
      </c>
      <c r="B68" s="58" t="s">
        <v>108</v>
      </c>
      <c r="C68" s="57" t="s">
        <v>200</v>
      </c>
      <c r="D68" s="20"/>
      <c r="E68" s="20"/>
      <c r="F68" s="20"/>
      <c r="G68" s="20">
        <v>4837904862.1800003</v>
      </c>
      <c r="H68" s="20"/>
      <c r="I68" s="20"/>
      <c r="J68" s="20">
        <v>11854957777.32</v>
      </c>
      <c r="K68" s="20">
        <v>145459590.09999999</v>
      </c>
      <c r="L68" s="20">
        <v>37325224.229999997</v>
      </c>
      <c r="M68" s="152">
        <v>108134365.87</v>
      </c>
      <c r="N68" s="20">
        <v>15044273370.950001</v>
      </c>
      <c r="O68" s="20">
        <v>396357769.63999999</v>
      </c>
      <c r="P68" s="30">
        <v>14304623085.15</v>
      </c>
      <c r="Q68" s="23">
        <f t="shared" si="28"/>
        <v>3.4373176802931581E-2</v>
      </c>
      <c r="R68" s="30">
        <v>14647915601.309999</v>
      </c>
      <c r="S68" s="23">
        <f t="shared" si="29"/>
        <v>3.4985658364356839E-2</v>
      </c>
      <c r="T68" s="24">
        <f t="shared" si="39"/>
        <v>2.3998711054217199E-2</v>
      </c>
      <c r="U68" s="59">
        <f t="shared" si="35"/>
        <v>2.5481594273155089E-3</v>
      </c>
      <c r="V68" s="25">
        <f t="shared" si="36"/>
        <v>7.3822357264489756E-3</v>
      </c>
      <c r="W68" s="26">
        <f t="shared" si="37"/>
        <v>1154.7645021692781</v>
      </c>
      <c r="X68" s="26">
        <f t="shared" si="38"/>
        <v>8.5247437635491092</v>
      </c>
      <c r="Y68" s="74">
        <v>1154.76</v>
      </c>
      <c r="Z68" s="74">
        <v>1154.76</v>
      </c>
      <c r="AA68" s="149">
        <v>6098</v>
      </c>
      <c r="AB68" s="149">
        <v>12249888.359999999</v>
      </c>
      <c r="AC68" s="149">
        <v>772201</v>
      </c>
      <c r="AD68" s="149">
        <v>337325</v>
      </c>
      <c r="AE68" s="150">
        <f>(AB68+AC68)-AD68</f>
        <v>12684764.359999999</v>
      </c>
      <c r="AF68" s="5"/>
      <c r="AG68" s="5"/>
      <c r="AH68" s="5"/>
      <c r="AI68" s="5"/>
      <c r="AJ68" s="6"/>
      <c r="AK68" s="4"/>
      <c r="AL68" s="5"/>
      <c r="AM68" s="5"/>
      <c r="AN68" s="5"/>
      <c r="AO68" s="6"/>
      <c r="AP68" s="4"/>
      <c r="AQ68" s="5"/>
      <c r="AR68" s="5"/>
      <c r="AS68" s="5"/>
      <c r="AT68" s="6"/>
    </row>
    <row r="69" spans="1:256" ht="18.75" customHeight="1" x14ac:dyDescent="0.3">
      <c r="A69" s="172">
        <v>62</v>
      </c>
      <c r="B69" s="58" t="s">
        <v>78</v>
      </c>
      <c r="C69" s="58" t="s">
        <v>150</v>
      </c>
      <c r="D69" s="20"/>
      <c r="E69" s="20"/>
      <c r="F69" s="20"/>
      <c r="G69" s="20">
        <v>15362465.75</v>
      </c>
      <c r="H69" s="20"/>
      <c r="I69" s="20"/>
      <c r="J69" s="20">
        <v>25812750.059999999</v>
      </c>
      <c r="K69" s="20">
        <v>201859.36</v>
      </c>
      <c r="L69" s="20">
        <v>184715.7</v>
      </c>
      <c r="M69" s="152">
        <v>17143.66</v>
      </c>
      <c r="N69" s="20">
        <v>23175991.239999998</v>
      </c>
      <c r="O69" s="20">
        <v>1729046.42</v>
      </c>
      <c r="P69" s="30">
        <v>24077308.66</v>
      </c>
      <c r="Q69" s="23">
        <f t="shared" si="28"/>
        <v>5.7856371508879734E-5</v>
      </c>
      <c r="R69" s="30">
        <v>23175991.239999998</v>
      </c>
      <c r="S69" s="23">
        <f t="shared" si="29"/>
        <v>5.5354450001435866E-5</v>
      </c>
      <c r="T69" s="24">
        <f t="shared" si="39"/>
        <v>-3.743430932118149E-2</v>
      </c>
      <c r="U69" s="59">
        <f t="shared" si="35"/>
        <v>7.9701315938191571E-3</v>
      </c>
      <c r="V69" s="25">
        <f t="shared" si="36"/>
        <v>7.3971636520173286E-4</v>
      </c>
      <c r="W69" s="26">
        <f t="shared" si="37"/>
        <v>0.75574835998304712</v>
      </c>
      <c r="X69" s="26">
        <f t="shared" si="38"/>
        <v>5.5903942985383037E-4</v>
      </c>
      <c r="Y69" s="74">
        <v>0.69930000000000003</v>
      </c>
      <c r="Z69" s="74">
        <v>0.69930000000000003</v>
      </c>
      <c r="AA69" s="149">
        <v>751</v>
      </c>
      <c r="AB69" s="149">
        <v>30666280.559999999</v>
      </c>
      <c r="AC69" s="149">
        <v>0</v>
      </c>
      <c r="AD69" s="149">
        <v>0</v>
      </c>
      <c r="AE69" s="150">
        <f>(AB69+AC69)-AD69</f>
        <v>30666280.559999999</v>
      </c>
      <c r="AF69" s="5"/>
      <c r="AG69" s="5"/>
      <c r="AH69" s="5"/>
      <c r="AI69" s="5"/>
      <c r="AJ69" s="6"/>
      <c r="AK69" s="4"/>
      <c r="AL69" s="5"/>
      <c r="AM69" s="5"/>
      <c r="AN69" s="5"/>
      <c r="AO69" s="6"/>
      <c r="AP69" s="4"/>
      <c r="AQ69" s="5"/>
      <c r="AR69" s="5"/>
      <c r="AS69" s="5"/>
      <c r="AT69" s="6"/>
    </row>
    <row r="70" spans="1:256" ht="16.5" customHeight="1" x14ac:dyDescent="0.3">
      <c r="A70" s="172">
        <v>63</v>
      </c>
      <c r="B70" s="58" t="s">
        <v>70</v>
      </c>
      <c r="C70" s="58" t="s">
        <v>202</v>
      </c>
      <c r="D70" s="20"/>
      <c r="E70" s="20"/>
      <c r="F70" s="20">
        <v>128117424.45</v>
      </c>
      <c r="G70" s="20">
        <v>263499124.19</v>
      </c>
      <c r="H70" s="20"/>
      <c r="I70" s="20"/>
      <c r="J70" s="20">
        <v>414173288.55000001</v>
      </c>
      <c r="K70" s="20">
        <v>3924511.36</v>
      </c>
      <c r="L70" s="20">
        <v>811012.19</v>
      </c>
      <c r="M70" s="152">
        <v>3113499.17</v>
      </c>
      <c r="N70" s="20">
        <v>414173288.55000001</v>
      </c>
      <c r="O70" s="20">
        <v>3519205.71</v>
      </c>
      <c r="P70" s="30">
        <v>435795351.50999999</v>
      </c>
      <c r="Q70" s="23">
        <f t="shared" si="28"/>
        <v>1.0471908681676297E-3</v>
      </c>
      <c r="R70" s="30">
        <v>410654082.82999998</v>
      </c>
      <c r="S70" s="23">
        <f t="shared" si="29"/>
        <v>9.8082238038931608E-4</v>
      </c>
      <c r="T70" s="24">
        <f>((R70-P70)/P70)</f>
        <v>-5.7690538902921508E-2</v>
      </c>
      <c r="U70" s="59">
        <f t="shared" si="35"/>
        <v>1.9749278624260937E-3</v>
      </c>
      <c r="V70" s="25">
        <f t="shared" si="36"/>
        <v>7.5818049793721564E-3</v>
      </c>
      <c r="W70" s="26">
        <f t="shared" si="37"/>
        <v>1149.7794618923224</v>
      </c>
      <c r="X70" s="26">
        <f t="shared" si="38"/>
        <v>8.7174036493550489</v>
      </c>
      <c r="Y70" s="74">
        <v>1149.78</v>
      </c>
      <c r="Z70" s="74">
        <v>1159.6400000000001</v>
      </c>
      <c r="AA70" s="149">
        <v>105</v>
      </c>
      <c r="AB70" s="149">
        <v>375017</v>
      </c>
      <c r="AC70" s="149">
        <v>607</v>
      </c>
      <c r="AD70" s="149">
        <v>18465</v>
      </c>
      <c r="AE70" s="150">
        <f>(AB70+AC70)-AD70</f>
        <v>357159</v>
      </c>
      <c r="AF70" s="5"/>
      <c r="AG70" s="5"/>
      <c r="AH70" s="5"/>
      <c r="AI70" s="5"/>
      <c r="AJ70" s="6"/>
      <c r="AK70" s="4"/>
      <c r="AL70" s="5"/>
      <c r="AM70" s="5"/>
      <c r="AN70" s="5"/>
      <c r="AO70" s="6"/>
      <c r="AP70" s="4"/>
      <c r="AQ70" s="5"/>
      <c r="AR70" s="5"/>
      <c r="AS70" s="5"/>
      <c r="AT70" s="6"/>
    </row>
    <row r="71" spans="1:256" ht="16.5" customHeight="1" x14ac:dyDescent="0.3">
      <c r="A71" s="172">
        <v>64</v>
      </c>
      <c r="B71" s="58" t="s">
        <v>44</v>
      </c>
      <c r="C71" s="58" t="s">
        <v>111</v>
      </c>
      <c r="D71" s="20"/>
      <c r="E71" s="20"/>
      <c r="F71" s="20">
        <v>7893274.8099999996</v>
      </c>
      <c r="G71" s="20">
        <v>155945358.25</v>
      </c>
      <c r="H71" s="20"/>
      <c r="I71" s="20"/>
      <c r="J71" s="20">
        <v>163838633.06</v>
      </c>
      <c r="K71" s="20">
        <v>1297882.6000000001</v>
      </c>
      <c r="L71" s="20">
        <v>695946.59</v>
      </c>
      <c r="M71" s="152">
        <v>601936</v>
      </c>
      <c r="N71" s="20">
        <v>170701099.65000001</v>
      </c>
      <c r="O71" s="20">
        <v>9064223.0399999991</v>
      </c>
      <c r="P71" s="30">
        <v>160467439.09999999</v>
      </c>
      <c r="Q71" s="23">
        <f t="shared" si="28"/>
        <v>3.8559391760724029E-4</v>
      </c>
      <c r="R71" s="30">
        <v>161636876.59999999</v>
      </c>
      <c r="S71" s="23">
        <f t="shared" si="29"/>
        <v>3.8605988030840138E-4</v>
      </c>
      <c r="T71" s="24">
        <f t="shared" si="39"/>
        <v>7.2876934196677168E-3</v>
      </c>
      <c r="U71" s="59">
        <f t="shared" si="35"/>
        <v>4.3056176575488221E-3</v>
      </c>
      <c r="V71" s="25">
        <f t="shared" si="36"/>
        <v>3.7240016799483244E-3</v>
      </c>
      <c r="W71" s="26">
        <f t="shared" si="37"/>
        <v>139.51617902788593</v>
      </c>
      <c r="X71" s="26">
        <f t="shared" si="38"/>
        <v>0.51955848507981839</v>
      </c>
      <c r="Y71" s="148">
        <v>139.82</v>
      </c>
      <c r="Z71" s="148">
        <v>139.82</v>
      </c>
      <c r="AA71" s="149">
        <v>16</v>
      </c>
      <c r="AB71" s="149">
        <v>1158552.92</v>
      </c>
      <c r="AC71" s="149">
        <v>0</v>
      </c>
      <c r="AD71" s="149">
        <v>0</v>
      </c>
      <c r="AE71" s="150">
        <v>1158552.92</v>
      </c>
      <c r="AF71" s="5"/>
      <c r="AG71" s="5"/>
      <c r="AH71" s="5"/>
      <c r="AI71" s="5"/>
      <c r="AJ71" s="6"/>
      <c r="AK71" s="4"/>
      <c r="AL71" s="5"/>
      <c r="AM71" s="5"/>
      <c r="AN71" s="5"/>
      <c r="AO71" s="6"/>
      <c r="AP71" s="4"/>
      <c r="AQ71" s="5"/>
      <c r="AR71" s="5"/>
      <c r="AS71" s="5"/>
      <c r="AT71" s="6"/>
    </row>
    <row r="72" spans="1:256" ht="16.5" customHeight="1" x14ac:dyDescent="0.3">
      <c r="A72" s="172">
        <v>65</v>
      </c>
      <c r="B72" s="57" t="s">
        <v>114</v>
      </c>
      <c r="C72" s="57" t="s">
        <v>115</v>
      </c>
      <c r="D72" s="20"/>
      <c r="E72" s="20"/>
      <c r="F72" s="20">
        <v>225142246.88999999</v>
      </c>
      <c r="G72" s="20">
        <v>549017406.05999994</v>
      </c>
      <c r="H72" s="20"/>
      <c r="I72" s="20">
        <v>6834061.2400000002</v>
      </c>
      <c r="J72" s="20">
        <v>780993714.17999995</v>
      </c>
      <c r="K72" s="20">
        <v>16233004.73</v>
      </c>
      <c r="L72" s="20">
        <v>3276426.87</v>
      </c>
      <c r="M72" s="152">
        <v>12956577.859999999</v>
      </c>
      <c r="N72" s="20">
        <v>780993714.07000005</v>
      </c>
      <c r="O72" s="20">
        <v>4472070.1900000004</v>
      </c>
      <c r="P72" s="30">
        <v>785007620.61000001</v>
      </c>
      <c r="Q72" s="23">
        <f t="shared" si="28"/>
        <v>1.8863276280860651E-3</v>
      </c>
      <c r="R72" s="30">
        <v>776521643.88999999</v>
      </c>
      <c r="S72" s="23">
        <f t="shared" si="29"/>
        <v>1.8546748687734572E-3</v>
      </c>
      <c r="T72" s="24">
        <f t="shared" si="39"/>
        <v>-1.0810056485064303E-2</v>
      </c>
      <c r="U72" s="59">
        <f t="shared" si="35"/>
        <v>4.2193632280314525E-3</v>
      </c>
      <c r="V72" s="25">
        <f t="shared" si="36"/>
        <v>1.6685404665726735E-2</v>
      </c>
      <c r="W72" s="26">
        <f t="shared" si="37"/>
        <v>188.36003748350018</v>
      </c>
      <c r="X72" s="26">
        <f t="shared" si="38"/>
        <v>3.1428634482636566</v>
      </c>
      <c r="Y72" s="148">
        <v>188.00739999999999</v>
      </c>
      <c r="Z72" s="148">
        <v>189.09010000000001</v>
      </c>
      <c r="AA72" s="149">
        <v>438</v>
      </c>
      <c r="AB72" s="149">
        <v>4207324.5199999996</v>
      </c>
      <c r="AC72" s="149">
        <v>325264.19</v>
      </c>
      <c r="AD72" s="149">
        <v>410049.48</v>
      </c>
      <c r="AE72" s="150">
        <f>(AB72+AC72)-AD72</f>
        <v>4122539.23</v>
      </c>
      <c r="AF72" s="5"/>
      <c r="AG72" s="5"/>
      <c r="AH72" s="5"/>
      <c r="AI72" s="5"/>
      <c r="AJ72" s="6"/>
      <c r="AK72" s="4"/>
      <c r="AL72" s="5"/>
      <c r="AM72" s="5"/>
      <c r="AN72" s="5"/>
      <c r="AO72" s="6"/>
      <c r="AP72" s="4"/>
      <c r="AQ72" s="5"/>
      <c r="AR72" s="5"/>
      <c r="AS72" s="5"/>
      <c r="AT72" s="6"/>
    </row>
    <row r="73" spans="1:256" ht="16.5" customHeight="1" x14ac:dyDescent="0.3">
      <c r="A73" s="172">
        <v>66</v>
      </c>
      <c r="B73" s="57" t="s">
        <v>72</v>
      </c>
      <c r="C73" s="57" t="s">
        <v>116</v>
      </c>
      <c r="D73" s="20"/>
      <c r="E73" s="20"/>
      <c r="F73" s="20">
        <v>57981488.359999999</v>
      </c>
      <c r="G73" s="20">
        <v>371303006.81</v>
      </c>
      <c r="H73" s="20"/>
      <c r="I73" s="20"/>
      <c r="J73" s="20">
        <v>429284495.17000002</v>
      </c>
      <c r="K73" s="20">
        <v>3375478.2</v>
      </c>
      <c r="L73" s="20">
        <v>906059.46</v>
      </c>
      <c r="M73" s="152">
        <v>-5649702.7699999996</v>
      </c>
      <c r="N73" s="20">
        <v>435279952.06999999</v>
      </c>
      <c r="O73" s="20">
        <v>3261685.64</v>
      </c>
      <c r="P73" s="30">
        <v>436808969.19999999</v>
      </c>
      <c r="Q73" s="23">
        <f t="shared" si="28"/>
        <v>1.0496265324882869E-3</v>
      </c>
      <c r="R73" s="30">
        <v>432018266.43000001</v>
      </c>
      <c r="S73" s="23">
        <f t="shared" si="29"/>
        <v>1.0318494376858609E-3</v>
      </c>
      <c r="T73" s="24">
        <f t="shared" si="39"/>
        <v>-1.0967500916416578E-2</v>
      </c>
      <c r="U73" s="59">
        <f t="shared" si="35"/>
        <v>2.0972711813490156E-3</v>
      </c>
      <c r="V73" s="25">
        <f t="shared" si="36"/>
        <v>-1.3077462711673146E-2</v>
      </c>
      <c r="W73" s="26">
        <f t="shared" si="37"/>
        <v>1.4763699636677625</v>
      </c>
      <c r="X73" s="26">
        <f t="shared" si="38"/>
        <v>-1.9307173148499401E-2</v>
      </c>
      <c r="Y73" s="148">
        <v>1.4763999999999999</v>
      </c>
      <c r="Z73" s="148">
        <v>1.4763999999999999</v>
      </c>
      <c r="AA73" s="149">
        <v>157</v>
      </c>
      <c r="AB73" s="149">
        <v>292013418.39999998</v>
      </c>
      <c r="AC73" s="149">
        <v>27551379.510000002</v>
      </c>
      <c r="AD73" s="149">
        <v>26942841.989999998</v>
      </c>
      <c r="AE73" s="150">
        <v>292621955.92000002</v>
      </c>
      <c r="AF73" s="5"/>
      <c r="AG73" s="5"/>
      <c r="AH73" s="5"/>
      <c r="AI73" s="5"/>
      <c r="AJ73" s="6"/>
      <c r="AK73" s="4"/>
      <c r="AL73" s="5"/>
      <c r="AM73" s="5"/>
      <c r="AN73" s="5"/>
      <c r="AO73" s="6"/>
      <c r="AP73" s="4"/>
      <c r="AQ73" s="5"/>
      <c r="AR73" s="5"/>
      <c r="AS73" s="5"/>
      <c r="AT73" s="6"/>
    </row>
    <row r="74" spans="1:256" ht="16.5" customHeight="1" x14ac:dyDescent="0.3">
      <c r="A74" s="172">
        <v>67</v>
      </c>
      <c r="B74" s="58" t="s">
        <v>50</v>
      </c>
      <c r="C74" s="58" t="s">
        <v>118</v>
      </c>
      <c r="D74" s="20"/>
      <c r="E74" s="20"/>
      <c r="F74" s="20">
        <v>189961253.13</v>
      </c>
      <c r="G74" s="20">
        <v>259843248.72999999</v>
      </c>
      <c r="H74" s="20"/>
      <c r="I74" s="20"/>
      <c r="J74" s="20">
        <v>449804501.86000001</v>
      </c>
      <c r="K74" s="20">
        <v>3159755.36</v>
      </c>
      <c r="L74" s="20">
        <v>638026.54</v>
      </c>
      <c r="M74" s="152">
        <v>2521728.8199999998</v>
      </c>
      <c r="N74" s="20">
        <v>452251353.00999999</v>
      </c>
      <c r="O74" s="20">
        <v>638026.54</v>
      </c>
      <c r="P74" s="30">
        <v>439551060.04000002</v>
      </c>
      <c r="Q74" s="23">
        <f t="shared" si="28"/>
        <v>1.056215617198311E-3</v>
      </c>
      <c r="R74" s="30">
        <v>451613326.47000003</v>
      </c>
      <c r="S74" s="23">
        <f t="shared" si="29"/>
        <v>1.078651050614815E-3</v>
      </c>
      <c r="T74" s="24">
        <f t="shared" si="39"/>
        <v>2.7442241702027331E-2</v>
      </c>
      <c r="U74" s="59">
        <f t="shared" si="35"/>
        <v>1.4127717288306885E-3</v>
      </c>
      <c r="V74" s="25">
        <f t="shared" si="36"/>
        <v>5.5838228683615125E-3</v>
      </c>
      <c r="W74" s="26">
        <f t="shared" si="37"/>
        <v>1.1976566428755735</v>
      </c>
      <c r="X74" s="26">
        <f t="shared" si="38"/>
        <v>6.6875025509337037E-3</v>
      </c>
      <c r="Y74" s="148">
        <v>1.2</v>
      </c>
      <c r="Z74" s="148">
        <v>1.2</v>
      </c>
      <c r="AA74" s="149">
        <v>230</v>
      </c>
      <c r="AB74" s="149">
        <v>376680292.11000001</v>
      </c>
      <c r="AC74" s="149">
        <v>556240.86</v>
      </c>
      <c r="AD74" s="149">
        <v>155731.76</v>
      </c>
      <c r="AE74" s="150">
        <v>377080801.20999998</v>
      </c>
      <c r="AF74" s="5"/>
      <c r="AG74" s="5"/>
      <c r="AH74" s="5"/>
      <c r="AI74" s="5"/>
      <c r="AJ74" s="6"/>
      <c r="AK74" s="4"/>
      <c r="AL74" s="5"/>
      <c r="AM74" s="5"/>
      <c r="AN74" s="5"/>
      <c r="AO74" s="6"/>
      <c r="AP74" s="4"/>
      <c r="AQ74" s="5"/>
      <c r="AR74" s="5"/>
      <c r="AS74" s="5"/>
      <c r="AT74" s="6"/>
    </row>
    <row r="75" spans="1:256" ht="16.5" customHeight="1" x14ac:dyDescent="0.3">
      <c r="A75" s="172">
        <v>68</v>
      </c>
      <c r="B75" s="57" t="s">
        <v>35</v>
      </c>
      <c r="C75" s="58" t="s">
        <v>120</v>
      </c>
      <c r="D75" s="20"/>
      <c r="E75" s="20"/>
      <c r="F75" s="20">
        <v>166052599.25999999</v>
      </c>
      <c r="G75" s="20">
        <v>444811069.88</v>
      </c>
      <c r="H75" s="20"/>
      <c r="I75" s="20"/>
      <c r="J75" s="20">
        <v>610863669.13999999</v>
      </c>
      <c r="K75" s="20">
        <v>8400894.4900000002</v>
      </c>
      <c r="L75" s="20">
        <v>3305768.6</v>
      </c>
      <c r="M75" s="152">
        <v>5095125.8899999997</v>
      </c>
      <c r="N75" s="20">
        <v>1284098229</v>
      </c>
      <c r="O75" s="20">
        <v>28504796</v>
      </c>
      <c r="P75" s="30">
        <v>1264357792</v>
      </c>
      <c r="Q75" s="23">
        <f t="shared" si="28"/>
        <v>3.0381781937125728E-3</v>
      </c>
      <c r="R75" s="30">
        <v>1255593434</v>
      </c>
      <c r="S75" s="23">
        <f t="shared" si="29"/>
        <v>2.9989087950865211E-3</v>
      </c>
      <c r="T75" s="24">
        <f t="shared" si="39"/>
        <v>-6.9318653750187822E-3</v>
      </c>
      <c r="U75" s="59">
        <f t="shared" si="35"/>
        <v>2.6328336151525303E-3</v>
      </c>
      <c r="V75" s="25">
        <f t="shared" si="36"/>
        <v>4.0579424454046638E-3</v>
      </c>
      <c r="W75" s="26">
        <f t="shared" si="37"/>
        <v>1.0390962298908919</v>
      </c>
      <c r="X75" s="26">
        <f t="shared" si="38"/>
        <v>4.2165926961342127E-3</v>
      </c>
      <c r="Y75" s="148">
        <v>1.0339</v>
      </c>
      <c r="Z75" s="148">
        <v>1.0339</v>
      </c>
      <c r="AA75" s="149">
        <v>246</v>
      </c>
      <c r="AB75" s="149">
        <v>1221798178</v>
      </c>
      <c r="AC75" s="149">
        <v>4886681</v>
      </c>
      <c r="AD75" s="149">
        <v>18333411</v>
      </c>
      <c r="AE75" s="150">
        <v>1208351448</v>
      </c>
      <c r="AF75" s="5"/>
      <c r="AG75" s="5"/>
      <c r="AH75" s="5"/>
      <c r="AI75" s="5"/>
      <c r="AJ75" s="6"/>
      <c r="AK75" s="4"/>
      <c r="AL75" s="5"/>
      <c r="AM75" s="5"/>
      <c r="AN75" s="5"/>
      <c r="AO75" s="6"/>
      <c r="AP75" s="4"/>
      <c r="AQ75" s="5"/>
      <c r="AR75" s="5"/>
      <c r="AS75" s="5"/>
      <c r="AT75" s="6"/>
    </row>
    <row r="76" spans="1:256" ht="16.5" customHeight="1" x14ac:dyDescent="0.3">
      <c r="A76" s="172">
        <v>69</v>
      </c>
      <c r="B76" s="58" t="s">
        <v>23</v>
      </c>
      <c r="C76" s="58" t="s">
        <v>163</v>
      </c>
      <c r="D76" s="20"/>
      <c r="E76" s="20"/>
      <c r="F76" s="20">
        <v>16400050021.690001</v>
      </c>
      <c r="G76" s="20">
        <v>13060454493.629999</v>
      </c>
      <c r="H76" s="20"/>
      <c r="I76" s="20"/>
      <c r="J76" s="20">
        <v>29460504515.32</v>
      </c>
      <c r="K76" s="20">
        <v>185942779.81999999</v>
      </c>
      <c r="L76" s="20">
        <v>41991679.789999999</v>
      </c>
      <c r="M76" s="152">
        <v>143951100.03</v>
      </c>
      <c r="N76" s="20">
        <v>29863219124.48</v>
      </c>
      <c r="O76" s="20">
        <v>49308565.049999997</v>
      </c>
      <c r="P76" s="30">
        <v>28954390684.849998</v>
      </c>
      <c r="Q76" s="23">
        <f t="shared" si="28"/>
        <v>6.9575715788324666E-2</v>
      </c>
      <c r="R76" s="30">
        <v>29813910559.43</v>
      </c>
      <c r="S76" s="23">
        <f t="shared" si="29"/>
        <v>7.1208717863204068E-2</v>
      </c>
      <c r="T76" s="24">
        <f>((R76-P76)/P76)</f>
        <v>2.9685303480750994E-2</v>
      </c>
      <c r="U76" s="59">
        <f>(L76/R76)</f>
        <v>1.4084593064802842E-3</v>
      </c>
      <c r="V76" s="25">
        <f>M76/R76</f>
        <v>4.8283199797977839E-3</v>
      </c>
      <c r="W76" s="26">
        <f>R76/AE76</f>
        <v>108.9223409005526</v>
      </c>
      <c r="X76" s="26">
        <f>M76/AE76</f>
        <v>0.52591191481648347</v>
      </c>
      <c r="Y76" s="148">
        <v>108.92</v>
      </c>
      <c r="Z76" s="148">
        <v>108.92</v>
      </c>
      <c r="AA76" s="149">
        <v>2360</v>
      </c>
      <c r="AB76" s="149">
        <v>267117038.36000001</v>
      </c>
      <c r="AC76" s="149">
        <v>21260859.34</v>
      </c>
      <c r="AD76" s="149">
        <v>14660767.560000001</v>
      </c>
      <c r="AE76" s="150">
        <v>273717130.13999999</v>
      </c>
      <c r="AF76" s="19"/>
      <c r="AG76" s="5"/>
      <c r="AH76" s="5"/>
      <c r="AI76" s="5"/>
      <c r="AJ76" s="6"/>
      <c r="AK76" s="4"/>
      <c r="AL76" s="5"/>
      <c r="AM76" s="5"/>
      <c r="AN76" s="5"/>
      <c r="AO76" s="6"/>
      <c r="AP76" s="4"/>
      <c r="AQ76" s="5"/>
      <c r="AR76" s="5"/>
      <c r="AS76" s="5"/>
      <c r="AT76" s="6"/>
      <c r="AU76" s="18"/>
      <c r="AV76" s="18"/>
      <c r="AW76" s="18"/>
      <c r="AX76" s="18"/>
      <c r="AY76" s="18"/>
      <c r="AZ76" s="18"/>
      <c r="BA76" s="18"/>
      <c r="BB76" s="18"/>
      <c r="BC76" s="18"/>
      <c r="BD76" s="18"/>
      <c r="BE76" s="18"/>
      <c r="BF76" s="18"/>
      <c r="BG76" s="18"/>
      <c r="BH76" s="18"/>
      <c r="BI76" s="18"/>
      <c r="BJ76" s="18"/>
      <c r="BK76" s="18"/>
      <c r="BL76" s="18"/>
      <c r="BM76" s="18"/>
      <c r="BN76" s="18"/>
      <c r="BO76" s="18"/>
      <c r="BP76" s="18"/>
      <c r="BQ76" s="18"/>
      <c r="BR76" s="18"/>
      <c r="BS76" s="18"/>
      <c r="BT76" s="18"/>
      <c r="BU76" s="18"/>
      <c r="BV76" s="18"/>
      <c r="BW76" s="18"/>
      <c r="BX76" s="18"/>
      <c r="BY76" s="18"/>
      <c r="BZ76" s="18"/>
      <c r="CA76" s="18"/>
      <c r="CB76" s="18"/>
      <c r="CC76" s="18"/>
      <c r="CD76" s="18"/>
      <c r="CE76" s="18"/>
      <c r="CF76" s="18"/>
      <c r="CG76" s="18"/>
      <c r="CH76" s="18"/>
      <c r="CI76" s="18"/>
      <c r="CJ76" s="18"/>
      <c r="CK76" s="18"/>
      <c r="CL76" s="18"/>
      <c r="CM76" s="18"/>
      <c r="CN76" s="18"/>
      <c r="CO76" s="18"/>
      <c r="CP76" s="18"/>
      <c r="CQ76" s="18"/>
      <c r="CR76" s="18"/>
      <c r="CS76" s="18"/>
      <c r="CT76" s="18"/>
      <c r="CU76" s="18"/>
      <c r="CV76" s="18"/>
      <c r="CW76" s="18"/>
      <c r="CX76" s="18"/>
      <c r="CY76" s="18"/>
      <c r="CZ76" s="18"/>
      <c r="DA76" s="18"/>
      <c r="DB76" s="18"/>
      <c r="DC76" s="18"/>
      <c r="DD76" s="18"/>
      <c r="DE76" s="18"/>
      <c r="DF76" s="18"/>
      <c r="DG76" s="18"/>
      <c r="DH76" s="18"/>
      <c r="DI76" s="18"/>
      <c r="DJ76" s="18"/>
      <c r="DK76" s="18"/>
      <c r="DL76" s="18"/>
      <c r="DM76" s="18"/>
      <c r="DN76" s="18"/>
      <c r="DO76" s="18"/>
      <c r="DP76" s="18"/>
      <c r="DQ76" s="18"/>
      <c r="DR76" s="18"/>
      <c r="DS76" s="18"/>
      <c r="DT76" s="18"/>
      <c r="DU76" s="18"/>
      <c r="DV76" s="18"/>
      <c r="DW76" s="18"/>
      <c r="DX76" s="18"/>
      <c r="DY76" s="18"/>
      <c r="DZ76" s="18"/>
      <c r="EA76" s="18"/>
      <c r="EB76" s="18"/>
      <c r="EC76" s="18"/>
      <c r="ED76" s="18"/>
      <c r="EE76" s="18"/>
      <c r="EF76" s="18"/>
      <c r="EG76" s="18"/>
      <c r="EH76" s="18"/>
      <c r="EI76" s="18"/>
      <c r="EJ76" s="18"/>
      <c r="EK76" s="18"/>
      <c r="EL76" s="18"/>
      <c r="EM76" s="18"/>
      <c r="EN76" s="18"/>
      <c r="EO76" s="18"/>
      <c r="EP76" s="18"/>
      <c r="EQ76" s="18"/>
      <c r="ER76" s="18"/>
      <c r="ES76" s="18"/>
      <c r="ET76" s="18"/>
      <c r="EU76" s="18"/>
      <c r="EV76" s="18"/>
      <c r="EW76" s="18"/>
      <c r="EX76" s="18"/>
      <c r="EY76" s="18"/>
      <c r="EZ76" s="18"/>
      <c r="FA76" s="18"/>
      <c r="FB76" s="18"/>
      <c r="FC76" s="18"/>
      <c r="FD76" s="18"/>
      <c r="FE76" s="18"/>
      <c r="FF76" s="18"/>
      <c r="FG76" s="18"/>
      <c r="FH76" s="18"/>
      <c r="FI76" s="18"/>
      <c r="FJ76" s="18"/>
      <c r="FK76" s="18"/>
      <c r="FL76" s="18"/>
      <c r="FM76" s="18"/>
      <c r="FN76" s="18"/>
      <c r="FO76" s="18"/>
      <c r="FP76" s="18"/>
      <c r="FQ76" s="18"/>
      <c r="FR76" s="18"/>
      <c r="FS76" s="18"/>
      <c r="FT76" s="18"/>
      <c r="FU76" s="18"/>
      <c r="FV76" s="18"/>
      <c r="FW76" s="18"/>
      <c r="FX76" s="18"/>
      <c r="FY76" s="18"/>
      <c r="FZ76" s="18"/>
      <c r="GA76" s="18"/>
      <c r="GB76" s="18"/>
      <c r="GC76" s="18"/>
      <c r="GD76" s="18"/>
      <c r="GE76" s="18"/>
      <c r="GF76" s="18"/>
      <c r="GG76" s="18"/>
      <c r="GH76" s="18"/>
      <c r="GI76" s="18"/>
      <c r="GJ76" s="18"/>
      <c r="GK76" s="18"/>
      <c r="GL76" s="18"/>
      <c r="GM76" s="18"/>
      <c r="GN76" s="18"/>
      <c r="GO76" s="18"/>
      <c r="GP76" s="18"/>
      <c r="GQ76" s="18"/>
      <c r="GR76" s="18"/>
      <c r="GS76" s="18"/>
      <c r="GT76" s="18"/>
      <c r="GU76" s="18"/>
      <c r="GV76" s="18"/>
      <c r="GW76" s="18"/>
      <c r="GX76" s="18"/>
      <c r="GY76" s="18"/>
      <c r="GZ76" s="18"/>
      <c r="HA76" s="18"/>
      <c r="HB76" s="18"/>
      <c r="HC76" s="18"/>
      <c r="HD76" s="18"/>
      <c r="HE76" s="18"/>
      <c r="HF76" s="18"/>
      <c r="HG76" s="18"/>
      <c r="HH76" s="18"/>
      <c r="HI76" s="18"/>
      <c r="HJ76" s="18"/>
      <c r="HK76" s="18"/>
      <c r="HL76" s="18"/>
      <c r="HM76" s="18"/>
      <c r="HN76" s="18"/>
      <c r="HO76" s="18"/>
      <c r="HP76" s="18"/>
      <c r="HQ76" s="18"/>
      <c r="HR76" s="18"/>
      <c r="HS76" s="18"/>
      <c r="HT76" s="18"/>
      <c r="HU76" s="18"/>
      <c r="HV76" s="18"/>
      <c r="HW76" s="18"/>
      <c r="HX76" s="18"/>
      <c r="HY76" s="18"/>
      <c r="HZ76" s="18"/>
      <c r="IA76" s="18"/>
      <c r="IB76" s="18"/>
      <c r="IC76" s="18"/>
      <c r="ID76" s="18"/>
      <c r="IE76" s="18"/>
      <c r="IF76" s="18"/>
      <c r="IG76" s="18"/>
      <c r="IH76" s="18"/>
      <c r="II76" s="18"/>
      <c r="IJ76" s="18"/>
      <c r="IK76" s="18"/>
      <c r="IL76" s="18"/>
      <c r="IM76" s="18"/>
      <c r="IN76" s="18"/>
      <c r="IO76" s="18"/>
      <c r="IP76" s="18"/>
      <c r="IQ76" s="18"/>
      <c r="IR76" s="18"/>
      <c r="IS76" s="18"/>
      <c r="IT76" s="18"/>
      <c r="IU76" s="18"/>
      <c r="IV76" s="18"/>
    </row>
    <row r="77" spans="1:256" ht="16.5" customHeight="1" x14ac:dyDescent="0.3">
      <c r="A77" s="172">
        <v>70</v>
      </c>
      <c r="B77" s="57" t="s">
        <v>121</v>
      </c>
      <c r="C77" s="58" t="s">
        <v>152</v>
      </c>
      <c r="D77" s="20"/>
      <c r="E77" s="20"/>
      <c r="F77" s="20"/>
      <c r="G77" s="20">
        <v>268975736.00999999</v>
      </c>
      <c r="H77" s="20"/>
      <c r="I77" s="20"/>
      <c r="J77" s="20">
        <v>268975736.00999999</v>
      </c>
      <c r="K77" s="20">
        <v>2782113.9</v>
      </c>
      <c r="L77" s="20">
        <v>410020.53</v>
      </c>
      <c r="M77" s="152">
        <v>2372093.37</v>
      </c>
      <c r="N77" s="20">
        <v>269657319.42000002</v>
      </c>
      <c r="O77" s="53">
        <v>8295537.6299999999</v>
      </c>
      <c r="P77" s="30">
        <v>261071485.08000001</v>
      </c>
      <c r="Q77" s="23">
        <f t="shared" si="28"/>
        <v>6.2733958535228713E-4</v>
      </c>
      <c r="R77" s="30">
        <v>261361781.78999999</v>
      </c>
      <c r="S77" s="23">
        <f t="shared" si="29"/>
        <v>6.2424677039965722E-4</v>
      </c>
      <c r="T77" s="24">
        <f>((R77-P77)/P77)</f>
        <v>1.1119433817562384E-3</v>
      </c>
      <c r="U77" s="59">
        <f>(L77/R77)</f>
        <v>1.5687853334633484E-3</v>
      </c>
      <c r="V77" s="25">
        <f>M77/R77</f>
        <v>9.0758999030161915E-3</v>
      </c>
      <c r="W77" s="26">
        <f>R77/AE77</f>
        <v>1100.2853489517554</v>
      </c>
      <c r="X77" s="26">
        <f>M77/AE77</f>
        <v>9.9860796918413737</v>
      </c>
      <c r="Y77" s="74">
        <v>1100.29</v>
      </c>
      <c r="Z77" s="74">
        <v>1100.29</v>
      </c>
      <c r="AA77" s="149">
        <v>122</v>
      </c>
      <c r="AB77" s="149">
        <v>239270</v>
      </c>
      <c r="AC77" s="149">
        <v>2460</v>
      </c>
      <c r="AD77" s="149">
        <v>4190</v>
      </c>
      <c r="AE77" s="150">
        <v>237540</v>
      </c>
      <c r="AF77" s="19"/>
      <c r="AG77" s="5"/>
      <c r="AH77" s="5"/>
      <c r="AI77" s="5"/>
      <c r="AJ77" s="6"/>
      <c r="AK77" s="4"/>
      <c r="AL77" s="5"/>
      <c r="AM77" s="5"/>
      <c r="AN77" s="5"/>
      <c r="AO77" s="6"/>
      <c r="AP77" s="4"/>
      <c r="AQ77" s="5"/>
      <c r="AR77" s="5"/>
      <c r="AS77" s="5"/>
      <c r="AT77" s="6"/>
      <c r="AU77" s="18"/>
      <c r="AV77" s="18"/>
      <c r="AW77" s="18"/>
      <c r="AX77" s="18"/>
      <c r="AY77" s="18"/>
      <c r="AZ77" s="18"/>
      <c r="BA77" s="18"/>
      <c r="BB77" s="18"/>
      <c r="BC77" s="18"/>
      <c r="BD77" s="18"/>
      <c r="BE77" s="18"/>
      <c r="BF77" s="18"/>
      <c r="BG77" s="18"/>
      <c r="BH77" s="18"/>
      <c r="BI77" s="18"/>
      <c r="BJ77" s="18"/>
      <c r="BK77" s="18"/>
      <c r="BL77" s="18"/>
      <c r="BM77" s="18"/>
      <c r="BN77" s="18"/>
      <c r="BO77" s="18"/>
      <c r="BP77" s="18"/>
      <c r="BQ77" s="18"/>
      <c r="BR77" s="18"/>
      <c r="BS77" s="18"/>
      <c r="BT77" s="18"/>
      <c r="BU77" s="18"/>
      <c r="BV77" s="18"/>
      <c r="BW77" s="18"/>
      <c r="BX77" s="18"/>
      <c r="BY77" s="18"/>
      <c r="BZ77" s="18"/>
      <c r="CA77" s="18"/>
      <c r="CB77" s="18"/>
      <c r="CC77" s="18"/>
      <c r="CD77" s="18"/>
      <c r="CE77" s="18"/>
      <c r="CF77" s="18"/>
      <c r="CG77" s="18"/>
      <c r="CH77" s="18"/>
      <c r="CI77" s="18"/>
      <c r="CJ77" s="18"/>
      <c r="CK77" s="18"/>
      <c r="CL77" s="18"/>
      <c r="CM77" s="18"/>
      <c r="CN77" s="18"/>
      <c r="CO77" s="18"/>
      <c r="CP77" s="18"/>
      <c r="CQ77" s="18"/>
      <c r="CR77" s="18"/>
      <c r="CS77" s="18"/>
      <c r="CT77" s="18"/>
      <c r="CU77" s="18"/>
      <c r="CV77" s="18"/>
      <c r="CW77" s="18"/>
      <c r="CX77" s="18"/>
      <c r="CY77" s="18"/>
      <c r="CZ77" s="18"/>
      <c r="DA77" s="18"/>
      <c r="DB77" s="18"/>
      <c r="DC77" s="18"/>
      <c r="DD77" s="18"/>
      <c r="DE77" s="18"/>
      <c r="DF77" s="18"/>
      <c r="DG77" s="18"/>
      <c r="DH77" s="18"/>
      <c r="DI77" s="18"/>
      <c r="DJ77" s="18"/>
      <c r="DK77" s="18"/>
      <c r="DL77" s="18"/>
      <c r="DM77" s="18"/>
      <c r="DN77" s="18"/>
      <c r="DO77" s="18"/>
      <c r="DP77" s="18"/>
      <c r="DQ77" s="18"/>
      <c r="DR77" s="18"/>
      <c r="DS77" s="18"/>
      <c r="DT77" s="18"/>
      <c r="DU77" s="18"/>
      <c r="DV77" s="18"/>
      <c r="DW77" s="18"/>
      <c r="DX77" s="18"/>
      <c r="DY77" s="18"/>
      <c r="DZ77" s="18"/>
      <c r="EA77" s="18"/>
      <c r="EB77" s="18"/>
      <c r="EC77" s="18"/>
      <c r="ED77" s="18"/>
      <c r="EE77" s="18"/>
      <c r="EF77" s="18"/>
      <c r="EG77" s="18"/>
      <c r="EH77" s="18"/>
      <c r="EI77" s="18"/>
      <c r="EJ77" s="18"/>
      <c r="EK77" s="18"/>
      <c r="EL77" s="18"/>
      <c r="EM77" s="18"/>
      <c r="EN77" s="18"/>
      <c r="EO77" s="18"/>
      <c r="EP77" s="18"/>
      <c r="EQ77" s="18"/>
      <c r="ER77" s="18"/>
      <c r="ES77" s="18"/>
      <c r="ET77" s="18"/>
      <c r="EU77" s="18"/>
      <c r="EV77" s="18"/>
      <c r="EW77" s="18"/>
      <c r="EX77" s="18"/>
      <c r="EY77" s="18"/>
      <c r="EZ77" s="18"/>
      <c r="FA77" s="18"/>
      <c r="FB77" s="18"/>
      <c r="FC77" s="18"/>
      <c r="FD77" s="18"/>
      <c r="FE77" s="18"/>
      <c r="FF77" s="18"/>
      <c r="FG77" s="18"/>
      <c r="FH77" s="18"/>
      <c r="FI77" s="18"/>
      <c r="FJ77" s="18"/>
      <c r="FK77" s="18"/>
      <c r="FL77" s="18"/>
      <c r="FM77" s="18"/>
      <c r="FN77" s="18"/>
      <c r="FO77" s="18"/>
      <c r="FP77" s="18"/>
      <c r="FQ77" s="18"/>
      <c r="FR77" s="18"/>
      <c r="FS77" s="18"/>
      <c r="FT77" s="18"/>
      <c r="FU77" s="18"/>
      <c r="FV77" s="18"/>
      <c r="FW77" s="18"/>
      <c r="FX77" s="18"/>
      <c r="FY77" s="18"/>
      <c r="FZ77" s="18"/>
      <c r="GA77" s="18"/>
      <c r="GB77" s="18"/>
      <c r="GC77" s="18"/>
      <c r="GD77" s="18"/>
      <c r="GE77" s="18"/>
      <c r="GF77" s="18"/>
      <c r="GG77" s="18"/>
      <c r="GH77" s="18"/>
      <c r="GI77" s="18"/>
      <c r="GJ77" s="18"/>
      <c r="GK77" s="18"/>
      <c r="GL77" s="18"/>
      <c r="GM77" s="18"/>
      <c r="GN77" s="18"/>
      <c r="GO77" s="18"/>
      <c r="GP77" s="18"/>
      <c r="GQ77" s="18"/>
      <c r="GR77" s="18"/>
      <c r="GS77" s="18"/>
      <c r="GT77" s="18"/>
      <c r="GU77" s="18"/>
      <c r="GV77" s="18"/>
      <c r="GW77" s="18"/>
      <c r="GX77" s="18"/>
      <c r="GY77" s="18"/>
      <c r="GZ77" s="18"/>
      <c r="HA77" s="18"/>
      <c r="HB77" s="18"/>
      <c r="HC77" s="18"/>
      <c r="HD77" s="18"/>
      <c r="HE77" s="18"/>
      <c r="HF77" s="18"/>
      <c r="HG77" s="18"/>
      <c r="HH77" s="18"/>
      <c r="HI77" s="18"/>
      <c r="HJ77" s="18"/>
      <c r="HK77" s="18"/>
      <c r="HL77" s="18"/>
      <c r="HM77" s="18"/>
      <c r="HN77" s="18"/>
      <c r="HO77" s="18"/>
      <c r="HP77" s="18"/>
      <c r="HQ77" s="18"/>
      <c r="HR77" s="18"/>
      <c r="HS77" s="18"/>
      <c r="HT77" s="18"/>
      <c r="HU77" s="18"/>
      <c r="HV77" s="18"/>
      <c r="HW77" s="18"/>
      <c r="HX77" s="18"/>
      <c r="HY77" s="18"/>
      <c r="HZ77" s="18"/>
      <c r="IA77" s="18"/>
      <c r="IB77" s="18"/>
      <c r="IC77" s="18"/>
      <c r="ID77" s="18"/>
      <c r="IE77" s="18"/>
      <c r="IF77" s="18"/>
      <c r="IG77" s="18"/>
      <c r="IH77" s="18"/>
      <c r="II77" s="18"/>
      <c r="IJ77" s="18"/>
      <c r="IK77" s="18"/>
      <c r="IL77" s="18"/>
      <c r="IM77" s="18"/>
      <c r="IN77" s="18"/>
      <c r="IO77" s="18"/>
      <c r="IP77" s="18"/>
      <c r="IQ77" s="18"/>
      <c r="IR77" s="18"/>
      <c r="IS77" s="18"/>
      <c r="IT77" s="18"/>
      <c r="IU77" s="18"/>
      <c r="IV77" s="18"/>
    </row>
    <row r="78" spans="1:256" ht="16.5" customHeight="1" x14ac:dyDescent="0.3">
      <c r="A78" s="172">
        <v>71</v>
      </c>
      <c r="B78" s="57" t="s">
        <v>148</v>
      </c>
      <c r="C78" s="58" t="s">
        <v>149</v>
      </c>
      <c r="D78" s="20"/>
      <c r="E78" s="20"/>
      <c r="F78" s="20">
        <v>69379503.400000006</v>
      </c>
      <c r="G78" s="20">
        <v>1093757370.8299999</v>
      </c>
      <c r="H78" s="20"/>
      <c r="I78" s="20"/>
      <c r="J78" s="20">
        <v>1163136874.23</v>
      </c>
      <c r="K78" s="20">
        <v>12273318.99</v>
      </c>
      <c r="L78" s="20">
        <v>2174697.92</v>
      </c>
      <c r="M78" s="152">
        <v>10098621.07</v>
      </c>
      <c r="N78" s="20">
        <v>1603017228.25</v>
      </c>
      <c r="O78" s="20">
        <v>2066728.28</v>
      </c>
      <c r="P78" s="30">
        <v>1571522474.0699999</v>
      </c>
      <c r="Q78" s="23">
        <f t="shared" si="28"/>
        <v>3.7762770489958792E-3</v>
      </c>
      <c r="R78" s="30">
        <v>1600950499.98</v>
      </c>
      <c r="S78" s="23">
        <f t="shared" si="29"/>
        <v>3.8237732094481354E-3</v>
      </c>
      <c r="T78" s="24">
        <f t="shared" si="39"/>
        <v>1.8725806595553198E-2</v>
      </c>
      <c r="U78" s="59">
        <f t="shared" si="35"/>
        <v>1.3583792378509937E-3</v>
      </c>
      <c r="V78" s="25">
        <f t="shared" si="36"/>
        <v>6.307890887398554E-3</v>
      </c>
      <c r="W78" s="26" t="e">
        <f>R78/AE81</f>
        <v>#DIV/0!</v>
      </c>
      <c r="X78" s="26" t="e">
        <f>M78/AE81</f>
        <v>#DIV/0!</v>
      </c>
      <c r="Y78" s="148">
        <v>1.0351999999999999</v>
      </c>
      <c r="Z78" s="148">
        <v>1.0351999999999999</v>
      </c>
      <c r="AA78" s="149">
        <v>613</v>
      </c>
      <c r="AB78" s="149">
        <v>1527614836.22</v>
      </c>
      <c r="AC78" s="149">
        <v>81461788.879999995</v>
      </c>
      <c r="AD78" s="149">
        <v>62606145.469999999</v>
      </c>
      <c r="AE78" s="150">
        <v>1546470479.6300001</v>
      </c>
      <c r="AF78" s="212"/>
      <c r="AG78" s="9"/>
      <c r="AH78" s="5"/>
      <c r="AI78" s="5"/>
      <c r="AJ78" s="6"/>
      <c r="AK78" s="4"/>
      <c r="AL78" s="5"/>
      <c r="AM78" s="5"/>
      <c r="AN78" s="5"/>
      <c r="AO78" s="6"/>
      <c r="AP78" s="4"/>
      <c r="AQ78" s="5"/>
      <c r="AR78" s="5"/>
      <c r="AS78" s="5"/>
      <c r="AT78" s="6"/>
    </row>
    <row r="79" spans="1:256" ht="16.5" customHeight="1" x14ac:dyDescent="0.3">
      <c r="A79" s="172">
        <v>72</v>
      </c>
      <c r="B79" s="58" t="s">
        <v>29</v>
      </c>
      <c r="C79" s="58" t="s">
        <v>197</v>
      </c>
      <c r="D79" s="20"/>
      <c r="E79" s="20"/>
      <c r="F79" s="20">
        <v>299989690.16000003</v>
      </c>
      <c r="G79" s="20">
        <v>934669191.61000001</v>
      </c>
      <c r="H79" s="20"/>
      <c r="I79" s="162"/>
      <c r="J79" s="20">
        <v>1254424067.95</v>
      </c>
      <c r="K79" s="20">
        <v>6200326.5099999998</v>
      </c>
      <c r="L79" s="20">
        <v>1738587.26</v>
      </c>
      <c r="M79" s="152">
        <v>4461739.25</v>
      </c>
      <c r="N79" s="20">
        <v>1254424067.95</v>
      </c>
      <c r="O79" s="20">
        <v>2841493.8</v>
      </c>
      <c r="P79" s="30">
        <v>448147251.39999998</v>
      </c>
      <c r="Q79" s="23">
        <f t="shared" si="28"/>
        <v>1.0768717647731364E-3</v>
      </c>
      <c r="R79" s="30">
        <v>1251582574.1500001</v>
      </c>
      <c r="S79" s="23">
        <f t="shared" si="29"/>
        <v>2.9893290994985112E-3</v>
      </c>
      <c r="T79" s="24">
        <f t="shared" ref="T79" si="40">((R79-P79)/P79)</f>
        <v>1.792793150555068</v>
      </c>
      <c r="U79" s="59">
        <f t="shared" ref="U79" si="41">(L79/R79)</f>
        <v>1.3891111109314896E-3</v>
      </c>
      <c r="V79" s="25">
        <f t="shared" ref="V79" si="42">M79/R79</f>
        <v>3.5648780529164413E-3</v>
      </c>
      <c r="W79" s="26">
        <f t="shared" ref="W79" si="43">R79/AE79</f>
        <v>103.62671855830013</v>
      </c>
      <c r="X79" s="26">
        <f t="shared" ref="X79" si="44">M79/AE79</f>
        <v>0.36941661468423298</v>
      </c>
      <c r="Y79" s="148">
        <v>103.63</v>
      </c>
      <c r="Z79" s="148">
        <v>103.63</v>
      </c>
      <c r="AA79" s="149">
        <v>68</v>
      </c>
      <c r="AB79" s="149">
        <v>4344574</v>
      </c>
      <c r="AC79" s="149">
        <v>7733224</v>
      </c>
      <c r="AD79" s="149">
        <v>0</v>
      </c>
      <c r="AE79" s="150">
        <v>12077798</v>
      </c>
      <c r="AF79" s="5"/>
      <c r="AG79" s="5"/>
      <c r="AH79" s="5"/>
      <c r="AI79" s="5"/>
      <c r="AJ79" s="6"/>
      <c r="AK79" s="4"/>
      <c r="AL79" s="5"/>
      <c r="AM79" s="5"/>
      <c r="AN79" s="5"/>
      <c r="AO79" s="6"/>
      <c r="AP79" s="4"/>
      <c r="AQ79" s="5"/>
      <c r="AR79" s="5"/>
      <c r="AS79" s="5"/>
      <c r="AT79" s="6"/>
      <c r="AU79" s="18"/>
      <c r="AV79" s="18"/>
      <c r="AW79" s="18"/>
      <c r="AX79" s="18"/>
      <c r="AY79" s="18"/>
      <c r="AZ79" s="18"/>
      <c r="BA79" s="18"/>
      <c r="BB79" s="18"/>
      <c r="BC79" s="18"/>
      <c r="BD79" s="18"/>
      <c r="BE79" s="18"/>
      <c r="BF79" s="18"/>
      <c r="BG79" s="18"/>
      <c r="BH79" s="18"/>
      <c r="BI79" s="18"/>
      <c r="BJ79" s="18"/>
      <c r="BK79" s="18"/>
      <c r="BL79" s="18"/>
      <c r="BM79" s="18"/>
      <c r="BN79" s="18"/>
      <c r="BO79" s="18"/>
      <c r="BP79" s="18"/>
      <c r="BQ79" s="18"/>
      <c r="BR79" s="18"/>
      <c r="BS79" s="18"/>
      <c r="BT79" s="18"/>
      <c r="BU79" s="18"/>
      <c r="BV79" s="18"/>
      <c r="BW79" s="18"/>
      <c r="BX79" s="18"/>
      <c r="BY79" s="18"/>
      <c r="BZ79" s="18"/>
      <c r="CA79" s="18"/>
      <c r="CB79" s="18"/>
      <c r="CC79" s="18"/>
      <c r="CD79" s="18"/>
      <c r="CE79" s="18"/>
      <c r="CF79" s="18"/>
      <c r="CG79" s="18"/>
      <c r="CH79" s="18"/>
      <c r="CI79" s="18"/>
      <c r="CJ79" s="18"/>
      <c r="CK79" s="18"/>
      <c r="CL79" s="18"/>
      <c r="CM79" s="18"/>
      <c r="CN79" s="18"/>
      <c r="CO79" s="18"/>
      <c r="CP79" s="18"/>
      <c r="CQ79" s="18"/>
      <c r="CR79" s="18"/>
      <c r="CS79" s="18"/>
      <c r="CT79" s="18"/>
      <c r="CU79" s="18"/>
      <c r="CV79" s="18"/>
      <c r="CW79" s="18"/>
      <c r="CX79" s="18"/>
      <c r="CY79" s="18"/>
      <c r="CZ79" s="18"/>
      <c r="DA79" s="18"/>
      <c r="DB79" s="18"/>
      <c r="DC79" s="18"/>
      <c r="DD79" s="18"/>
      <c r="DE79" s="18"/>
      <c r="DF79" s="18"/>
      <c r="DG79" s="18"/>
      <c r="DH79" s="18"/>
      <c r="DI79" s="18"/>
      <c r="DJ79" s="18"/>
      <c r="DK79" s="18"/>
      <c r="DL79" s="18"/>
      <c r="DM79" s="18"/>
      <c r="DN79" s="18"/>
      <c r="DO79" s="18"/>
      <c r="DP79" s="18"/>
      <c r="DQ79" s="18"/>
      <c r="DR79" s="18"/>
      <c r="DS79" s="18"/>
      <c r="DT79" s="18"/>
      <c r="DU79" s="18"/>
      <c r="DV79" s="18"/>
      <c r="DW79" s="18"/>
      <c r="DX79" s="18"/>
      <c r="DY79" s="18"/>
      <c r="DZ79" s="18"/>
      <c r="EA79" s="18"/>
      <c r="EB79" s="18"/>
      <c r="EC79" s="18"/>
      <c r="ED79" s="18"/>
      <c r="EE79" s="18"/>
      <c r="EF79" s="18"/>
      <c r="EG79" s="18"/>
      <c r="EH79" s="18"/>
      <c r="EI79" s="18"/>
      <c r="EJ79" s="18"/>
      <c r="EK79" s="18"/>
      <c r="EL79" s="18"/>
      <c r="EM79" s="18"/>
      <c r="EN79" s="18"/>
      <c r="EO79" s="18"/>
      <c r="EP79" s="18"/>
      <c r="EQ79" s="18"/>
      <c r="ER79" s="18"/>
      <c r="ES79" s="18"/>
      <c r="ET79" s="18"/>
      <c r="EU79" s="18"/>
      <c r="EV79" s="18"/>
      <c r="EW79" s="18"/>
      <c r="EX79" s="18"/>
      <c r="EY79" s="18"/>
      <c r="EZ79" s="18"/>
      <c r="FA79" s="18"/>
      <c r="FB79" s="18"/>
      <c r="FC79" s="18"/>
      <c r="FD79" s="18"/>
      <c r="FE79" s="18"/>
      <c r="FF79" s="18"/>
      <c r="FG79" s="18"/>
      <c r="FH79" s="18"/>
      <c r="FI79" s="18"/>
      <c r="FJ79" s="18"/>
      <c r="FK79" s="18"/>
      <c r="FL79" s="18"/>
      <c r="FM79" s="18"/>
      <c r="FN79" s="18"/>
      <c r="FO79" s="18"/>
      <c r="FP79" s="18"/>
      <c r="FQ79" s="18"/>
      <c r="FR79" s="18"/>
      <c r="FS79" s="18"/>
      <c r="FT79" s="18"/>
      <c r="FU79" s="18"/>
      <c r="FV79" s="18"/>
      <c r="FW79" s="18"/>
      <c r="FX79" s="18"/>
      <c r="FY79" s="18"/>
      <c r="FZ79" s="18"/>
      <c r="GA79" s="18"/>
      <c r="GB79" s="18"/>
      <c r="GC79" s="18"/>
      <c r="GD79" s="18"/>
      <c r="GE79" s="18"/>
      <c r="GF79" s="18"/>
      <c r="GG79" s="18"/>
      <c r="GH79" s="18"/>
      <c r="GI79" s="18"/>
      <c r="GJ79" s="18"/>
      <c r="GK79" s="18"/>
      <c r="GL79" s="18"/>
      <c r="GM79" s="18"/>
      <c r="GN79" s="18"/>
      <c r="GO79" s="18"/>
      <c r="GP79" s="18"/>
      <c r="GQ79" s="18"/>
      <c r="GR79" s="18"/>
      <c r="GS79" s="18"/>
      <c r="GT79" s="18"/>
      <c r="GU79" s="18"/>
      <c r="GV79" s="18"/>
      <c r="GW79" s="18"/>
      <c r="GX79" s="18"/>
      <c r="GY79" s="18"/>
      <c r="GZ79" s="18"/>
      <c r="HA79" s="18"/>
      <c r="HB79" s="18"/>
      <c r="HC79" s="18"/>
      <c r="HD79" s="18"/>
      <c r="HE79" s="18"/>
      <c r="HF79" s="18"/>
      <c r="HG79" s="18"/>
      <c r="HH79" s="18"/>
      <c r="HI79" s="18"/>
      <c r="HJ79" s="18"/>
      <c r="HK79" s="18"/>
      <c r="HL79" s="18"/>
      <c r="HM79" s="18"/>
      <c r="HN79" s="18"/>
      <c r="HO79" s="18"/>
      <c r="HP79" s="18"/>
      <c r="HQ79" s="18"/>
      <c r="HR79" s="18"/>
      <c r="HS79" s="18"/>
      <c r="HT79" s="18"/>
      <c r="HU79" s="18"/>
      <c r="HV79" s="18"/>
      <c r="HW79" s="18"/>
      <c r="HX79" s="18"/>
      <c r="HY79" s="18"/>
      <c r="HZ79" s="18"/>
      <c r="IA79" s="18"/>
      <c r="IB79" s="18"/>
      <c r="IC79" s="18"/>
      <c r="ID79" s="18"/>
      <c r="IE79" s="18"/>
      <c r="IF79" s="18"/>
      <c r="IG79" s="18"/>
      <c r="IH79" s="18"/>
      <c r="II79" s="18"/>
      <c r="IJ79" s="18"/>
      <c r="IK79" s="18"/>
      <c r="IL79" s="18"/>
      <c r="IM79" s="18"/>
      <c r="IN79" s="18"/>
      <c r="IO79" s="18"/>
      <c r="IP79" s="18"/>
      <c r="IQ79" s="18"/>
      <c r="IR79" s="18"/>
      <c r="IS79" s="18"/>
      <c r="IT79" s="18"/>
      <c r="IU79" s="18"/>
      <c r="IV79" s="18"/>
    </row>
    <row r="80" spans="1:256" ht="16.5" customHeight="1" x14ac:dyDescent="0.3">
      <c r="A80" s="172">
        <v>73</v>
      </c>
      <c r="B80" s="58" t="s">
        <v>65</v>
      </c>
      <c r="C80" s="58" t="s">
        <v>213</v>
      </c>
      <c r="D80" s="20"/>
      <c r="E80" s="20"/>
      <c r="F80" s="20">
        <v>23140296.719999999</v>
      </c>
      <c r="G80" s="20">
        <v>215247861.66999999</v>
      </c>
      <c r="H80" s="20"/>
      <c r="I80" s="162"/>
      <c r="J80" s="20">
        <v>238388158.38999999</v>
      </c>
      <c r="K80" s="20">
        <v>1507313.63</v>
      </c>
      <c r="L80" s="20">
        <v>463443.24</v>
      </c>
      <c r="M80" s="20">
        <v>1043870.39</v>
      </c>
      <c r="N80" s="20">
        <v>308413148.56</v>
      </c>
      <c r="O80" s="20">
        <v>28766853.16</v>
      </c>
      <c r="P80" s="30">
        <v>171639972.75</v>
      </c>
      <c r="Q80" s="23">
        <f t="shared" si="28"/>
        <v>4.1244086577232897E-4</v>
      </c>
      <c r="R80" s="30">
        <v>279646295.39999998</v>
      </c>
      <c r="S80" s="23">
        <f t="shared" si="29"/>
        <v>6.6791822263417735E-4</v>
      </c>
      <c r="T80" s="24">
        <f t="shared" ref="T80" si="45">((R80-P80)/P80)</f>
        <v>0.62926089371568006</v>
      </c>
      <c r="U80" s="59">
        <f t="shared" ref="U80" si="46">(L80/R80)</f>
        <v>1.6572479150388918E-3</v>
      </c>
      <c r="V80" s="25">
        <f t="shared" ref="V80" si="47">M80/R80</f>
        <v>3.732823953583474E-3</v>
      </c>
      <c r="W80" s="26">
        <f t="shared" ref="W80" si="48">R80/AE80</f>
        <v>100.68538089389928</v>
      </c>
      <c r="X80" s="26">
        <f t="shared" ref="X80" si="49">M80/AE80</f>
        <v>0.37584080157642308</v>
      </c>
      <c r="Y80" s="148">
        <v>100.7</v>
      </c>
      <c r="Z80" s="148">
        <v>100.7</v>
      </c>
      <c r="AA80" s="198">
        <v>77</v>
      </c>
      <c r="AB80" s="149">
        <v>1782284</v>
      </c>
      <c r="AC80" s="149">
        <v>1095143</v>
      </c>
      <c r="AD80" s="149">
        <v>100000</v>
      </c>
      <c r="AE80" s="150">
        <v>2777427</v>
      </c>
      <c r="AF80" s="5"/>
      <c r="AG80" s="5"/>
      <c r="AH80" s="5"/>
      <c r="AI80" s="5"/>
      <c r="AJ80" s="6"/>
      <c r="AK80" s="4"/>
      <c r="AL80" s="5"/>
      <c r="AM80" s="5"/>
      <c r="AN80" s="5"/>
      <c r="AO80" s="6"/>
      <c r="AP80" s="4"/>
      <c r="AQ80" s="5"/>
      <c r="AR80" s="5"/>
      <c r="AS80" s="5"/>
      <c r="AT80" s="6"/>
      <c r="AU80" s="18"/>
      <c r="AV80" s="18"/>
      <c r="AW80" s="18"/>
      <c r="AX80" s="18"/>
      <c r="AY80" s="18"/>
      <c r="AZ80" s="18"/>
      <c r="BA80" s="18"/>
      <c r="BB80" s="18"/>
      <c r="BC80" s="18"/>
      <c r="BD80" s="18"/>
      <c r="BE80" s="18"/>
      <c r="BF80" s="18"/>
      <c r="BG80" s="18"/>
      <c r="BH80" s="18"/>
      <c r="BI80" s="18"/>
      <c r="BJ80" s="18"/>
      <c r="BK80" s="18"/>
      <c r="BL80" s="18"/>
      <c r="BM80" s="18"/>
      <c r="BN80" s="18"/>
      <c r="BO80" s="18"/>
      <c r="BP80" s="18"/>
      <c r="BQ80" s="18"/>
      <c r="BR80" s="18"/>
      <c r="BS80" s="18"/>
      <c r="BT80" s="18"/>
      <c r="BU80" s="18"/>
      <c r="BV80" s="18"/>
      <c r="BW80" s="18"/>
      <c r="BX80" s="18"/>
      <c r="BY80" s="18"/>
      <c r="BZ80" s="18"/>
      <c r="CA80" s="18"/>
      <c r="CB80" s="18"/>
      <c r="CC80" s="18"/>
      <c r="CD80" s="18"/>
      <c r="CE80" s="18"/>
      <c r="CF80" s="18"/>
      <c r="CG80" s="18"/>
      <c r="CH80" s="18"/>
      <c r="CI80" s="18"/>
      <c r="CJ80" s="18"/>
      <c r="CK80" s="18"/>
      <c r="CL80" s="18"/>
      <c r="CM80" s="18"/>
      <c r="CN80" s="18"/>
      <c r="CO80" s="18"/>
      <c r="CP80" s="18"/>
      <c r="CQ80" s="18"/>
      <c r="CR80" s="18"/>
      <c r="CS80" s="18"/>
      <c r="CT80" s="18"/>
      <c r="CU80" s="18"/>
      <c r="CV80" s="18"/>
      <c r="CW80" s="18"/>
      <c r="CX80" s="18"/>
      <c r="CY80" s="18"/>
      <c r="CZ80" s="18"/>
      <c r="DA80" s="18"/>
      <c r="DB80" s="18"/>
      <c r="DC80" s="18"/>
      <c r="DD80" s="18"/>
      <c r="DE80" s="18"/>
      <c r="DF80" s="18"/>
      <c r="DG80" s="18"/>
      <c r="DH80" s="18"/>
      <c r="DI80" s="18"/>
      <c r="DJ80" s="18"/>
      <c r="DK80" s="18"/>
      <c r="DL80" s="18"/>
      <c r="DM80" s="18"/>
      <c r="DN80" s="18"/>
      <c r="DO80" s="18"/>
      <c r="DP80" s="18"/>
      <c r="DQ80" s="18"/>
      <c r="DR80" s="18"/>
      <c r="DS80" s="18"/>
      <c r="DT80" s="18"/>
      <c r="DU80" s="18"/>
      <c r="DV80" s="18"/>
      <c r="DW80" s="18"/>
      <c r="DX80" s="18"/>
      <c r="DY80" s="18"/>
      <c r="DZ80" s="18"/>
      <c r="EA80" s="18"/>
      <c r="EB80" s="18"/>
      <c r="EC80" s="18"/>
      <c r="ED80" s="18"/>
      <c r="EE80" s="18"/>
      <c r="EF80" s="18"/>
      <c r="EG80" s="18"/>
      <c r="EH80" s="18"/>
      <c r="EI80" s="18"/>
      <c r="EJ80" s="18"/>
      <c r="EK80" s="18"/>
      <c r="EL80" s="18"/>
      <c r="EM80" s="18"/>
      <c r="EN80" s="18"/>
      <c r="EO80" s="18"/>
      <c r="EP80" s="18"/>
      <c r="EQ80" s="18"/>
      <c r="ER80" s="18"/>
      <c r="ES80" s="18"/>
      <c r="ET80" s="18"/>
      <c r="EU80" s="18"/>
      <c r="EV80" s="18"/>
      <c r="EW80" s="18"/>
      <c r="EX80" s="18"/>
      <c r="EY80" s="18"/>
      <c r="EZ80" s="18"/>
      <c r="FA80" s="18"/>
      <c r="FB80" s="18"/>
      <c r="FC80" s="18"/>
      <c r="FD80" s="18"/>
      <c r="FE80" s="18"/>
      <c r="FF80" s="18"/>
      <c r="FG80" s="18"/>
      <c r="FH80" s="18"/>
      <c r="FI80" s="18"/>
      <c r="FJ80" s="18"/>
      <c r="FK80" s="18"/>
      <c r="FL80" s="18"/>
      <c r="FM80" s="18"/>
      <c r="FN80" s="18"/>
      <c r="FO80" s="18"/>
      <c r="FP80" s="18"/>
      <c r="FQ80" s="18"/>
      <c r="FR80" s="18"/>
      <c r="FS80" s="18"/>
      <c r="FT80" s="18"/>
      <c r="FU80" s="18"/>
      <c r="FV80" s="18"/>
      <c r="FW80" s="18"/>
      <c r="FX80" s="18"/>
      <c r="FY80" s="18"/>
      <c r="FZ80" s="18"/>
      <c r="GA80" s="18"/>
      <c r="GB80" s="18"/>
      <c r="GC80" s="18"/>
      <c r="GD80" s="18"/>
      <c r="GE80" s="18"/>
      <c r="GF80" s="18"/>
      <c r="GG80" s="18"/>
      <c r="GH80" s="18"/>
      <c r="GI80" s="18"/>
      <c r="GJ80" s="18"/>
      <c r="GK80" s="18"/>
      <c r="GL80" s="18"/>
      <c r="GM80" s="18"/>
      <c r="GN80" s="18"/>
      <c r="GO80" s="18"/>
      <c r="GP80" s="18"/>
      <c r="GQ80" s="18"/>
      <c r="GR80" s="18"/>
      <c r="GS80" s="18"/>
      <c r="GT80" s="18"/>
      <c r="GU80" s="18"/>
      <c r="GV80" s="18"/>
      <c r="GW80" s="18"/>
      <c r="GX80" s="18"/>
      <c r="GY80" s="18"/>
      <c r="GZ80" s="18"/>
      <c r="HA80" s="18"/>
      <c r="HB80" s="18"/>
      <c r="HC80" s="18"/>
      <c r="HD80" s="18"/>
      <c r="HE80" s="18"/>
      <c r="HF80" s="18"/>
      <c r="HG80" s="18"/>
      <c r="HH80" s="18"/>
      <c r="HI80" s="18"/>
      <c r="HJ80" s="18"/>
      <c r="HK80" s="18"/>
      <c r="HL80" s="18"/>
      <c r="HM80" s="18"/>
      <c r="HN80" s="18"/>
      <c r="HO80" s="18"/>
      <c r="HP80" s="18"/>
      <c r="HQ80" s="18"/>
      <c r="HR80" s="18"/>
      <c r="HS80" s="18"/>
      <c r="HT80" s="18"/>
      <c r="HU80" s="18"/>
      <c r="HV80" s="18"/>
      <c r="HW80" s="18"/>
      <c r="HX80" s="18"/>
      <c r="HY80" s="18"/>
      <c r="HZ80" s="18"/>
      <c r="IA80" s="18"/>
      <c r="IB80" s="18"/>
      <c r="IC80" s="18"/>
      <c r="ID80" s="18"/>
      <c r="IE80" s="18"/>
      <c r="IF80" s="18"/>
      <c r="IG80" s="18"/>
      <c r="IH80" s="18"/>
      <c r="II80" s="18"/>
      <c r="IJ80" s="18"/>
      <c r="IK80" s="18"/>
      <c r="IL80" s="18"/>
      <c r="IM80" s="18"/>
      <c r="IN80" s="18"/>
      <c r="IO80" s="18"/>
      <c r="IP80" s="18"/>
      <c r="IQ80" s="18"/>
      <c r="IR80" s="18"/>
      <c r="IS80" s="18"/>
      <c r="IT80" s="18"/>
      <c r="IU80" s="18"/>
      <c r="IV80" s="18"/>
    </row>
    <row r="81" spans="1:256" ht="16.5" customHeight="1" x14ac:dyDescent="0.3">
      <c r="A81" s="115" t="s">
        <v>91</v>
      </c>
      <c r="B81" s="89"/>
      <c r="C81" s="35" t="s">
        <v>52</v>
      </c>
      <c r="D81" s="36">
        <f>SUM(D53:D79)</f>
        <v>102176272.73999999</v>
      </c>
      <c r="E81" s="36"/>
      <c r="F81" s="36">
        <f>SUM(F53:F80)</f>
        <v>98499443559.5</v>
      </c>
      <c r="G81" s="36">
        <f>SUM(G53:G80)</f>
        <v>274005868713.24002</v>
      </c>
      <c r="H81" s="36"/>
      <c r="I81" s="36">
        <f t="shared" ref="I81:P81" si="50">SUM(I53:I79)</f>
        <v>6834061.2400000002</v>
      </c>
      <c r="J81" s="36">
        <f t="shared" ref="J81:O81" si="51">SUM(J53:J80)</f>
        <v>380097744953.50995</v>
      </c>
      <c r="K81" s="36">
        <f t="shared" si="51"/>
        <v>3343655237.6200004</v>
      </c>
      <c r="L81" s="36">
        <f t="shared" si="51"/>
        <v>617089622.60000002</v>
      </c>
      <c r="M81" s="36">
        <f t="shared" si="51"/>
        <v>2715052176.4699998</v>
      </c>
      <c r="N81" s="36">
        <f t="shared" si="51"/>
        <v>421461082992.11011</v>
      </c>
      <c r="O81" s="36">
        <f t="shared" si="51"/>
        <v>3106719379.9200006</v>
      </c>
      <c r="P81" s="37">
        <f t="shared" si="50"/>
        <v>416156562053.06</v>
      </c>
      <c r="Q81" s="88">
        <f>(P81/$P$150)</f>
        <v>0.29457559199895988</v>
      </c>
      <c r="R81" s="37">
        <f>SUM(R53:R79)</f>
        <v>418683434473.62994</v>
      </c>
      <c r="S81" s="88">
        <f>(R81/$R$150)</f>
        <v>0.29741567658159107</v>
      </c>
      <c r="T81" s="38">
        <f t="shared" si="39"/>
        <v>6.0719273729673154E-3</v>
      </c>
      <c r="U81" s="51"/>
      <c r="V81" s="39"/>
      <c r="W81" s="40"/>
      <c r="X81" s="40"/>
      <c r="Y81" s="36"/>
      <c r="Z81" s="36"/>
      <c r="AA81" s="41">
        <f>SUM(AA53:AA80)</f>
        <v>44706</v>
      </c>
      <c r="AB81" s="41"/>
      <c r="AC81" s="41"/>
      <c r="AD81" s="41"/>
      <c r="AE81" s="111">
        <v>0</v>
      </c>
      <c r="AF81" s="90"/>
      <c r="AG81" s="5"/>
      <c r="AH81" s="5"/>
      <c r="AI81" s="5"/>
      <c r="AJ81" s="6"/>
      <c r="AK81" s="4"/>
      <c r="AL81" s="5"/>
      <c r="AM81" s="5"/>
      <c r="AN81" s="5"/>
      <c r="AO81" s="6"/>
      <c r="AP81" s="4"/>
      <c r="AQ81" s="5"/>
      <c r="AR81" s="5"/>
      <c r="AS81" s="5"/>
      <c r="AT81" s="6"/>
      <c r="AU81" s="18"/>
      <c r="AV81" s="18"/>
      <c r="AW81" s="18"/>
      <c r="AX81" s="18"/>
      <c r="AY81" s="18"/>
      <c r="AZ81" s="18"/>
      <c r="BA81" s="18"/>
      <c r="BB81" s="18"/>
      <c r="BC81" s="18"/>
      <c r="BD81" s="18"/>
      <c r="BE81" s="18"/>
      <c r="BF81" s="18"/>
      <c r="BG81" s="18"/>
      <c r="BH81" s="18"/>
      <c r="BI81" s="18"/>
      <c r="BJ81" s="18"/>
      <c r="BK81" s="18"/>
      <c r="BL81" s="18"/>
      <c r="BM81" s="18"/>
      <c r="BN81" s="18"/>
      <c r="BO81" s="18"/>
      <c r="BP81" s="18"/>
      <c r="BQ81" s="18"/>
      <c r="BR81" s="18"/>
      <c r="BS81" s="18"/>
      <c r="BT81" s="18"/>
      <c r="BU81" s="18"/>
      <c r="BV81" s="18"/>
      <c r="BW81" s="18"/>
      <c r="BX81" s="18"/>
      <c r="BY81" s="18"/>
      <c r="BZ81" s="18"/>
      <c r="CA81" s="18"/>
      <c r="CB81" s="18"/>
      <c r="CC81" s="18"/>
      <c r="CD81" s="18"/>
      <c r="CE81" s="18"/>
      <c r="CF81" s="18"/>
      <c r="CG81" s="18"/>
      <c r="CH81" s="18"/>
      <c r="CI81" s="18"/>
      <c r="CJ81" s="18"/>
      <c r="CK81" s="18"/>
      <c r="CL81" s="18"/>
      <c r="CM81" s="18"/>
      <c r="CN81" s="18"/>
      <c r="CO81" s="18"/>
      <c r="CP81" s="18"/>
      <c r="CQ81" s="18"/>
      <c r="CR81" s="18"/>
      <c r="CS81" s="18"/>
      <c r="CT81" s="18"/>
      <c r="CU81" s="18"/>
      <c r="CV81" s="18"/>
      <c r="CW81" s="18"/>
      <c r="CX81" s="18"/>
      <c r="CY81" s="18"/>
      <c r="CZ81" s="18"/>
      <c r="DA81" s="18"/>
      <c r="DB81" s="18"/>
      <c r="DC81" s="18"/>
      <c r="DD81" s="18"/>
      <c r="DE81" s="18"/>
      <c r="DF81" s="18"/>
      <c r="DG81" s="18"/>
      <c r="DH81" s="18"/>
      <c r="DI81" s="18"/>
      <c r="DJ81" s="18"/>
      <c r="DK81" s="18"/>
      <c r="DL81" s="18"/>
      <c r="DM81" s="18"/>
      <c r="DN81" s="18"/>
      <c r="DO81" s="18"/>
      <c r="DP81" s="18"/>
      <c r="DQ81" s="18"/>
      <c r="DR81" s="18"/>
      <c r="DS81" s="18"/>
      <c r="DT81" s="18"/>
      <c r="DU81" s="18"/>
      <c r="DV81" s="18"/>
      <c r="DW81" s="18"/>
      <c r="DX81" s="18"/>
      <c r="DY81" s="18"/>
      <c r="DZ81" s="18"/>
      <c r="EA81" s="18"/>
      <c r="EB81" s="18"/>
      <c r="EC81" s="18"/>
      <c r="ED81" s="18"/>
      <c r="EE81" s="18"/>
      <c r="EF81" s="18"/>
      <c r="EG81" s="18"/>
      <c r="EH81" s="18"/>
      <c r="EI81" s="18"/>
      <c r="EJ81" s="18"/>
      <c r="EK81" s="18"/>
      <c r="EL81" s="18"/>
      <c r="EM81" s="18"/>
      <c r="EN81" s="18"/>
      <c r="EO81" s="18"/>
      <c r="EP81" s="18"/>
      <c r="EQ81" s="18"/>
      <c r="ER81" s="18"/>
      <c r="ES81" s="18"/>
      <c r="ET81" s="18"/>
      <c r="EU81" s="18"/>
      <c r="EV81" s="18"/>
      <c r="EW81" s="18"/>
      <c r="EX81" s="18"/>
      <c r="EY81" s="18"/>
      <c r="EZ81" s="18"/>
      <c r="FA81" s="18"/>
      <c r="FB81" s="18"/>
      <c r="FC81" s="18"/>
      <c r="FD81" s="18"/>
      <c r="FE81" s="18"/>
      <c r="FF81" s="18"/>
      <c r="FG81" s="18"/>
      <c r="FH81" s="18"/>
      <c r="FI81" s="18"/>
      <c r="FJ81" s="18"/>
      <c r="FK81" s="18"/>
      <c r="FL81" s="18"/>
      <c r="FM81" s="18"/>
      <c r="FN81" s="18"/>
      <c r="FO81" s="18"/>
      <c r="FP81" s="18"/>
      <c r="FQ81" s="18"/>
      <c r="FR81" s="18"/>
      <c r="FS81" s="18"/>
      <c r="FT81" s="18"/>
      <c r="FU81" s="18"/>
      <c r="FV81" s="18"/>
      <c r="FW81" s="18"/>
      <c r="FX81" s="18"/>
      <c r="FY81" s="18"/>
      <c r="FZ81" s="18"/>
      <c r="GA81" s="18"/>
      <c r="GB81" s="18"/>
      <c r="GC81" s="18"/>
      <c r="GD81" s="18"/>
      <c r="GE81" s="18"/>
      <c r="GF81" s="18"/>
      <c r="GG81" s="18"/>
      <c r="GH81" s="18"/>
      <c r="GI81" s="18"/>
      <c r="GJ81" s="18"/>
      <c r="GK81" s="18"/>
      <c r="GL81" s="18"/>
      <c r="GM81" s="18"/>
      <c r="GN81" s="18"/>
      <c r="GO81" s="18"/>
      <c r="GP81" s="18"/>
      <c r="GQ81" s="18"/>
      <c r="GR81" s="18"/>
      <c r="GS81" s="18"/>
      <c r="GT81" s="18"/>
      <c r="GU81" s="18"/>
      <c r="GV81" s="18"/>
      <c r="GW81" s="18"/>
      <c r="GX81" s="18"/>
      <c r="GY81" s="18"/>
      <c r="GZ81" s="18"/>
      <c r="HA81" s="18"/>
      <c r="HB81" s="18"/>
      <c r="HC81" s="18"/>
      <c r="HD81" s="18"/>
      <c r="HE81" s="18"/>
      <c r="HF81" s="18"/>
      <c r="HG81" s="18"/>
      <c r="HH81" s="18"/>
      <c r="HI81" s="18"/>
      <c r="HJ81" s="18"/>
      <c r="HK81" s="18"/>
      <c r="HL81" s="18"/>
      <c r="HM81" s="18"/>
      <c r="HN81" s="18"/>
      <c r="HO81" s="18"/>
      <c r="HP81" s="18"/>
      <c r="HQ81" s="18"/>
      <c r="HR81" s="18"/>
      <c r="HS81" s="18"/>
      <c r="HT81" s="18"/>
      <c r="HU81" s="18"/>
      <c r="HV81" s="18"/>
      <c r="HW81" s="18"/>
      <c r="HX81" s="18"/>
      <c r="HY81" s="18"/>
      <c r="HZ81" s="18"/>
      <c r="IA81" s="18"/>
      <c r="IB81" s="18"/>
      <c r="IC81" s="18"/>
      <c r="ID81" s="18"/>
      <c r="IE81" s="18"/>
      <c r="IF81" s="18"/>
      <c r="IG81" s="18"/>
      <c r="IH81" s="18"/>
      <c r="II81" s="18"/>
      <c r="IJ81" s="18"/>
      <c r="IK81" s="18"/>
      <c r="IL81" s="18"/>
      <c r="IM81" s="18"/>
      <c r="IN81" s="18"/>
      <c r="IO81" s="18"/>
      <c r="IP81" s="18"/>
      <c r="IQ81" s="18"/>
      <c r="IR81" s="18"/>
      <c r="IS81" s="18"/>
      <c r="IT81" s="18"/>
      <c r="IU81" s="18"/>
      <c r="IV81" s="18"/>
    </row>
    <row r="82" spans="1:256" ht="16.5" customHeight="1" x14ac:dyDescent="0.3">
      <c r="A82" s="203" t="s">
        <v>178</v>
      </c>
      <c r="B82" s="201"/>
      <c r="C82" s="201"/>
      <c r="D82" s="45"/>
      <c r="E82" s="45"/>
      <c r="F82" s="45"/>
      <c r="G82" s="45"/>
      <c r="H82" s="45"/>
      <c r="I82" s="45"/>
      <c r="J82" s="45"/>
      <c r="K82" s="45"/>
      <c r="L82" s="45"/>
      <c r="M82" s="166"/>
      <c r="N82" s="45"/>
      <c r="O82" s="45"/>
      <c r="P82" s="45">
        <v>0</v>
      </c>
      <c r="Q82" s="24"/>
      <c r="R82" s="45">
        <v>0</v>
      </c>
      <c r="S82" s="24"/>
      <c r="T82" s="24"/>
      <c r="U82" s="24"/>
      <c r="V82" s="46"/>
      <c r="W82" s="47"/>
      <c r="X82" s="47"/>
      <c r="Y82" s="45"/>
      <c r="Z82" s="45"/>
      <c r="AA82" s="45"/>
      <c r="AB82" s="45"/>
      <c r="AC82" s="45"/>
      <c r="AD82" s="45"/>
      <c r="AE82" s="116"/>
      <c r="AF82" s="90"/>
      <c r="AG82" s="5"/>
      <c r="AH82" s="5"/>
      <c r="AI82" s="5"/>
      <c r="AJ82" s="6"/>
      <c r="AK82" s="4"/>
      <c r="AL82" s="5"/>
      <c r="AM82" s="5"/>
      <c r="AN82" s="5"/>
      <c r="AO82" s="6"/>
      <c r="AP82" s="4"/>
      <c r="AQ82" s="5"/>
      <c r="AR82" s="5"/>
      <c r="AS82" s="5"/>
      <c r="AT82" s="6"/>
      <c r="AU82" s="18"/>
      <c r="AV82" s="18"/>
      <c r="AW82" s="18"/>
      <c r="AX82" s="18"/>
      <c r="AY82" s="18"/>
      <c r="AZ82" s="18"/>
      <c r="BA82" s="18"/>
      <c r="BB82" s="18"/>
      <c r="BC82" s="18"/>
      <c r="BD82" s="18"/>
      <c r="BE82" s="18"/>
      <c r="BF82" s="18"/>
      <c r="BG82" s="18"/>
      <c r="BH82" s="18"/>
      <c r="BI82" s="18"/>
      <c r="BJ82" s="18"/>
      <c r="BK82" s="18"/>
      <c r="BL82" s="18"/>
      <c r="BM82" s="18"/>
      <c r="BN82" s="18"/>
      <c r="BO82" s="18"/>
      <c r="BP82" s="18"/>
      <c r="BQ82" s="18"/>
      <c r="BR82" s="18"/>
      <c r="BS82" s="18"/>
      <c r="BT82" s="18"/>
      <c r="BU82" s="18"/>
      <c r="BV82" s="18"/>
      <c r="BW82" s="18"/>
      <c r="BX82" s="18"/>
      <c r="BY82" s="18"/>
      <c r="BZ82" s="18"/>
      <c r="CA82" s="18"/>
      <c r="CB82" s="18"/>
      <c r="CC82" s="18"/>
      <c r="CD82" s="18"/>
      <c r="CE82" s="18"/>
      <c r="CF82" s="18"/>
      <c r="CG82" s="18"/>
      <c r="CH82" s="18"/>
      <c r="CI82" s="18"/>
      <c r="CJ82" s="18"/>
      <c r="CK82" s="18"/>
      <c r="CL82" s="18"/>
      <c r="CM82" s="18"/>
      <c r="CN82" s="18"/>
      <c r="CO82" s="18"/>
      <c r="CP82" s="18"/>
      <c r="CQ82" s="18"/>
      <c r="CR82" s="18"/>
      <c r="CS82" s="18"/>
      <c r="CT82" s="18"/>
      <c r="CU82" s="18"/>
      <c r="CV82" s="18"/>
      <c r="CW82" s="18"/>
      <c r="CX82" s="18"/>
      <c r="CY82" s="18"/>
      <c r="CZ82" s="18"/>
      <c r="DA82" s="18"/>
      <c r="DB82" s="18"/>
      <c r="DC82" s="18"/>
      <c r="DD82" s="18"/>
      <c r="DE82" s="18"/>
      <c r="DF82" s="18"/>
      <c r="DG82" s="18"/>
      <c r="DH82" s="18"/>
      <c r="DI82" s="18"/>
      <c r="DJ82" s="18"/>
      <c r="DK82" s="18"/>
      <c r="DL82" s="18"/>
      <c r="DM82" s="18"/>
      <c r="DN82" s="18"/>
      <c r="DO82" s="18"/>
      <c r="DP82" s="18"/>
      <c r="DQ82" s="18"/>
      <c r="DR82" s="18"/>
      <c r="DS82" s="18"/>
      <c r="DT82" s="18"/>
      <c r="DU82" s="18"/>
      <c r="DV82" s="18"/>
      <c r="DW82" s="18"/>
      <c r="DX82" s="18"/>
      <c r="DY82" s="18"/>
      <c r="DZ82" s="18"/>
      <c r="EA82" s="18"/>
      <c r="EB82" s="18"/>
      <c r="EC82" s="18"/>
      <c r="ED82" s="18"/>
      <c r="EE82" s="18"/>
      <c r="EF82" s="18"/>
      <c r="EG82" s="18"/>
      <c r="EH82" s="18"/>
      <c r="EI82" s="18"/>
      <c r="EJ82" s="18"/>
      <c r="EK82" s="18"/>
      <c r="EL82" s="18"/>
      <c r="EM82" s="18"/>
      <c r="EN82" s="18"/>
      <c r="EO82" s="18"/>
      <c r="EP82" s="18"/>
      <c r="EQ82" s="18"/>
      <c r="ER82" s="18"/>
      <c r="ES82" s="18"/>
      <c r="ET82" s="18"/>
      <c r="EU82" s="18"/>
      <c r="EV82" s="18"/>
      <c r="EW82" s="18"/>
      <c r="EX82" s="18"/>
      <c r="EY82" s="18"/>
      <c r="EZ82" s="18"/>
      <c r="FA82" s="18"/>
      <c r="FB82" s="18"/>
      <c r="FC82" s="18"/>
      <c r="FD82" s="18"/>
      <c r="FE82" s="18"/>
      <c r="FF82" s="18"/>
      <c r="FG82" s="18"/>
      <c r="FH82" s="18"/>
      <c r="FI82" s="18"/>
      <c r="FJ82" s="18"/>
      <c r="FK82" s="18"/>
      <c r="FL82" s="18"/>
      <c r="FM82" s="18"/>
      <c r="FN82" s="18"/>
      <c r="FO82" s="18"/>
      <c r="FP82" s="18"/>
      <c r="FQ82" s="18"/>
      <c r="FR82" s="18"/>
      <c r="FS82" s="18"/>
      <c r="FT82" s="18"/>
      <c r="FU82" s="18"/>
      <c r="FV82" s="18"/>
      <c r="FW82" s="18"/>
      <c r="FX82" s="18"/>
      <c r="FY82" s="18"/>
      <c r="FZ82" s="18"/>
      <c r="GA82" s="18"/>
      <c r="GB82" s="18"/>
      <c r="GC82" s="18"/>
      <c r="GD82" s="18"/>
      <c r="GE82" s="18"/>
      <c r="GF82" s="18"/>
      <c r="GG82" s="18"/>
      <c r="GH82" s="18"/>
      <c r="GI82" s="18"/>
      <c r="GJ82" s="18"/>
      <c r="GK82" s="18"/>
      <c r="GL82" s="18"/>
      <c r="GM82" s="18"/>
      <c r="GN82" s="18"/>
      <c r="GO82" s="18"/>
      <c r="GP82" s="18"/>
      <c r="GQ82" s="18"/>
      <c r="GR82" s="18"/>
      <c r="GS82" s="18"/>
      <c r="GT82" s="18"/>
      <c r="GU82" s="18"/>
      <c r="GV82" s="18"/>
      <c r="GW82" s="18"/>
      <c r="GX82" s="18"/>
      <c r="GY82" s="18"/>
      <c r="GZ82" s="18"/>
      <c r="HA82" s="18"/>
      <c r="HB82" s="18"/>
      <c r="HC82" s="18"/>
      <c r="HD82" s="18"/>
      <c r="HE82" s="18"/>
      <c r="HF82" s="18"/>
      <c r="HG82" s="18"/>
      <c r="HH82" s="18"/>
      <c r="HI82" s="18"/>
      <c r="HJ82" s="18"/>
      <c r="HK82" s="18"/>
      <c r="HL82" s="18"/>
      <c r="HM82" s="18"/>
      <c r="HN82" s="18"/>
      <c r="HO82" s="18"/>
      <c r="HP82" s="18"/>
      <c r="HQ82" s="18"/>
      <c r="HR82" s="18"/>
      <c r="HS82" s="18"/>
      <c r="HT82" s="18"/>
      <c r="HU82" s="18"/>
      <c r="HV82" s="18"/>
      <c r="HW82" s="18"/>
      <c r="HX82" s="18"/>
      <c r="HY82" s="18"/>
      <c r="HZ82" s="18"/>
      <c r="IA82" s="18"/>
      <c r="IB82" s="18"/>
      <c r="IC82" s="18"/>
      <c r="ID82" s="18"/>
      <c r="IE82" s="18"/>
      <c r="IF82" s="18"/>
      <c r="IG82" s="18"/>
      <c r="IH82" s="18"/>
      <c r="II82" s="18"/>
      <c r="IJ82" s="18"/>
      <c r="IK82" s="18"/>
      <c r="IL82" s="18"/>
      <c r="IM82" s="18"/>
      <c r="IN82" s="18"/>
      <c r="IO82" s="18"/>
      <c r="IP82" s="18"/>
      <c r="IQ82" s="18"/>
      <c r="IR82" s="18"/>
      <c r="IS82" s="18"/>
      <c r="IT82" s="18"/>
      <c r="IU82" s="18"/>
      <c r="IV82" s="18"/>
    </row>
    <row r="83" spans="1:256" ht="16.5" customHeight="1" x14ac:dyDescent="0.3">
      <c r="A83" s="207" t="s">
        <v>177</v>
      </c>
      <c r="B83" s="208"/>
      <c r="C83" s="208"/>
      <c r="D83" s="91"/>
      <c r="E83" s="91"/>
      <c r="F83" s="91"/>
      <c r="G83" s="91"/>
      <c r="H83" s="91"/>
      <c r="I83" s="91"/>
      <c r="J83" s="91"/>
      <c r="K83" s="91"/>
      <c r="L83" s="91"/>
      <c r="M83" s="167"/>
      <c r="N83" s="91"/>
      <c r="O83" s="91"/>
      <c r="P83" s="91"/>
      <c r="Q83" s="92"/>
      <c r="R83" s="91"/>
      <c r="S83" s="92"/>
      <c r="T83" s="92"/>
      <c r="U83" s="93"/>
      <c r="V83" s="94"/>
      <c r="W83" s="95"/>
      <c r="X83" s="95"/>
      <c r="Y83" s="91"/>
      <c r="Z83" s="91"/>
      <c r="AA83" s="91"/>
      <c r="AB83" s="91"/>
      <c r="AC83" s="91"/>
      <c r="AD83" s="91"/>
      <c r="AE83" s="117"/>
      <c r="AF83" s="90"/>
      <c r="AG83" s="5"/>
      <c r="AH83" s="5"/>
      <c r="AI83" s="5"/>
      <c r="AJ83" s="6"/>
      <c r="AK83" s="4"/>
      <c r="AL83" s="5"/>
      <c r="AM83" s="5"/>
      <c r="AN83" s="5"/>
      <c r="AO83" s="6"/>
      <c r="AP83" s="4"/>
      <c r="AQ83" s="5"/>
      <c r="AR83" s="5"/>
      <c r="AS83" s="5"/>
      <c r="AT83" s="6"/>
      <c r="AU83" s="18"/>
      <c r="AV83" s="18"/>
      <c r="AW83" s="18"/>
      <c r="AX83" s="18"/>
      <c r="AY83" s="18"/>
      <c r="AZ83" s="18"/>
      <c r="BA83" s="18"/>
      <c r="BB83" s="18"/>
      <c r="BC83" s="18"/>
      <c r="BD83" s="18"/>
      <c r="BE83" s="18"/>
      <c r="BF83" s="18"/>
      <c r="BG83" s="18"/>
      <c r="BH83" s="18"/>
      <c r="BI83" s="18"/>
      <c r="BJ83" s="18"/>
      <c r="BK83" s="18"/>
      <c r="BL83" s="18"/>
      <c r="BM83" s="18"/>
      <c r="BN83" s="18"/>
      <c r="BO83" s="18"/>
      <c r="BP83" s="18"/>
      <c r="BQ83" s="18"/>
      <c r="BR83" s="18"/>
      <c r="BS83" s="18"/>
      <c r="BT83" s="18"/>
      <c r="BU83" s="18"/>
      <c r="BV83" s="18"/>
      <c r="BW83" s="18"/>
      <c r="BX83" s="18"/>
      <c r="BY83" s="18"/>
      <c r="BZ83" s="18"/>
      <c r="CA83" s="18"/>
      <c r="CB83" s="18"/>
      <c r="CC83" s="18"/>
      <c r="CD83" s="18"/>
      <c r="CE83" s="18"/>
      <c r="CF83" s="18"/>
      <c r="CG83" s="18"/>
      <c r="CH83" s="18"/>
      <c r="CI83" s="18"/>
      <c r="CJ83" s="18"/>
      <c r="CK83" s="18"/>
      <c r="CL83" s="18"/>
      <c r="CM83" s="18"/>
      <c r="CN83" s="18"/>
      <c r="CO83" s="18"/>
      <c r="CP83" s="18"/>
      <c r="CQ83" s="18"/>
      <c r="CR83" s="18"/>
      <c r="CS83" s="18"/>
      <c r="CT83" s="18"/>
      <c r="CU83" s="18"/>
      <c r="CV83" s="18"/>
      <c r="CW83" s="18"/>
      <c r="CX83" s="18"/>
      <c r="CY83" s="18"/>
      <c r="CZ83" s="18"/>
      <c r="DA83" s="18"/>
      <c r="DB83" s="18"/>
      <c r="DC83" s="18"/>
      <c r="DD83" s="18"/>
      <c r="DE83" s="18"/>
      <c r="DF83" s="18"/>
      <c r="DG83" s="18"/>
      <c r="DH83" s="18"/>
      <c r="DI83" s="18"/>
      <c r="DJ83" s="18"/>
      <c r="DK83" s="18"/>
      <c r="DL83" s="18"/>
      <c r="DM83" s="18"/>
      <c r="DN83" s="18"/>
      <c r="DO83" s="18"/>
      <c r="DP83" s="18"/>
      <c r="DQ83" s="18"/>
      <c r="DR83" s="18"/>
      <c r="DS83" s="18"/>
      <c r="DT83" s="18"/>
      <c r="DU83" s="18"/>
      <c r="DV83" s="18"/>
      <c r="DW83" s="18"/>
      <c r="DX83" s="18"/>
      <c r="DY83" s="18"/>
      <c r="DZ83" s="18"/>
      <c r="EA83" s="18"/>
      <c r="EB83" s="18"/>
      <c r="EC83" s="18"/>
      <c r="ED83" s="18"/>
      <c r="EE83" s="18"/>
      <c r="EF83" s="18"/>
      <c r="EG83" s="18"/>
      <c r="EH83" s="18"/>
      <c r="EI83" s="18"/>
      <c r="EJ83" s="18"/>
      <c r="EK83" s="18"/>
      <c r="EL83" s="18"/>
      <c r="EM83" s="18"/>
      <c r="EN83" s="18"/>
      <c r="EO83" s="18"/>
      <c r="EP83" s="18"/>
      <c r="EQ83" s="18"/>
      <c r="ER83" s="18"/>
      <c r="ES83" s="18"/>
      <c r="ET83" s="18"/>
      <c r="EU83" s="18"/>
      <c r="EV83" s="18"/>
      <c r="EW83" s="18"/>
      <c r="EX83" s="18"/>
      <c r="EY83" s="18"/>
      <c r="EZ83" s="18"/>
      <c r="FA83" s="18"/>
      <c r="FB83" s="18"/>
      <c r="FC83" s="18"/>
      <c r="FD83" s="18"/>
      <c r="FE83" s="18"/>
      <c r="FF83" s="18"/>
      <c r="FG83" s="18"/>
      <c r="FH83" s="18"/>
      <c r="FI83" s="18"/>
      <c r="FJ83" s="18"/>
      <c r="FK83" s="18"/>
      <c r="FL83" s="18"/>
      <c r="FM83" s="18"/>
      <c r="FN83" s="18"/>
      <c r="FO83" s="18"/>
      <c r="FP83" s="18"/>
      <c r="FQ83" s="18"/>
      <c r="FR83" s="18"/>
      <c r="FS83" s="18"/>
      <c r="FT83" s="18"/>
      <c r="FU83" s="18"/>
      <c r="FV83" s="18"/>
      <c r="FW83" s="18"/>
      <c r="FX83" s="18"/>
      <c r="FY83" s="18"/>
      <c r="FZ83" s="18"/>
      <c r="GA83" s="18"/>
      <c r="GB83" s="18"/>
      <c r="GC83" s="18"/>
      <c r="GD83" s="18"/>
      <c r="GE83" s="18"/>
      <c r="GF83" s="18"/>
      <c r="GG83" s="18"/>
      <c r="GH83" s="18"/>
      <c r="GI83" s="18"/>
      <c r="GJ83" s="18"/>
      <c r="GK83" s="18"/>
      <c r="GL83" s="18"/>
      <c r="GM83" s="18"/>
      <c r="GN83" s="18"/>
      <c r="GO83" s="18"/>
      <c r="GP83" s="18"/>
      <c r="GQ83" s="18"/>
      <c r="GR83" s="18"/>
      <c r="GS83" s="18"/>
      <c r="GT83" s="18"/>
      <c r="GU83" s="18"/>
      <c r="GV83" s="18"/>
      <c r="GW83" s="18"/>
      <c r="GX83" s="18"/>
      <c r="GY83" s="18"/>
      <c r="GZ83" s="18"/>
      <c r="HA83" s="18"/>
      <c r="HB83" s="18"/>
      <c r="HC83" s="18"/>
      <c r="HD83" s="18"/>
      <c r="HE83" s="18"/>
      <c r="HF83" s="18"/>
      <c r="HG83" s="18"/>
      <c r="HH83" s="18"/>
      <c r="HI83" s="18"/>
      <c r="HJ83" s="18"/>
      <c r="HK83" s="18"/>
      <c r="HL83" s="18"/>
      <c r="HM83" s="18"/>
      <c r="HN83" s="18"/>
      <c r="HO83" s="18"/>
      <c r="HP83" s="18"/>
      <c r="HQ83" s="18"/>
      <c r="HR83" s="18"/>
      <c r="HS83" s="18"/>
      <c r="HT83" s="18"/>
      <c r="HU83" s="18"/>
      <c r="HV83" s="18"/>
      <c r="HW83" s="18"/>
      <c r="HX83" s="18"/>
      <c r="HY83" s="18"/>
      <c r="HZ83" s="18"/>
      <c r="IA83" s="18"/>
      <c r="IB83" s="18"/>
      <c r="IC83" s="18"/>
      <c r="ID83" s="18"/>
      <c r="IE83" s="18"/>
      <c r="IF83" s="18"/>
      <c r="IG83" s="18"/>
      <c r="IH83" s="18"/>
      <c r="II83" s="18"/>
      <c r="IJ83" s="18"/>
      <c r="IK83" s="18"/>
      <c r="IL83" s="18"/>
      <c r="IM83" s="18"/>
      <c r="IN83" s="18"/>
      <c r="IO83" s="18"/>
      <c r="IP83" s="18"/>
      <c r="IQ83" s="18"/>
      <c r="IR83" s="18"/>
      <c r="IS83" s="18"/>
      <c r="IT83" s="18"/>
      <c r="IU83" s="18"/>
      <c r="IV83" s="18"/>
    </row>
    <row r="84" spans="1:256" ht="16.5" customHeight="1" x14ac:dyDescent="0.3">
      <c r="A84" s="178" t="s">
        <v>214</v>
      </c>
      <c r="B84" s="58" t="s">
        <v>180</v>
      </c>
      <c r="C84" s="58" t="s">
        <v>199</v>
      </c>
      <c r="D84" s="20"/>
      <c r="E84" s="20">
        <v>0</v>
      </c>
      <c r="F84" s="151">
        <v>0</v>
      </c>
      <c r="G84" s="20">
        <v>0</v>
      </c>
      <c r="H84" s="29"/>
      <c r="I84" s="48"/>
      <c r="J84" s="28">
        <v>0</v>
      </c>
      <c r="K84" s="28">
        <v>0</v>
      </c>
      <c r="L84" s="28">
        <v>0</v>
      </c>
      <c r="M84" s="168">
        <v>0</v>
      </c>
      <c r="N84" s="20">
        <v>0</v>
      </c>
      <c r="O84" s="77">
        <v>0</v>
      </c>
      <c r="P84" s="22">
        <v>0</v>
      </c>
      <c r="Q84" s="147">
        <f t="shared" ref="Q84:Q92" si="52">(P84/$P$102)</f>
        <v>0</v>
      </c>
      <c r="R84" s="22">
        <v>0</v>
      </c>
      <c r="S84" s="23">
        <v>0</v>
      </c>
      <c r="T84" s="24" t="e">
        <f t="shared" ref="T84:T89" si="53">((R84-P84)/P84)</f>
        <v>#DIV/0!</v>
      </c>
      <c r="U84" s="59" t="e">
        <f t="shared" ref="U84:U89" si="54">(L84/R84)</f>
        <v>#DIV/0!</v>
      </c>
      <c r="V84" s="25" t="e">
        <f t="shared" ref="V84:V89" si="55">M84/R84</f>
        <v>#DIV/0!</v>
      </c>
      <c r="W84" s="26" t="e">
        <f t="shared" ref="W84:W89" si="56">R84/AE84</f>
        <v>#DIV/0!</v>
      </c>
      <c r="X84" s="26" t="e">
        <f>M84/AE84</f>
        <v>#DIV/0!</v>
      </c>
      <c r="Y84" s="20">
        <v>123.52</v>
      </c>
      <c r="Z84" s="28">
        <v>122</v>
      </c>
      <c r="AA84" s="27">
        <v>1743</v>
      </c>
      <c r="AB84" s="27">
        <v>179807.15</v>
      </c>
      <c r="AC84" s="27">
        <v>0</v>
      </c>
      <c r="AD84" s="27">
        <v>0</v>
      </c>
      <c r="AE84" s="111">
        <v>0</v>
      </c>
      <c r="AF84" s="5"/>
      <c r="AG84" s="5"/>
      <c r="AH84" s="5"/>
      <c r="AI84" s="5"/>
      <c r="AJ84" s="6"/>
      <c r="AK84" s="4"/>
      <c r="AL84" s="5"/>
      <c r="AM84" s="5"/>
      <c r="AN84" s="5"/>
      <c r="AO84" s="6"/>
      <c r="AP84" s="4"/>
      <c r="AQ84" s="5"/>
      <c r="AR84" s="5"/>
      <c r="AS84" s="5"/>
      <c r="AT84" s="6"/>
    </row>
    <row r="85" spans="1:256" ht="16.5" customHeight="1" x14ac:dyDescent="0.3">
      <c r="A85" s="178" t="s">
        <v>215</v>
      </c>
      <c r="B85" s="58" t="s">
        <v>180</v>
      </c>
      <c r="C85" s="58" t="s">
        <v>198</v>
      </c>
      <c r="D85" s="29"/>
      <c r="E85" s="20"/>
      <c r="F85" s="151">
        <v>2219749135.5999999</v>
      </c>
      <c r="G85" s="20">
        <v>6704976022.3000002</v>
      </c>
      <c r="H85" s="29"/>
      <c r="I85" s="48"/>
      <c r="J85" s="28">
        <v>9374707567.0200005</v>
      </c>
      <c r="K85" s="28">
        <v>53302937.380000003</v>
      </c>
      <c r="L85" s="28">
        <v>12393797.109999999</v>
      </c>
      <c r="M85" s="168">
        <v>40909140.270000003</v>
      </c>
      <c r="N85" s="20">
        <v>9404520983.6599998</v>
      </c>
      <c r="O85" s="20">
        <v>29813416.640000001</v>
      </c>
      <c r="P85" s="22">
        <v>9237803735.4500008</v>
      </c>
      <c r="Q85" s="23">
        <f t="shared" si="52"/>
        <v>3.4864176012921549E-2</v>
      </c>
      <c r="R85" s="22">
        <v>9374707567.0200005</v>
      </c>
      <c r="S85" s="23">
        <f t="shared" ref="S85:S92" si="57">(R85/$R$102)</f>
        <v>3.4953291754522262E-2</v>
      </c>
      <c r="T85" s="24">
        <f t="shared" si="53"/>
        <v>1.481995455744879E-2</v>
      </c>
      <c r="U85" s="59">
        <f t="shared" si="54"/>
        <v>1.322046263459042E-3</v>
      </c>
      <c r="V85" s="25">
        <f t="shared" si="55"/>
        <v>4.3637777474699472E-3</v>
      </c>
      <c r="W85" s="26">
        <f t="shared" si="56"/>
        <v>52137.568317055251</v>
      </c>
      <c r="X85" s="26">
        <f t="shared" ref="X85:X89" si="58">M85/AE85</f>
        <v>227.51676042915983</v>
      </c>
      <c r="Y85" s="20">
        <f>415.69</f>
        <v>415.69</v>
      </c>
      <c r="Z85" s="20">
        <f>415.69</f>
        <v>415.69</v>
      </c>
      <c r="AA85" s="27">
        <v>1743</v>
      </c>
      <c r="AB85" s="27">
        <v>179807.15</v>
      </c>
      <c r="AC85" s="27">
        <v>7437.82</v>
      </c>
      <c r="AD85" s="27">
        <v>7437.82</v>
      </c>
      <c r="AE85" s="150">
        <f>(AB85+AC85)-AD85</f>
        <v>179807.15</v>
      </c>
      <c r="AF85" s="5"/>
      <c r="AG85" s="5"/>
      <c r="AH85" s="5"/>
      <c r="AI85" s="5"/>
      <c r="AJ85" s="6"/>
      <c r="AK85" s="4"/>
      <c r="AL85" s="5"/>
      <c r="AM85" s="5"/>
      <c r="AN85" s="5"/>
      <c r="AO85" s="6"/>
      <c r="AP85" s="4"/>
      <c r="AQ85" s="5"/>
      <c r="AR85" s="5"/>
      <c r="AS85" s="5"/>
      <c r="AT85" s="6"/>
    </row>
    <row r="86" spans="1:256" ht="16.5" customHeight="1" x14ac:dyDescent="0.3">
      <c r="A86" s="172">
        <v>75</v>
      </c>
      <c r="B86" s="58" t="s">
        <v>33</v>
      </c>
      <c r="C86" s="58" t="s">
        <v>196</v>
      </c>
      <c r="D86" s="29"/>
      <c r="E86" s="20"/>
      <c r="F86" s="138"/>
      <c r="G86" s="20">
        <f>415.69*126380371</f>
        <v>52535056420.989998</v>
      </c>
      <c r="H86" s="20"/>
      <c r="I86" s="28"/>
      <c r="J86" s="28">
        <v>52535056420.989998</v>
      </c>
      <c r="K86" s="28">
        <f>415.69*786907</f>
        <v>327109370.82999998</v>
      </c>
      <c r="L86" s="28">
        <f>415.69*209934</f>
        <v>87267464.459999993</v>
      </c>
      <c r="M86" s="168">
        <f>415.69*576973</f>
        <v>239841906.37</v>
      </c>
      <c r="N86" s="20">
        <f>415.69*131795246</f>
        <v>54785965809.739998</v>
      </c>
      <c r="O86" s="20">
        <f>415.69*449048</f>
        <v>186664763.12</v>
      </c>
      <c r="P86" s="22">
        <f>416.25*125363313</f>
        <v>52182479036.25</v>
      </c>
      <c r="Q86" s="147">
        <f t="shared" si="52"/>
        <v>0.19694065667674476</v>
      </c>
      <c r="R86" s="22">
        <f>415.69*131346198</f>
        <v>54599301046.620003</v>
      </c>
      <c r="S86" s="23">
        <f t="shared" si="57"/>
        <v>0.20357171521694145</v>
      </c>
      <c r="T86" s="24">
        <f>((R86-P86)/P86)</f>
        <v>4.6314817827859241E-2</v>
      </c>
      <c r="U86" s="59">
        <f>(L86/R86)</f>
        <v>1.5983256706067729E-3</v>
      </c>
      <c r="V86" s="25">
        <f>M86/R86</f>
        <v>4.3927651411729482E-3</v>
      </c>
      <c r="W86" s="26">
        <f>R86/AE86</f>
        <v>51856.900709498863</v>
      </c>
      <c r="X86" s="26">
        <f>M86/AE86</f>
        <v>227.79518576595333</v>
      </c>
      <c r="Y86" s="20">
        <f>415.69*124.75</f>
        <v>51857.327499999999</v>
      </c>
      <c r="Z86" s="20">
        <f>415.69*124.75</f>
        <v>51857.327499999999</v>
      </c>
      <c r="AA86" s="27">
        <v>1169</v>
      </c>
      <c r="AB86" s="27">
        <v>1017933</v>
      </c>
      <c r="AC86" s="27">
        <v>72968</v>
      </c>
      <c r="AD86" s="27">
        <v>38017</v>
      </c>
      <c r="AE86" s="150">
        <v>1052884</v>
      </c>
      <c r="AF86" s="5"/>
      <c r="AG86" s="5"/>
      <c r="AH86" s="5"/>
      <c r="AI86" s="5"/>
      <c r="AJ86" s="6"/>
      <c r="AK86" s="4"/>
      <c r="AL86" s="5"/>
      <c r="AM86" s="5"/>
      <c r="AN86" s="5"/>
      <c r="AO86" s="6"/>
      <c r="AP86" s="4"/>
      <c r="AQ86" s="5"/>
      <c r="AR86" s="5"/>
      <c r="AS86" s="5"/>
      <c r="AT86" s="6"/>
      <c r="AU86" s="18"/>
      <c r="AV86" s="18"/>
      <c r="AW86" s="18"/>
      <c r="AX86" s="18"/>
      <c r="AY86" s="18"/>
      <c r="AZ86" s="18"/>
      <c r="BA86" s="18"/>
      <c r="BB86" s="18"/>
      <c r="BC86" s="18"/>
      <c r="BD86" s="18"/>
      <c r="BE86" s="18"/>
      <c r="BF86" s="18"/>
      <c r="BG86" s="18"/>
      <c r="BH86" s="18"/>
      <c r="BI86" s="18"/>
      <c r="BJ86" s="18"/>
      <c r="BK86" s="18"/>
      <c r="BL86" s="18"/>
      <c r="BM86" s="18"/>
      <c r="BN86" s="18"/>
      <c r="BO86" s="18"/>
      <c r="BP86" s="18"/>
      <c r="BQ86" s="18"/>
      <c r="BR86" s="18"/>
      <c r="BS86" s="18"/>
      <c r="BT86" s="18"/>
      <c r="BU86" s="18"/>
      <c r="BV86" s="18"/>
      <c r="BW86" s="18"/>
      <c r="BX86" s="18"/>
      <c r="BY86" s="18"/>
      <c r="BZ86" s="18"/>
      <c r="CA86" s="18"/>
      <c r="CB86" s="18"/>
      <c r="CC86" s="18"/>
      <c r="CD86" s="18"/>
      <c r="CE86" s="18"/>
      <c r="CF86" s="18"/>
      <c r="CG86" s="18"/>
      <c r="CH86" s="18"/>
      <c r="CI86" s="18"/>
      <c r="CJ86" s="18"/>
      <c r="CK86" s="18"/>
      <c r="CL86" s="18"/>
      <c r="CM86" s="18"/>
      <c r="CN86" s="18"/>
      <c r="CO86" s="18"/>
      <c r="CP86" s="18"/>
      <c r="CQ86" s="18"/>
      <c r="CR86" s="18"/>
      <c r="CS86" s="18"/>
      <c r="CT86" s="18"/>
      <c r="CU86" s="18"/>
      <c r="CV86" s="18"/>
      <c r="CW86" s="18"/>
      <c r="CX86" s="18"/>
      <c r="CY86" s="18"/>
      <c r="CZ86" s="18"/>
      <c r="DA86" s="18"/>
      <c r="DB86" s="18"/>
      <c r="DC86" s="18"/>
      <c r="DD86" s="18"/>
      <c r="DE86" s="18"/>
      <c r="DF86" s="18"/>
      <c r="DG86" s="18"/>
      <c r="DH86" s="18"/>
      <c r="DI86" s="18"/>
      <c r="DJ86" s="18"/>
      <c r="DK86" s="18"/>
      <c r="DL86" s="18"/>
      <c r="DM86" s="18"/>
      <c r="DN86" s="18"/>
      <c r="DO86" s="18"/>
      <c r="DP86" s="18"/>
      <c r="DQ86" s="18"/>
      <c r="DR86" s="18"/>
      <c r="DS86" s="18"/>
      <c r="DT86" s="18"/>
      <c r="DU86" s="18"/>
      <c r="DV86" s="18"/>
      <c r="DW86" s="18"/>
      <c r="DX86" s="18"/>
      <c r="DY86" s="18"/>
      <c r="DZ86" s="18"/>
      <c r="EA86" s="18"/>
      <c r="EB86" s="18"/>
      <c r="EC86" s="18"/>
      <c r="ED86" s="18"/>
      <c r="EE86" s="18"/>
      <c r="EF86" s="18"/>
      <c r="EG86" s="18"/>
      <c r="EH86" s="18"/>
      <c r="EI86" s="18"/>
      <c r="EJ86" s="18"/>
      <c r="EK86" s="18"/>
      <c r="EL86" s="18"/>
      <c r="EM86" s="18"/>
      <c r="EN86" s="18"/>
      <c r="EO86" s="18"/>
      <c r="EP86" s="18"/>
      <c r="EQ86" s="18"/>
      <c r="ER86" s="18"/>
      <c r="ES86" s="18"/>
      <c r="ET86" s="18"/>
      <c r="EU86" s="18"/>
      <c r="EV86" s="18"/>
      <c r="EW86" s="18"/>
      <c r="EX86" s="18"/>
      <c r="EY86" s="18"/>
      <c r="EZ86" s="18"/>
      <c r="FA86" s="18"/>
      <c r="FB86" s="18"/>
      <c r="FC86" s="18"/>
      <c r="FD86" s="18"/>
      <c r="FE86" s="18"/>
      <c r="FF86" s="18"/>
      <c r="FG86" s="18"/>
      <c r="FH86" s="18"/>
      <c r="FI86" s="18"/>
      <c r="FJ86" s="18"/>
      <c r="FK86" s="18"/>
      <c r="FL86" s="18"/>
      <c r="FM86" s="18"/>
      <c r="FN86" s="18"/>
      <c r="FO86" s="18"/>
      <c r="FP86" s="18"/>
      <c r="FQ86" s="18"/>
      <c r="FR86" s="18"/>
      <c r="FS86" s="18"/>
      <c r="FT86" s="18"/>
      <c r="FU86" s="18"/>
      <c r="FV86" s="18"/>
      <c r="FW86" s="18"/>
      <c r="FX86" s="18"/>
      <c r="FY86" s="18"/>
      <c r="FZ86" s="18"/>
      <c r="GA86" s="18"/>
      <c r="GB86" s="18"/>
      <c r="GC86" s="18"/>
      <c r="GD86" s="18"/>
      <c r="GE86" s="18"/>
      <c r="GF86" s="18"/>
      <c r="GG86" s="18"/>
      <c r="GH86" s="18"/>
      <c r="GI86" s="18"/>
      <c r="GJ86" s="18"/>
      <c r="GK86" s="18"/>
      <c r="GL86" s="18"/>
      <c r="GM86" s="18"/>
      <c r="GN86" s="18"/>
      <c r="GO86" s="18"/>
      <c r="GP86" s="18"/>
      <c r="GQ86" s="18"/>
      <c r="GR86" s="18"/>
      <c r="GS86" s="18"/>
      <c r="GT86" s="18"/>
      <c r="GU86" s="18"/>
      <c r="GV86" s="18"/>
      <c r="GW86" s="18"/>
      <c r="GX86" s="18"/>
      <c r="GY86" s="18"/>
      <c r="GZ86" s="18"/>
      <c r="HA86" s="18"/>
      <c r="HB86" s="18"/>
      <c r="HC86" s="18"/>
      <c r="HD86" s="18"/>
      <c r="HE86" s="18"/>
      <c r="HF86" s="18"/>
      <c r="HG86" s="18"/>
      <c r="HH86" s="18"/>
      <c r="HI86" s="18"/>
      <c r="HJ86" s="18"/>
      <c r="HK86" s="18"/>
      <c r="HL86" s="18"/>
      <c r="HM86" s="18"/>
      <c r="HN86" s="18"/>
      <c r="HO86" s="18"/>
      <c r="HP86" s="18"/>
      <c r="HQ86" s="18"/>
      <c r="HR86" s="18"/>
      <c r="HS86" s="18"/>
      <c r="HT86" s="18"/>
      <c r="HU86" s="18"/>
      <c r="HV86" s="18"/>
      <c r="HW86" s="18"/>
      <c r="HX86" s="18"/>
      <c r="HY86" s="18"/>
      <c r="HZ86" s="18"/>
      <c r="IA86" s="18"/>
      <c r="IB86" s="18"/>
      <c r="IC86" s="18"/>
      <c r="ID86" s="18"/>
      <c r="IE86" s="18"/>
      <c r="IF86" s="18"/>
      <c r="IG86" s="18"/>
      <c r="IH86" s="18"/>
      <c r="II86" s="18"/>
      <c r="IJ86" s="18"/>
      <c r="IK86" s="18"/>
      <c r="IL86" s="18"/>
      <c r="IM86" s="18"/>
      <c r="IN86" s="18"/>
      <c r="IO86" s="18"/>
      <c r="IP86" s="18"/>
      <c r="IQ86" s="18"/>
      <c r="IR86" s="18"/>
      <c r="IS86" s="18"/>
      <c r="IT86" s="18"/>
      <c r="IU86" s="18"/>
      <c r="IV86" s="18"/>
    </row>
    <row r="87" spans="1:256" ht="16.5" customHeight="1" x14ac:dyDescent="0.3">
      <c r="A87" s="172">
        <v>76</v>
      </c>
      <c r="B87" s="58" t="s">
        <v>181</v>
      </c>
      <c r="C87" s="58" t="s">
        <v>94</v>
      </c>
      <c r="D87" s="29"/>
      <c r="E87" s="20"/>
      <c r="F87" s="20">
        <f>415.69*1824051.51</f>
        <v>758239972.19190001</v>
      </c>
      <c r="G87" s="20">
        <f>415.69*11985027.39</f>
        <v>4982056035.7491007</v>
      </c>
      <c r="H87" s="20"/>
      <c r="I87" s="20"/>
      <c r="J87" s="28">
        <f>415.69*13944800.16</f>
        <v>5796713978.5103998</v>
      </c>
      <c r="K87" s="28">
        <f>415.69*73593.28</f>
        <v>30591990.563200001</v>
      </c>
      <c r="L87" s="28">
        <f>415.69*21301.74</f>
        <v>8854920.3005999997</v>
      </c>
      <c r="M87" s="168">
        <f>415.69*52291.54</f>
        <v>21737070.262600001</v>
      </c>
      <c r="N87" s="20">
        <f>415.69*13944800.16</f>
        <v>5796713978.5103998</v>
      </c>
      <c r="O87" s="20">
        <f>415.69*27218</f>
        <v>11314250.42</v>
      </c>
      <c r="P87" s="22">
        <f>416.25*13697719.2</f>
        <v>5701675617</v>
      </c>
      <c r="Q87" s="23">
        <f t="shared" si="52"/>
        <v>2.1518558736730697E-2</v>
      </c>
      <c r="R87" s="22">
        <f>415.69*13917581.73</f>
        <v>5785399549.3437004</v>
      </c>
      <c r="S87" s="23">
        <f t="shared" si="57"/>
        <v>2.1570673743050158E-2</v>
      </c>
      <c r="T87" s="24">
        <f t="shared" si="53"/>
        <v>1.4684092531337777E-2</v>
      </c>
      <c r="U87" s="59">
        <f t="shared" si="54"/>
        <v>1.5305633128838106E-3</v>
      </c>
      <c r="V87" s="25">
        <f t="shared" si="55"/>
        <v>3.7572288788707549E-3</v>
      </c>
      <c r="W87" s="26">
        <f t="shared" si="56"/>
        <v>507.80433454522398</v>
      </c>
      <c r="X87" s="26">
        <f t="shared" si="58"/>
        <v>1.9079371105690615</v>
      </c>
      <c r="Y87" s="20">
        <f>415.69*1.22</f>
        <v>507.14179999999999</v>
      </c>
      <c r="Z87" s="20">
        <f>415.69*1.22</f>
        <v>507.14179999999999</v>
      </c>
      <c r="AA87" s="155">
        <v>123</v>
      </c>
      <c r="AB87" s="155">
        <v>11230107</v>
      </c>
      <c r="AC87" s="155">
        <v>171500</v>
      </c>
      <c r="AD87" s="155">
        <v>8637</v>
      </c>
      <c r="AE87" s="195">
        <v>11392970</v>
      </c>
      <c r="AF87" s="5"/>
      <c r="AG87" s="5"/>
      <c r="AH87" s="5"/>
      <c r="AI87" s="5"/>
      <c r="AJ87" s="6"/>
      <c r="AK87" s="4"/>
      <c r="AL87" s="5"/>
      <c r="AM87" s="5"/>
      <c r="AN87" s="5"/>
      <c r="AO87" s="6"/>
      <c r="AP87" s="4"/>
      <c r="AQ87" s="5"/>
      <c r="AR87" s="5"/>
      <c r="AS87" s="5"/>
      <c r="AT87" s="6"/>
    </row>
    <row r="88" spans="1:256" ht="16.5" customHeight="1" x14ac:dyDescent="0.3">
      <c r="A88" s="172">
        <v>77</v>
      </c>
      <c r="B88" s="58" t="s">
        <v>46</v>
      </c>
      <c r="C88" s="58" t="s">
        <v>95</v>
      </c>
      <c r="D88" s="29"/>
      <c r="E88" s="20"/>
      <c r="F88" s="28"/>
      <c r="G88" s="20">
        <v>657414441.72000003</v>
      </c>
      <c r="H88" s="20"/>
      <c r="I88" s="28"/>
      <c r="J88" s="28">
        <v>657414441.72000003</v>
      </c>
      <c r="K88" s="28">
        <v>5380627.0499999998</v>
      </c>
      <c r="L88" s="28">
        <v>2918934.33</v>
      </c>
      <c r="M88" s="168">
        <v>2461692.7200000002</v>
      </c>
      <c r="N88" s="20">
        <v>669186295.5</v>
      </c>
      <c r="O88" s="28">
        <v>15524489.279999999</v>
      </c>
      <c r="P88" s="22">
        <v>653050308.19000006</v>
      </c>
      <c r="Q88" s="23">
        <f t="shared" si="52"/>
        <v>2.4646616817216591E-3</v>
      </c>
      <c r="R88" s="22">
        <v>653661810.33000004</v>
      </c>
      <c r="S88" s="23">
        <f t="shared" si="57"/>
        <v>2.4371567648287093E-3</v>
      </c>
      <c r="T88" s="24">
        <f t="shared" si="53"/>
        <v>9.3637830398523257E-4</v>
      </c>
      <c r="U88" s="59">
        <f t="shared" si="54"/>
        <v>4.4655114982568448E-3</v>
      </c>
      <c r="V88" s="25">
        <f t="shared" si="55"/>
        <v>3.7660035833472034E-3</v>
      </c>
      <c r="W88" s="26">
        <f t="shared" si="56"/>
        <v>47698.614297285465</v>
      </c>
      <c r="X88" s="26">
        <f t="shared" si="58"/>
        <v>179.63315236427323</v>
      </c>
      <c r="Y88" s="28">
        <v>116.0513</v>
      </c>
      <c r="Z88" s="28">
        <v>118.8075</v>
      </c>
      <c r="AA88" s="27">
        <v>31</v>
      </c>
      <c r="AB88" s="27">
        <v>13759</v>
      </c>
      <c r="AC88" s="27">
        <v>5</v>
      </c>
      <c r="AD88" s="27">
        <v>60</v>
      </c>
      <c r="AE88" s="150">
        <v>13704</v>
      </c>
      <c r="AF88" s="5"/>
      <c r="AG88" s="5"/>
      <c r="AH88" s="5"/>
      <c r="AI88" s="5"/>
      <c r="AJ88" s="6"/>
      <c r="AK88" s="4"/>
      <c r="AL88" s="5"/>
      <c r="AM88" s="5"/>
      <c r="AN88" s="5"/>
      <c r="AO88" s="6"/>
      <c r="AP88" s="4"/>
      <c r="AQ88" s="5"/>
      <c r="AR88" s="5"/>
      <c r="AS88" s="5"/>
      <c r="AT88" s="6"/>
    </row>
    <row r="89" spans="1:256" ht="16.5" customHeight="1" x14ac:dyDescent="0.3">
      <c r="A89" s="172">
        <v>78</v>
      </c>
      <c r="B89" s="58" t="s">
        <v>31</v>
      </c>
      <c r="C89" s="58" t="s">
        <v>96</v>
      </c>
      <c r="D89" s="29"/>
      <c r="E89" s="29"/>
      <c r="F89" s="29"/>
      <c r="G89" s="21">
        <v>708667686.74000001</v>
      </c>
      <c r="H89" s="29"/>
      <c r="I89" s="29"/>
      <c r="J89" s="21">
        <v>708667686.74000001</v>
      </c>
      <c r="K89" s="21">
        <v>4640312.91</v>
      </c>
      <c r="L89" s="21">
        <v>1385181.79</v>
      </c>
      <c r="M89" s="168">
        <v>3255131.12</v>
      </c>
      <c r="N89" s="20">
        <v>733664146.72000003</v>
      </c>
      <c r="O89" s="28">
        <v>11248016.09</v>
      </c>
      <c r="P89" s="22">
        <v>645054684.08000004</v>
      </c>
      <c r="Q89" s="23">
        <f t="shared" si="52"/>
        <v>2.4344855863761327E-3</v>
      </c>
      <c r="R89" s="22">
        <v>722416130.63</v>
      </c>
      <c r="S89" s="23">
        <f t="shared" si="57"/>
        <v>2.6935050081898287E-3</v>
      </c>
      <c r="T89" s="24">
        <f t="shared" si="53"/>
        <v>0.11993005935665067</v>
      </c>
      <c r="U89" s="59">
        <f t="shared" si="54"/>
        <v>1.9174292091069722E-3</v>
      </c>
      <c r="V89" s="25">
        <f t="shared" si="55"/>
        <v>4.5058948464526761E-3</v>
      </c>
      <c r="W89" s="26">
        <f t="shared" si="56"/>
        <v>43670.856802897375</v>
      </c>
      <c r="X89" s="26">
        <f t="shared" si="58"/>
        <v>196.77628860834807</v>
      </c>
      <c r="Y89" s="196">
        <v>105.18</v>
      </c>
      <c r="Z89" s="196">
        <v>105.18</v>
      </c>
      <c r="AA89" s="27">
        <v>186</v>
      </c>
      <c r="AB89" s="27">
        <v>16316.4179</v>
      </c>
      <c r="AC89" s="27">
        <v>486.72469999999998</v>
      </c>
      <c r="AD89" s="27">
        <v>260.84910000000002</v>
      </c>
      <c r="AE89" s="150">
        <v>16542.2935</v>
      </c>
      <c r="AF89" s="5"/>
      <c r="AG89" s="5"/>
      <c r="AH89" s="5"/>
      <c r="AI89" s="5"/>
      <c r="AJ89" s="6"/>
      <c r="AK89" s="4"/>
      <c r="AL89" s="5"/>
      <c r="AM89" s="5"/>
      <c r="AN89" s="5"/>
      <c r="AO89" s="6"/>
      <c r="AP89" s="4"/>
      <c r="AQ89" s="5"/>
      <c r="AR89" s="5"/>
      <c r="AS89" s="5"/>
      <c r="AT89" s="6"/>
    </row>
    <row r="90" spans="1:256" ht="16.5" customHeight="1" x14ac:dyDescent="0.3">
      <c r="A90" s="172">
        <v>79</v>
      </c>
      <c r="B90" s="57" t="s">
        <v>35</v>
      </c>
      <c r="C90" s="58" t="s">
        <v>97</v>
      </c>
      <c r="D90" s="21"/>
      <c r="E90" s="29"/>
      <c r="F90" s="21"/>
      <c r="G90" s="77">
        <f>415.69*11085483.79</f>
        <v>4608124756.6650991</v>
      </c>
      <c r="H90" s="21"/>
      <c r="I90" s="29"/>
      <c r="J90" s="77">
        <f>415.69*11085483.79</f>
        <v>4608124756.6650991</v>
      </c>
      <c r="K90" s="77">
        <f>415.69*88319.23</f>
        <v>36713420.718699999</v>
      </c>
      <c r="L90" s="77">
        <f>415.69*32396.59</f>
        <v>13466938.497099999</v>
      </c>
      <c r="M90" s="169">
        <f>415.69*40122.64</f>
        <v>16678580.2216</v>
      </c>
      <c r="N90" s="77">
        <f>415.69*14935694</f>
        <v>6208618638.8599997</v>
      </c>
      <c r="O90" s="77">
        <f>415.69*234971</f>
        <v>97675094.989999995</v>
      </c>
      <c r="P90" s="22">
        <f>416.25*14714185</f>
        <v>6124779506.25</v>
      </c>
      <c r="Q90" s="147">
        <f t="shared" si="52"/>
        <v>2.3115385091674368E-2</v>
      </c>
      <c r="R90" s="22">
        <f>415.69*14700723</f>
        <v>6110943543.8699999</v>
      </c>
      <c r="S90" s="23">
        <f t="shared" si="57"/>
        <v>2.2784453921073079E-2</v>
      </c>
      <c r="T90" s="24">
        <f>((R90-P90)/P90)</f>
        <v>-2.259013955666694E-3</v>
      </c>
      <c r="U90" s="59">
        <f>(L90/R90)</f>
        <v>2.2037412717728238E-3</v>
      </c>
      <c r="V90" s="25">
        <f>M90/R90</f>
        <v>2.7292970556618201E-3</v>
      </c>
      <c r="W90" s="26">
        <f>R90/AE90</f>
        <v>442.20044795514593</v>
      </c>
      <c r="X90" s="26">
        <f>M90/AE90</f>
        <v>1.2068963806163178</v>
      </c>
      <c r="Y90" s="196">
        <f>415.69*1.0585</f>
        <v>440.00786499999998</v>
      </c>
      <c r="Z90" s="196">
        <f>415.69*1.0638</f>
        <v>442.21102200000001</v>
      </c>
      <c r="AA90" s="27">
        <v>305</v>
      </c>
      <c r="AB90" s="27">
        <v>13869410</v>
      </c>
      <c r="AC90" s="27">
        <v>116780</v>
      </c>
      <c r="AD90" s="27">
        <v>166793</v>
      </c>
      <c r="AE90" s="150">
        <v>13819397</v>
      </c>
      <c r="AF90" s="5"/>
      <c r="AG90" s="5"/>
      <c r="AH90" s="5"/>
      <c r="AI90" s="5"/>
      <c r="AJ90" s="6"/>
      <c r="AK90" s="4"/>
      <c r="AL90" s="5"/>
      <c r="AM90" s="5"/>
      <c r="AN90" s="5"/>
      <c r="AO90" s="6"/>
      <c r="AP90" s="4"/>
      <c r="AQ90" s="5"/>
      <c r="AR90" s="5"/>
      <c r="AS90" s="5"/>
      <c r="AT90" s="6"/>
    </row>
    <row r="91" spans="1:256" ht="16.5" customHeight="1" x14ac:dyDescent="0.3">
      <c r="A91" s="172">
        <v>80</v>
      </c>
      <c r="B91" s="57" t="s">
        <v>159</v>
      </c>
      <c r="C91" s="58" t="s">
        <v>162</v>
      </c>
      <c r="D91" s="29"/>
      <c r="E91" s="20"/>
      <c r="F91" s="28"/>
      <c r="G91" s="20">
        <v>851983404.64999998</v>
      </c>
      <c r="H91" s="20"/>
      <c r="I91" s="28">
        <v>8753982.4499999993</v>
      </c>
      <c r="J91" s="28">
        <v>860737387.11000001</v>
      </c>
      <c r="K91" s="28">
        <v>6635580.4900000002</v>
      </c>
      <c r="L91" s="28">
        <v>2434540.2999999998</v>
      </c>
      <c r="M91" s="168">
        <v>4201040.1900000004</v>
      </c>
      <c r="N91" s="20">
        <v>920600492.47000003</v>
      </c>
      <c r="O91" s="28">
        <v>896190007.58000004</v>
      </c>
      <c r="P91" s="22">
        <v>860038679.59000003</v>
      </c>
      <c r="Q91" s="23">
        <f t="shared" si="52"/>
        <v>3.2458515857054812E-3</v>
      </c>
      <c r="R91" s="22">
        <v>908269094.35000002</v>
      </c>
      <c r="S91" s="23">
        <f t="shared" si="57"/>
        <v>3.3864517287042033E-3</v>
      </c>
      <c r="T91" s="24">
        <f t="shared" ref="T91" si="59">((R91-P91)/P91)</f>
        <v>5.6079355387821071E-2</v>
      </c>
      <c r="U91" s="59">
        <f t="shared" ref="U91" si="60">(L91/R91)</f>
        <v>2.6804174171997683E-3</v>
      </c>
      <c r="V91" s="25">
        <f t="shared" ref="V91" si="61">M91/R91</f>
        <v>4.6253254857322457E-3</v>
      </c>
      <c r="W91" s="26">
        <f t="shared" ref="W91" si="62">R91/AE91</f>
        <v>42514.179022004872</v>
      </c>
      <c r="X91" s="26">
        <f t="shared" ref="X91" si="63">M91/AE91</f>
        <v>196.64191573546231</v>
      </c>
      <c r="Y91" s="28">
        <v>102.27</v>
      </c>
      <c r="Z91" s="28">
        <v>102.27</v>
      </c>
      <c r="AA91" s="27">
        <v>36</v>
      </c>
      <c r="AB91" s="27">
        <v>20300.05</v>
      </c>
      <c r="AC91" s="27">
        <v>1063.8599999999999</v>
      </c>
      <c r="AD91" s="27">
        <v>0</v>
      </c>
      <c r="AE91" s="150">
        <f>(AB91+AC91)-AD91</f>
        <v>21363.91</v>
      </c>
      <c r="AF91" s="5"/>
      <c r="AG91" s="5"/>
      <c r="AH91" s="5"/>
      <c r="AI91" s="5"/>
      <c r="AJ91" s="6"/>
      <c r="AK91" s="4"/>
      <c r="AL91" s="5"/>
      <c r="AM91" s="5"/>
      <c r="AN91" s="5"/>
      <c r="AO91" s="6"/>
      <c r="AP91" s="4"/>
      <c r="AQ91" s="5"/>
      <c r="AR91" s="5"/>
      <c r="AS91" s="5"/>
      <c r="AT91" s="6"/>
    </row>
    <row r="92" spans="1:256" ht="16.5" customHeight="1" x14ac:dyDescent="0.3">
      <c r="A92" s="172">
        <v>81</v>
      </c>
      <c r="B92" s="57" t="s">
        <v>42</v>
      </c>
      <c r="C92" s="58" t="s">
        <v>205</v>
      </c>
      <c r="D92" s="29"/>
      <c r="E92" s="20"/>
      <c r="F92" s="20"/>
      <c r="G92" s="20">
        <f>415.69*6547962.19</f>
        <v>2721922402.7611003</v>
      </c>
      <c r="H92" s="20"/>
      <c r="I92" s="20"/>
      <c r="J92" s="20">
        <v>2721922402.7600002</v>
      </c>
      <c r="K92" s="20">
        <f>415.69*102197.7</f>
        <v>42482561.912999995</v>
      </c>
      <c r="L92" s="20">
        <f>415.69*5570.03</f>
        <v>2315405.7706999998</v>
      </c>
      <c r="M92" s="168">
        <f>415.69*96627.67</f>
        <v>40167156.142300002</v>
      </c>
      <c r="N92" s="180">
        <f>415.69*7324020.26</f>
        <v>3044521981.8793998</v>
      </c>
      <c r="O92" s="180">
        <f>415.69*5570.03</f>
        <v>2315405.7706999998</v>
      </c>
      <c r="P92" s="22">
        <f>416.25*7369062.92</f>
        <v>3067372440.4499998</v>
      </c>
      <c r="Q92" s="23">
        <f t="shared" si="52"/>
        <v>1.1576497587911147E-2</v>
      </c>
      <c r="R92" s="22">
        <f>415.69*7318450.23</f>
        <v>3042206576.1087003</v>
      </c>
      <c r="S92" s="23">
        <f t="shared" si="57"/>
        <v>1.1342768110051573E-2</v>
      </c>
      <c r="T92" s="24">
        <f t="shared" ref="T92" si="64">((R92-P92)/P92)</f>
        <v>-8.2043719273971073E-3</v>
      </c>
      <c r="U92" s="59">
        <f t="shared" ref="U92" si="65">(L92/R92)</f>
        <v>7.610941968515647E-4</v>
      </c>
      <c r="V92" s="25">
        <f t="shared" ref="V92" si="66">M92/R92</f>
        <v>1.3203296731308097E-2</v>
      </c>
      <c r="W92" s="26">
        <f t="shared" ref="W92" si="67">R92/AE92</f>
        <v>50060.861714181767</v>
      </c>
      <c r="X92" s="26">
        <f t="shared" ref="X92" si="68">M92/AE92</f>
        <v>660.96841183732283</v>
      </c>
      <c r="Y92" s="28">
        <f>415.69*120.52</f>
        <v>50098.9588</v>
      </c>
      <c r="Z92" s="28">
        <f>415.69*120.52</f>
        <v>50098.9588</v>
      </c>
      <c r="AA92" s="27">
        <v>262</v>
      </c>
      <c r="AB92" s="27">
        <v>61975.71</v>
      </c>
      <c r="AC92" s="27">
        <v>5700.7</v>
      </c>
      <c r="AD92" s="27">
        <v>6906.25</v>
      </c>
      <c r="AE92" s="150">
        <v>60770.16</v>
      </c>
      <c r="AF92" s="5"/>
      <c r="AG92" s="5"/>
      <c r="AH92" s="5"/>
      <c r="AI92" s="5"/>
      <c r="AJ92" s="6"/>
      <c r="AK92" s="4"/>
      <c r="AL92" s="5"/>
      <c r="AM92" s="5"/>
      <c r="AN92" s="5"/>
      <c r="AO92" s="6"/>
      <c r="AP92" s="4"/>
      <c r="AQ92" s="5"/>
      <c r="AR92" s="5"/>
      <c r="AS92" s="5"/>
      <c r="AT92" s="6"/>
      <c r="AU92" s="18"/>
      <c r="AV92" s="18"/>
      <c r="AW92" s="18"/>
      <c r="AX92" s="18"/>
      <c r="AY92" s="18"/>
      <c r="AZ92" s="18"/>
      <c r="BA92" s="18"/>
      <c r="BB92" s="18"/>
      <c r="BC92" s="18"/>
      <c r="BD92" s="18"/>
      <c r="BE92" s="18"/>
      <c r="BF92" s="18"/>
      <c r="BG92" s="18"/>
      <c r="BH92" s="18"/>
      <c r="BI92" s="18"/>
      <c r="BJ92" s="18"/>
      <c r="BK92" s="18"/>
      <c r="BL92" s="18"/>
      <c r="BM92" s="18"/>
      <c r="BN92" s="18"/>
      <c r="BO92" s="18"/>
      <c r="BP92" s="18"/>
      <c r="BQ92" s="18"/>
      <c r="BR92" s="18"/>
      <c r="BS92" s="18"/>
      <c r="BT92" s="18"/>
      <c r="BU92" s="18"/>
      <c r="BV92" s="18"/>
      <c r="BW92" s="18"/>
      <c r="BX92" s="18"/>
      <c r="BY92" s="18"/>
      <c r="BZ92" s="18"/>
      <c r="CA92" s="18"/>
      <c r="CB92" s="18"/>
      <c r="CC92" s="18"/>
      <c r="CD92" s="18"/>
      <c r="CE92" s="18"/>
      <c r="CF92" s="18"/>
      <c r="CG92" s="18"/>
      <c r="CH92" s="18"/>
      <c r="CI92" s="18"/>
      <c r="CJ92" s="18"/>
      <c r="CK92" s="18"/>
      <c r="CL92" s="18"/>
      <c r="CM92" s="18"/>
      <c r="CN92" s="18"/>
      <c r="CO92" s="18"/>
      <c r="CP92" s="18"/>
      <c r="CQ92" s="18"/>
      <c r="CR92" s="18"/>
      <c r="CS92" s="18"/>
      <c r="CT92" s="18"/>
      <c r="CU92" s="18"/>
      <c r="CV92" s="18"/>
      <c r="CW92" s="18"/>
      <c r="CX92" s="18"/>
      <c r="CY92" s="18"/>
      <c r="CZ92" s="18"/>
      <c r="DA92" s="18"/>
      <c r="DB92" s="18"/>
      <c r="DC92" s="18"/>
      <c r="DD92" s="18"/>
      <c r="DE92" s="18"/>
      <c r="DF92" s="18"/>
      <c r="DG92" s="18"/>
      <c r="DH92" s="18"/>
      <c r="DI92" s="18"/>
      <c r="DJ92" s="18"/>
      <c r="DK92" s="18"/>
      <c r="DL92" s="18"/>
      <c r="DM92" s="18"/>
      <c r="DN92" s="18"/>
      <c r="DO92" s="18"/>
      <c r="DP92" s="18"/>
      <c r="DQ92" s="18"/>
      <c r="DR92" s="18"/>
      <c r="DS92" s="18"/>
      <c r="DT92" s="18"/>
      <c r="DU92" s="18"/>
      <c r="DV92" s="18"/>
      <c r="DW92" s="18"/>
      <c r="DX92" s="18"/>
      <c r="DY92" s="18"/>
      <c r="DZ92" s="18"/>
      <c r="EA92" s="18"/>
      <c r="EB92" s="18"/>
      <c r="EC92" s="18"/>
      <c r="ED92" s="18"/>
      <c r="EE92" s="18"/>
      <c r="EF92" s="18"/>
      <c r="EG92" s="18"/>
      <c r="EH92" s="18"/>
      <c r="EI92" s="18"/>
      <c r="EJ92" s="18"/>
      <c r="EK92" s="18"/>
      <c r="EL92" s="18"/>
      <c r="EM92" s="18"/>
      <c r="EN92" s="18"/>
      <c r="EO92" s="18"/>
      <c r="EP92" s="18"/>
      <c r="EQ92" s="18"/>
      <c r="ER92" s="18"/>
      <c r="ES92" s="18"/>
      <c r="ET92" s="18"/>
      <c r="EU92" s="18"/>
      <c r="EV92" s="18"/>
      <c r="EW92" s="18"/>
      <c r="EX92" s="18"/>
      <c r="EY92" s="18"/>
      <c r="EZ92" s="18"/>
      <c r="FA92" s="18"/>
      <c r="FB92" s="18"/>
      <c r="FC92" s="18"/>
      <c r="FD92" s="18"/>
      <c r="FE92" s="18"/>
      <c r="FF92" s="18"/>
      <c r="FG92" s="18"/>
      <c r="FH92" s="18"/>
      <c r="FI92" s="18"/>
      <c r="FJ92" s="18"/>
      <c r="FK92" s="18"/>
      <c r="FL92" s="18"/>
      <c r="FM92" s="18"/>
      <c r="FN92" s="18"/>
      <c r="FO92" s="18"/>
      <c r="FP92" s="18"/>
      <c r="FQ92" s="18"/>
      <c r="FR92" s="18"/>
      <c r="FS92" s="18"/>
      <c r="FT92" s="18"/>
      <c r="FU92" s="18"/>
      <c r="FV92" s="18"/>
      <c r="FW92" s="18"/>
      <c r="FX92" s="18"/>
      <c r="FY92" s="18"/>
      <c r="FZ92" s="18"/>
      <c r="GA92" s="18"/>
      <c r="GB92" s="18"/>
      <c r="GC92" s="18"/>
      <c r="GD92" s="18"/>
      <c r="GE92" s="18"/>
      <c r="GF92" s="18"/>
      <c r="GG92" s="18"/>
      <c r="GH92" s="18"/>
      <c r="GI92" s="18"/>
      <c r="GJ92" s="18"/>
      <c r="GK92" s="18"/>
      <c r="GL92" s="18"/>
      <c r="GM92" s="18"/>
      <c r="GN92" s="18"/>
      <c r="GO92" s="18"/>
      <c r="GP92" s="18"/>
      <c r="GQ92" s="18"/>
      <c r="GR92" s="18"/>
      <c r="GS92" s="18"/>
      <c r="GT92" s="18"/>
      <c r="GU92" s="18"/>
      <c r="GV92" s="18"/>
      <c r="GW92" s="18"/>
      <c r="GX92" s="18"/>
      <c r="GY92" s="18"/>
      <c r="GZ92" s="18"/>
      <c r="HA92" s="18"/>
      <c r="HB92" s="18"/>
      <c r="HC92" s="18"/>
      <c r="HD92" s="18"/>
      <c r="HE92" s="18"/>
      <c r="HF92" s="18"/>
      <c r="HG92" s="18"/>
      <c r="HH92" s="18"/>
      <c r="HI92" s="18"/>
      <c r="HJ92" s="18"/>
      <c r="HK92" s="18"/>
      <c r="HL92" s="18"/>
      <c r="HM92" s="18"/>
      <c r="HN92" s="18"/>
      <c r="HO92" s="18"/>
      <c r="HP92" s="18"/>
      <c r="HQ92" s="18"/>
      <c r="HR92" s="18"/>
      <c r="HS92" s="18"/>
      <c r="HT92" s="18"/>
      <c r="HU92" s="18"/>
      <c r="HV92" s="18"/>
      <c r="HW92" s="18"/>
      <c r="HX92" s="18"/>
      <c r="HY92" s="18"/>
      <c r="HZ92" s="18"/>
      <c r="IA92" s="18"/>
      <c r="IB92" s="18"/>
      <c r="IC92" s="18"/>
      <c r="ID92" s="18"/>
      <c r="IE92" s="18"/>
      <c r="IF92" s="18"/>
      <c r="IG92" s="18"/>
      <c r="IH92" s="18"/>
      <c r="II92" s="18"/>
      <c r="IJ92" s="18"/>
      <c r="IK92" s="18"/>
      <c r="IL92" s="18"/>
      <c r="IM92" s="18"/>
      <c r="IN92" s="18"/>
      <c r="IO92" s="18"/>
      <c r="IP92" s="18"/>
      <c r="IQ92" s="18"/>
      <c r="IR92" s="18"/>
      <c r="IS92" s="18"/>
      <c r="IT92" s="18"/>
      <c r="IU92" s="18"/>
      <c r="IV92" s="18"/>
    </row>
    <row r="93" spans="1:256" ht="6" customHeight="1" x14ac:dyDescent="0.3">
      <c r="A93" s="172"/>
      <c r="B93" s="57"/>
      <c r="C93" s="58"/>
      <c r="D93" s="74"/>
      <c r="E93" s="74"/>
      <c r="F93" s="74"/>
      <c r="G93" s="74"/>
      <c r="H93" s="74"/>
      <c r="I93" s="53"/>
      <c r="J93" s="55"/>
      <c r="K93" s="55"/>
      <c r="L93" s="55"/>
      <c r="M93" s="168"/>
      <c r="N93" s="20"/>
      <c r="O93" s="20"/>
      <c r="P93" s="30"/>
      <c r="Q93" s="23"/>
      <c r="R93" s="30"/>
      <c r="S93" s="23"/>
      <c r="T93" s="24"/>
      <c r="U93" s="59"/>
      <c r="V93" s="25"/>
      <c r="W93" s="26"/>
      <c r="X93" s="26"/>
      <c r="Y93" s="20"/>
      <c r="Z93" s="20"/>
      <c r="AA93" s="27"/>
      <c r="AB93" s="27"/>
      <c r="AC93" s="27"/>
      <c r="AD93" s="27"/>
      <c r="AE93" s="110"/>
      <c r="AF93" s="5"/>
      <c r="AG93" s="5"/>
      <c r="AH93" s="5"/>
      <c r="AI93" s="5"/>
      <c r="AJ93" s="6"/>
      <c r="AK93" s="4"/>
      <c r="AL93" s="5"/>
      <c r="AM93" s="5"/>
      <c r="AN93" s="5"/>
      <c r="AO93" s="6"/>
      <c r="AP93" s="4"/>
      <c r="AQ93" s="5"/>
      <c r="AR93" s="5"/>
      <c r="AS93" s="5"/>
      <c r="AT93" s="6"/>
    </row>
    <row r="94" spans="1:256" ht="16.5" customHeight="1" x14ac:dyDescent="0.3">
      <c r="A94" s="207" t="s">
        <v>179</v>
      </c>
      <c r="B94" s="208"/>
      <c r="C94" s="208"/>
      <c r="D94" s="91"/>
      <c r="E94" s="91"/>
      <c r="F94" s="91"/>
      <c r="G94" s="91"/>
      <c r="H94" s="91"/>
      <c r="I94" s="91"/>
      <c r="J94" s="91"/>
      <c r="K94" s="91"/>
      <c r="L94" s="91"/>
      <c r="M94" s="167"/>
      <c r="N94" s="91"/>
      <c r="O94" s="91"/>
      <c r="P94" s="91"/>
      <c r="Q94" s="92"/>
      <c r="R94" s="91"/>
      <c r="S94" s="92"/>
      <c r="T94" s="92"/>
      <c r="U94" s="93"/>
      <c r="V94" s="94"/>
      <c r="W94" s="95"/>
      <c r="X94" s="95"/>
      <c r="Y94" s="91"/>
      <c r="Z94" s="91"/>
      <c r="AA94" s="91"/>
      <c r="AB94" s="91"/>
      <c r="AC94" s="91"/>
      <c r="AD94" s="91"/>
      <c r="AE94" s="117"/>
      <c r="AF94" s="5"/>
      <c r="AG94" s="5"/>
      <c r="AH94" s="5"/>
      <c r="AI94" s="5"/>
      <c r="AJ94" s="6"/>
      <c r="AK94" s="4"/>
      <c r="AL94" s="5"/>
      <c r="AM94" s="5"/>
      <c r="AN94" s="5"/>
      <c r="AO94" s="6"/>
      <c r="AP94" s="4"/>
      <c r="AQ94" s="5"/>
      <c r="AR94" s="5"/>
      <c r="AS94" s="5"/>
      <c r="AT94" s="6"/>
    </row>
    <row r="95" spans="1:256" ht="16.5" customHeight="1" x14ac:dyDescent="0.3">
      <c r="A95" s="172">
        <v>82</v>
      </c>
      <c r="B95" s="58" t="s">
        <v>23</v>
      </c>
      <c r="C95" s="58" t="s">
        <v>110</v>
      </c>
      <c r="D95" s="53"/>
      <c r="E95" s="53"/>
      <c r="F95" s="53">
        <f>415.69*122840568.03</f>
        <v>51063595724.390701</v>
      </c>
      <c r="G95" s="53">
        <f>415.69*297954909.57</f>
        <v>123856876359.15329</v>
      </c>
      <c r="H95" s="53"/>
      <c r="I95" s="53"/>
      <c r="J95" s="53">
        <f>415.69*422766286.11</f>
        <v>175739717473.06592</v>
      </c>
      <c r="K95" s="53">
        <f>415.69*2426594.24</f>
        <v>1008710959.6256001</v>
      </c>
      <c r="L95" s="53">
        <f>415.69*680506.82</f>
        <v>282879880.00579995</v>
      </c>
      <c r="M95" s="169">
        <f>415.69*1746087.42</f>
        <v>725831079.61979997</v>
      </c>
      <c r="N95" s="53">
        <f>415.69*423605188.31</f>
        <v>176088440728.58389</v>
      </c>
      <c r="O95" s="53">
        <f>415.69*865797.21</f>
        <v>359903242.22490001</v>
      </c>
      <c r="P95" s="30">
        <f>416.25*421932086.38</f>
        <v>175629230955.67499</v>
      </c>
      <c r="Q95" s="23">
        <f t="shared" ref="Q95:Q101" si="69">(P95/$P$102)</f>
        <v>0.66283811568274509</v>
      </c>
      <c r="R95" s="30">
        <f>415.69*422739391.1</f>
        <v>175728537486.35901</v>
      </c>
      <c r="S95" s="23">
        <f t="shared" ref="S95:S101" si="70">(R95/$R$102)</f>
        <v>0.65519812713568171</v>
      </c>
      <c r="T95" s="24">
        <f>((R95-P95)/P95)</f>
        <v>5.6543281630085714E-4</v>
      </c>
      <c r="U95" s="59">
        <f>(L95/R95)</f>
        <v>1.6097549325348401E-3</v>
      </c>
      <c r="V95" s="25">
        <f>M95/R95</f>
        <v>4.1304109736652354E-3</v>
      </c>
      <c r="W95" s="26">
        <f>R95/AE95</f>
        <v>545.65063914844632</v>
      </c>
      <c r="X95" s="26">
        <f>M95/AE95</f>
        <v>2.2537613877261924</v>
      </c>
      <c r="Y95" s="20">
        <f>415.69*1.3126</f>
        <v>545.63469399999997</v>
      </c>
      <c r="Z95" s="20">
        <f>415.69*1.3126</f>
        <v>545.63469399999997</v>
      </c>
      <c r="AA95" s="43">
        <v>4039</v>
      </c>
      <c r="AB95" s="43">
        <v>322754188.42000002</v>
      </c>
      <c r="AC95" s="43">
        <v>7894029.8600000003</v>
      </c>
      <c r="AD95" s="43">
        <v>8595012.6600000001</v>
      </c>
      <c r="AE95" s="150">
        <f>(AB95+AC95)-AD95</f>
        <v>322053205.62</v>
      </c>
      <c r="AF95" s="5"/>
      <c r="AG95" s="5"/>
      <c r="AH95" s="5"/>
      <c r="AI95" s="5"/>
      <c r="AJ95" s="6"/>
      <c r="AK95" s="4"/>
      <c r="AL95" s="5"/>
      <c r="AM95" s="5"/>
      <c r="AN95" s="5"/>
      <c r="AO95" s="6"/>
      <c r="AP95" s="4"/>
      <c r="AQ95" s="5"/>
      <c r="AR95" s="5"/>
      <c r="AS95" s="5"/>
      <c r="AT95" s="6"/>
    </row>
    <row r="96" spans="1:256" ht="16.5" customHeight="1" x14ac:dyDescent="0.3">
      <c r="A96" s="172">
        <v>83</v>
      </c>
      <c r="B96" s="57" t="s">
        <v>44</v>
      </c>
      <c r="C96" s="57" t="s">
        <v>113</v>
      </c>
      <c r="D96" s="53"/>
      <c r="E96" s="53"/>
      <c r="F96" s="53">
        <f>415.69*704973.36</f>
        <v>293050376.01840001</v>
      </c>
      <c r="G96" s="53">
        <f>415.69*3466936.44</f>
        <v>1441170808.7435999</v>
      </c>
      <c r="H96" s="53"/>
      <c r="I96" s="53"/>
      <c r="J96" s="53">
        <f>415.69*4171909.8</f>
        <v>1734221184.7619998</v>
      </c>
      <c r="K96" s="53">
        <f>415.69*23287.37</f>
        <v>9680326.8353000004</v>
      </c>
      <c r="L96" s="53">
        <f>415.69*9736.84</f>
        <v>4047507.0196000002</v>
      </c>
      <c r="M96" s="169">
        <f>415.69*13550.53</f>
        <v>5632819.8157000002</v>
      </c>
      <c r="N96" s="53">
        <f>415.69*4336004.59</f>
        <v>1802433748.0170999</v>
      </c>
      <c r="O96" s="53">
        <f>415.69*31707.31</f>
        <v>13180411.6939</v>
      </c>
      <c r="P96" s="30">
        <f>416.25*4404033.45</f>
        <v>1833178923.5625</v>
      </c>
      <c r="Q96" s="23">
        <f t="shared" si="69"/>
        <v>6.9185571034593649E-3</v>
      </c>
      <c r="R96" s="30">
        <f>415.69*4304297.27</f>
        <v>1789253332.1662998</v>
      </c>
      <c r="S96" s="23">
        <f t="shared" si="70"/>
        <v>6.6711727587082372E-3</v>
      </c>
      <c r="T96" s="24">
        <f>((R96-P96)/P96)</f>
        <v>-2.3961431604743514E-2</v>
      </c>
      <c r="U96" s="59">
        <f>(L96/R96)</f>
        <v>2.2621207108216301E-3</v>
      </c>
      <c r="V96" s="25">
        <f>M96/R96</f>
        <v>3.1481399053090962E-3</v>
      </c>
      <c r="W96" s="26">
        <f>R96/AE96</f>
        <v>444.59251024000179</v>
      </c>
      <c r="X96" s="26">
        <f>M96/AE96</f>
        <v>1.3996394230880926</v>
      </c>
      <c r="Y96" s="20">
        <f>415.69*1.09</f>
        <v>453.10210000000001</v>
      </c>
      <c r="Z96" s="20">
        <f>415.69*1.09</f>
        <v>453.10210000000001</v>
      </c>
      <c r="AA96" s="43">
        <v>258</v>
      </c>
      <c r="AB96" s="43">
        <v>4123298.36</v>
      </c>
      <c r="AC96" s="43">
        <v>36992.83</v>
      </c>
      <c r="AD96" s="43">
        <v>135811.94</v>
      </c>
      <c r="AE96" s="150">
        <v>4024479.25</v>
      </c>
      <c r="AF96" s="5"/>
      <c r="AG96" s="5"/>
      <c r="AH96" s="5"/>
      <c r="AI96" s="5"/>
      <c r="AJ96" s="6"/>
      <c r="AK96" s="4"/>
      <c r="AL96" s="5"/>
      <c r="AM96" s="5"/>
      <c r="AN96" s="5"/>
      <c r="AO96" s="6"/>
      <c r="AP96" s="4"/>
      <c r="AQ96" s="5"/>
      <c r="AR96" s="5"/>
      <c r="AS96" s="5"/>
      <c r="AT96" s="6"/>
    </row>
    <row r="97" spans="1:256" ht="16.5" customHeight="1" x14ac:dyDescent="0.3">
      <c r="A97" s="172">
        <v>84</v>
      </c>
      <c r="B97" s="58" t="s">
        <v>65</v>
      </c>
      <c r="C97" s="58" t="s">
        <v>119</v>
      </c>
      <c r="D97" s="53"/>
      <c r="E97" s="53"/>
      <c r="F97" s="53"/>
      <c r="G97" s="53">
        <f>415.69*10224419.66</f>
        <v>4250189008.4654002</v>
      </c>
      <c r="H97" s="53"/>
      <c r="I97" s="53"/>
      <c r="J97" s="53">
        <v>4250189008.4699998</v>
      </c>
      <c r="K97" s="53">
        <f>415.69*61051.55</f>
        <v>25378518.819499999</v>
      </c>
      <c r="L97" s="53">
        <f>415.69*16147.11</f>
        <v>6712192.1559000006</v>
      </c>
      <c r="M97" s="169">
        <f t="shared" ref="M97" si="71">415.69</f>
        <v>415.69</v>
      </c>
      <c r="N97" s="53">
        <f>415.69*11600628.63</f>
        <v>4822265315.2047005</v>
      </c>
      <c r="O97" s="53">
        <f>415.69*227094.16</f>
        <v>94400771.370399997</v>
      </c>
      <c r="P97" s="30">
        <f>416.25*11020135.69</f>
        <v>4587131480.9624996</v>
      </c>
      <c r="Q97" s="23">
        <f t="shared" si="69"/>
        <v>1.7312184143182554E-2</v>
      </c>
      <c r="R97" s="30">
        <f>415.69*11373534.47</f>
        <v>4727864543.8343</v>
      </c>
      <c r="S97" s="23">
        <f t="shared" si="70"/>
        <v>1.7627688927371214E-2</v>
      </c>
      <c r="T97" s="24">
        <f t="shared" ref="T97:T99" si="72">((R97-P97)/P97)</f>
        <v>3.0679971449667488E-2</v>
      </c>
      <c r="U97" s="59">
        <f t="shared" ref="U97:U99" si="73">(L97/R97)</f>
        <v>1.4197090660419832E-3</v>
      </c>
      <c r="V97" s="25" t="e">
        <f>#REF!/R97</f>
        <v>#REF!</v>
      </c>
      <c r="W97" s="26">
        <f>R97/AE97</f>
        <v>44980.58723643361</v>
      </c>
      <c r="X97" s="26" t="e">
        <f>#REF!/AE97</f>
        <v>#REF!</v>
      </c>
      <c r="Y97" s="20">
        <f>415.69*109.14</f>
        <v>45368.406600000002</v>
      </c>
      <c r="Z97" s="20">
        <f>415.69*109.14</f>
        <v>45368.406600000002</v>
      </c>
      <c r="AA97" s="43">
        <f>SUM(526,49,30)</f>
        <v>605</v>
      </c>
      <c r="AB97" s="43">
        <v>100759</v>
      </c>
      <c r="AC97" s="43">
        <v>9505</v>
      </c>
      <c r="AD97" s="43">
        <v>5155</v>
      </c>
      <c r="AE97" s="150">
        <v>105109</v>
      </c>
      <c r="AF97" s="5"/>
      <c r="AG97" s="5"/>
      <c r="AH97" s="5"/>
      <c r="AI97" s="5"/>
      <c r="AJ97" s="6"/>
      <c r="AK97" s="4"/>
      <c r="AL97" s="5"/>
      <c r="AM97" s="5"/>
      <c r="AN97" s="5"/>
      <c r="AO97" s="6"/>
      <c r="AP97" s="4"/>
      <c r="AQ97" s="5"/>
      <c r="AR97" s="5"/>
      <c r="AS97" s="5"/>
      <c r="AT97" s="6"/>
    </row>
    <row r="98" spans="1:256" ht="16.5" customHeight="1" x14ac:dyDescent="0.3">
      <c r="A98" s="172">
        <v>85</v>
      </c>
      <c r="B98" s="57" t="s">
        <v>121</v>
      </c>
      <c r="C98" s="58" t="s">
        <v>122</v>
      </c>
      <c r="D98" s="53"/>
      <c r="E98" s="53"/>
      <c r="F98" s="53"/>
      <c r="G98" s="53">
        <f>415.69*11600628.63</f>
        <v>4822265315.2047005</v>
      </c>
      <c r="H98" s="53"/>
      <c r="I98" s="53"/>
      <c r="J98" s="53">
        <f>415.69*11600628.63</f>
        <v>4822265315.2047005</v>
      </c>
      <c r="K98" s="53">
        <f>415.69*7408.97</f>
        <v>3079834.7393</v>
      </c>
      <c r="L98" s="53">
        <f>415.69*1673.66</f>
        <v>695723.7254</v>
      </c>
      <c r="M98" s="169">
        <f>415.69*5735.31</f>
        <v>2384111.0139000001</v>
      </c>
      <c r="N98" s="53">
        <f>415.69*1104736.6</f>
        <v>459227957.25400001</v>
      </c>
      <c r="O98" s="53">
        <f>415.69*41344.06</f>
        <v>17186312.301399998</v>
      </c>
      <c r="P98" s="30">
        <f>416.25*1069634.68</f>
        <v>445235435.54999995</v>
      </c>
      <c r="Q98" s="23">
        <f t="shared" si="69"/>
        <v>1.6803524990075822E-3</v>
      </c>
      <c r="R98" s="30">
        <f>415.69*1063392.54</f>
        <v>442041644.9526</v>
      </c>
      <c r="S98" s="23">
        <f t="shared" si="70"/>
        <v>1.6481378723783083E-3</v>
      </c>
      <c r="T98" s="24">
        <f t="shared" si="72"/>
        <v>-7.1732623739946847E-3</v>
      </c>
      <c r="U98" s="59">
        <f t="shared" si="73"/>
        <v>1.573887287191238E-3</v>
      </c>
      <c r="V98" s="25">
        <f>M97/R98</f>
        <v>9.4038651051661504E-7</v>
      </c>
      <c r="W98" s="26">
        <f>R98/AE98</f>
        <v>43632.57772703583</v>
      </c>
      <c r="X98" s="26">
        <f>M97/AE98</f>
        <v>4.1031487513572204E-2</v>
      </c>
      <c r="Y98" s="20">
        <f>415.69*104.96</f>
        <v>43630.822399999997</v>
      </c>
      <c r="Z98" s="20">
        <f>415.69*104.96</f>
        <v>43630.822399999997</v>
      </c>
      <c r="AA98" s="43">
        <v>25</v>
      </c>
      <c r="AB98" s="43">
        <v>9800</v>
      </c>
      <c r="AC98" s="43">
        <v>341</v>
      </c>
      <c r="AD98" s="43">
        <v>10</v>
      </c>
      <c r="AE98" s="150">
        <v>10131</v>
      </c>
      <c r="AF98" s="5"/>
      <c r="AG98" s="5"/>
      <c r="AH98" s="5"/>
      <c r="AI98" s="5"/>
      <c r="AJ98" s="6"/>
      <c r="AK98" s="4"/>
      <c r="AL98" s="5"/>
      <c r="AM98" s="5"/>
      <c r="AN98" s="5"/>
      <c r="AO98" s="6"/>
      <c r="AP98" s="4"/>
      <c r="AQ98" s="5"/>
      <c r="AR98" s="5"/>
      <c r="AS98" s="5"/>
      <c r="AT98" s="6"/>
    </row>
    <row r="99" spans="1:256" ht="15.75" customHeight="1" x14ac:dyDescent="0.3">
      <c r="A99" s="172">
        <v>86</v>
      </c>
      <c r="B99" s="57" t="s">
        <v>82</v>
      </c>
      <c r="C99" s="58" t="s">
        <v>123</v>
      </c>
      <c r="D99" s="53"/>
      <c r="E99" s="53"/>
      <c r="F99" s="53">
        <f>415.69*740898.56</f>
        <v>307984122.40640002</v>
      </c>
      <c r="G99" s="53">
        <f>415.69*5283010</f>
        <v>2196094426.9000001</v>
      </c>
      <c r="H99" s="53"/>
      <c r="I99" s="53"/>
      <c r="J99" s="53">
        <f>415.69*4706386.07</f>
        <v>1956397625.4383001</v>
      </c>
      <c r="K99" s="53">
        <f>415.69*22091.88</f>
        <v>9183373.5972000007</v>
      </c>
      <c r="L99" s="53">
        <f>415.69*2586.22</f>
        <v>1075065.7918</v>
      </c>
      <c r="M99" s="169">
        <f>415.69*20315.54</f>
        <v>8444966.8225999996</v>
      </c>
      <c r="N99" s="53">
        <f>415.69*4779528.68</f>
        <v>1986802276.9891999</v>
      </c>
      <c r="O99" s="53">
        <f>415.69*50756.6</f>
        <v>21099011.053999998</v>
      </c>
      <c r="P99" s="30">
        <f>410.64*4864904.73</f>
        <v>1997724478.3272002</v>
      </c>
      <c r="Q99" s="23">
        <f t="shared" si="69"/>
        <v>7.5395645796677638E-3</v>
      </c>
      <c r="R99" s="30">
        <f>415.69*4728772.08</f>
        <v>1965703265.9352</v>
      </c>
      <c r="S99" s="23">
        <f t="shared" si="70"/>
        <v>7.329060588381734E-3</v>
      </c>
      <c r="T99" s="24">
        <f t="shared" si="72"/>
        <v>-1.602884318602996E-2</v>
      </c>
      <c r="U99" s="59">
        <f t="shared" si="73"/>
        <v>5.4691153564753747E-4</v>
      </c>
      <c r="V99" s="25">
        <f t="shared" ref="V99" si="74">M99/R99</f>
        <v>4.2961554619904627E-3</v>
      </c>
      <c r="W99" s="26">
        <f t="shared" ref="W99" si="75">R99/AE99</f>
        <v>456.06653242022452</v>
      </c>
      <c r="X99" s="26">
        <f t="shared" ref="X99" si="76">M99/AE99</f>
        <v>1.9593327242881979</v>
      </c>
      <c r="Y99" s="20">
        <f>415.69*1.1</f>
        <v>457.25900000000001</v>
      </c>
      <c r="Z99" s="20">
        <f>415.69*1.1</f>
        <v>457.25900000000001</v>
      </c>
      <c r="AA99" s="43">
        <v>184</v>
      </c>
      <c r="AB99" s="43">
        <v>4447732.51</v>
      </c>
      <c r="AC99" s="43">
        <v>141114.37</v>
      </c>
      <c r="AD99" s="43">
        <v>278722.96999999997</v>
      </c>
      <c r="AE99" s="150">
        <f>(AB99+AC99)-AD99</f>
        <v>4310123.91</v>
      </c>
      <c r="AF99" s="5"/>
      <c r="AG99" s="5"/>
      <c r="AH99" s="5"/>
      <c r="AI99" s="5"/>
      <c r="AJ99" s="6"/>
      <c r="AK99" s="4"/>
      <c r="AL99" s="5"/>
      <c r="AM99" s="5"/>
      <c r="AN99" s="5"/>
      <c r="AO99" s="6"/>
      <c r="AP99" s="4"/>
      <c r="AQ99" s="5"/>
      <c r="AR99" s="5"/>
      <c r="AS99" s="5"/>
      <c r="AT99" s="6"/>
    </row>
    <row r="100" spans="1:256" ht="16.5" customHeight="1" x14ac:dyDescent="0.3">
      <c r="A100" s="172">
        <v>87</v>
      </c>
      <c r="B100" s="57" t="s">
        <v>89</v>
      </c>
      <c r="C100" s="58" t="s">
        <v>124</v>
      </c>
      <c r="D100" s="53"/>
      <c r="E100" s="53"/>
      <c r="F100" s="53"/>
      <c r="G100" s="53">
        <f>410.64*185893.13</f>
        <v>76335154.903200001</v>
      </c>
      <c r="H100" s="53"/>
      <c r="I100" s="53"/>
      <c r="J100" s="53">
        <f>410.64*185893.13</f>
        <v>76335154.903200001</v>
      </c>
      <c r="K100" s="53">
        <f>410.64*1257.91</f>
        <v>516548.16240000003</v>
      </c>
      <c r="L100" s="53">
        <f>410.64*92.81</f>
        <v>38111.498399999997</v>
      </c>
      <c r="M100" s="169">
        <f>410.64*1165.1</f>
        <v>478436.66399999993</v>
      </c>
      <c r="N100" s="53">
        <f>410.64*228928.85</f>
        <v>94007342.964000002</v>
      </c>
      <c r="O100" s="53">
        <f>410.64*2637.22</f>
        <v>1082948.0207999998</v>
      </c>
      <c r="P100" s="30">
        <f>410.64*246269.53</f>
        <v>101128119.7992</v>
      </c>
      <c r="Q100" s="23">
        <f t="shared" si="69"/>
        <v>3.8166523878452758E-4</v>
      </c>
      <c r="R100" s="30">
        <f>410.64*226291.63</f>
        <v>92924394.943199992</v>
      </c>
      <c r="S100" s="23">
        <f t="shared" si="70"/>
        <v>3.46465579255886E-4</v>
      </c>
      <c r="T100" s="24">
        <f>((R100-P100)/P100)</f>
        <v>-8.1122094154319521E-2</v>
      </c>
      <c r="U100" s="59">
        <f>(L100/R100)</f>
        <v>4.1013448000705991E-4</v>
      </c>
      <c r="V100" s="25">
        <f>M100/R100</f>
        <v>5.1486659051419616E-3</v>
      </c>
      <c r="W100" s="26">
        <f>R100/AE100</f>
        <v>363.71761529326574</v>
      </c>
      <c r="X100" s="26">
        <f>M100/AE100</f>
        <v>1.8726604849599777</v>
      </c>
      <c r="Y100" s="20">
        <f>410.64*0.8903</f>
        <v>365.59279199999997</v>
      </c>
      <c r="Z100" s="20">
        <f>410.64*0.8903</f>
        <v>365.59279199999997</v>
      </c>
      <c r="AA100" s="43">
        <v>5</v>
      </c>
      <c r="AB100" s="43">
        <v>255485</v>
      </c>
      <c r="AC100" s="43">
        <v>0</v>
      </c>
      <c r="AD100" s="43">
        <v>0</v>
      </c>
      <c r="AE100" s="214">
        <v>255485</v>
      </c>
      <c r="AF100" s="5"/>
      <c r="AG100" s="5"/>
      <c r="AH100" s="5"/>
      <c r="AI100" s="5"/>
      <c r="AJ100" s="6"/>
      <c r="AK100" s="4"/>
      <c r="AL100" s="5"/>
      <c r="AM100" s="5"/>
      <c r="AN100" s="5"/>
      <c r="AO100" s="6"/>
      <c r="AP100" s="4"/>
      <c r="AQ100" s="5"/>
      <c r="AR100" s="5"/>
      <c r="AS100" s="5"/>
      <c r="AT100" s="6"/>
    </row>
    <row r="101" spans="1:256" ht="16.5" customHeight="1" x14ac:dyDescent="0.3">
      <c r="A101" s="172">
        <v>88</v>
      </c>
      <c r="B101" s="57" t="s">
        <v>29</v>
      </c>
      <c r="C101" s="57" t="s">
        <v>182</v>
      </c>
      <c r="D101" s="53"/>
      <c r="E101" s="53"/>
      <c r="F101" s="197">
        <v>41799957.359999999</v>
      </c>
      <c r="G101" s="53">
        <f>415.69*5287835.3</f>
        <v>2198100255.8569999</v>
      </c>
      <c r="H101" s="53"/>
      <c r="I101" s="53"/>
      <c r="J101" s="53">
        <f>415.69*5388390.9</f>
        <v>2239900213.2210002</v>
      </c>
      <c r="K101" s="53">
        <f>415.69*33279.5</f>
        <v>13833955.355</v>
      </c>
      <c r="L101" s="53">
        <f>415.69*11949.6</f>
        <v>4967329.2240000004</v>
      </c>
      <c r="M101" s="169">
        <f>415.69*21450.5</f>
        <v>8916758.3450000007</v>
      </c>
      <c r="N101" s="53">
        <f>415.69*5461863.1</f>
        <v>2270441872.039</v>
      </c>
      <c r="O101" s="53">
        <f>415.69*16735.2</f>
        <v>6956655.2880000006</v>
      </c>
      <c r="P101" s="30">
        <f>410.64*4625983.6</f>
        <v>1899613905.5039997</v>
      </c>
      <c r="Q101" s="147">
        <f t="shared" si="69"/>
        <v>7.1692877933673248E-3</v>
      </c>
      <c r="R101" s="30">
        <f>415.69*5445127.9</f>
        <v>2263485216.7509999</v>
      </c>
      <c r="S101" s="23">
        <f t="shared" si="70"/>
        <v>8.439330890861586E-3</v>
      </c>
      <c r="T101" s="24">
        <f t="shared" ref="T101" si="77">((R101-P101)/P101)</f>
        <v>0.1915501408958464</v>
      </c>
      <c r="U101" s="59">
        <f>(L101/R101)</f>
        <v>2.1945490022373948E-3</v>
      </c>
      <c r="V101" s="25">
        <f>M101/R101</f>
        <v>3.9393932326180995E-3</v>
      </c>
      <c r="W101" s="26">
        <f>R101/AE101</f>
        <v>428.44613520530908</v>
      </c>
      <c r="X101" s="26">
        <f>M101/AE101</f>
        <v>1.6878178055691737</v>
      </c>
      <c r="Y101" s="20">
        <f>415.69*1.0307</f>
        <v>428.451683</v>
      </c>
      <c r="Z101" s="20">
        <f>415.69*1.0307</f>
        <v>428.451683</v>
      </c>
      <c r="AA101" s="43">
        <v>213</v>
      </c>
      <c r="AB101" s="43">
        <v>4506982</v>
      </c>
      <c r="AC101" s="43">
        <v>789791</v>
      </c>
      <c r="AD101" s="43">
        <v>13763</v>
      </c>
      <c r="AE101" s="150">
        <v>5283010</v>
      </c>
      <c r="AF101" s="5"/>
      <c r="AG101" s="5"/>
      <c r="AH101" s="5"/>
      <c r="AI101" s="5"/>
      <c r="AJ101" s="6"/>
      <c r="AK101" s="4"/>
      <c r="AL101" s="5"/>
      <c r="AM101" s="5"/>
      <c r="AN101" s="5"/>
      <c r="AO101" s="6"/>
      <c r="AP101" s="4"/>
      <c r="AQ101" s="5"/>
      <c r="AR101" s="5"/>
      <c r="AS101" s="5"/>
      <c r="AT101" s="6"/>
    </row>
    <row r="102" spans="1:256" ht="16.5" customHeight="1" x14ac:dyDescent="0.3">
      <c r="A102" s="118"/>
      <c r="B102" s="78"/>
      <c r="C102" s="79" t="s">
        <v>52</v>
      </c>
      <c r="D102" s="85">
        <f>SUM(D83:D101)</f>
        <v>0</v>
      </c>
      <c r="E102" s="85"/>
      <c r="F102" s="85">
        <f t="shared" ref="F102:J102" si="78">SUM(F83:F101)</f>
        <v>54684419287.967407</v>
      </c>
      <c r="G102" s="85">
        <f t="shared" si="78"/>
        <v>212611232500.80246</v>
      </c>
      <c r="H102" s="85"/>
      <c r="I102" s="85"/>
      <c r="J102" s="85">
        <f t="shared" si="78"/>
        <v>268082370616.58063</v>
      </c>
      <c r="K102" s="85">
        <f t="shared" ref="K102" si="79">SUM(K83:K101)</f>
        <v>1577240318.9892001</v>
      </c>
      <c r="L102" s="85">
        <f t="shared" ref="L102" si="80">SUM(L83:L101)</f>
        <v>431452991.97929984</v>
      </c>
      <c r="M102" s="85">
        <f t="shared" ref="M102" si="81">SUM(M83:M101)</f>
        <v>1120940305.2675002</v>
      </c>
      <c r="N102" s="85">
        <f t="shared" ref="N102:O102" si="82">SUM(N83:N101)</f>
        <v>269087411568.39169</v>
      </c>
      <c r="O102" s="85">
        <f t="shared" si="82"/>
        <v>1764554795.8441</v>
      </c>
      <c r="P102" s="37">
        <f>SUM(P84:P101)</f>
        <v>264965497306.64038</v>
      </c>
      <c r="Q102" s="88">
        <f>(P102/$P$150)</f>
        <v>0.18755529852356556</v>
      </c>
      <c r="R102" s="37">
        <f>SUM(R84:R101)</f>
        <v>268206715203.21402</v>
      </c>
      <c r="S102" s="88">
        <f>(R102/$R$150)</f>
        <v>0.19052313776439636</v>
      </c>
      <c r="T102" s="38">
        <f t="shared" si="39"/>
        <v>1.2232603601300695E-2</v>
      </c>
      <c r="U102" s="51"/>
      <c r="V102" s="39"/>
      <c r="W102" s="40"/>
      <c r="X102" s="40"/>
      <c r="Y102" s="36"/>
      <c r="Z102" s="36"/>
      <c r="AA102" s="133">
        <f>SUM(AA84:AA101)</f>
        <v>10927</v>
      </c>
      <c r="AB102" s="133"/>
      <c r="AC102" s="133"/>
      <c r="AD102" s="133"/>
      <c r="AE102" s="113"/>
      <c r="AF102" s="5"/>
      <c r="AG102" s="5"/>
      <c r="AH102" s="5"/>
      <c r="AI102" s="5"/>
      <c r="AJ102" s="6"/>
      <c r="AK102" s="4"/>
      <c r="AL102" s="5"/>
      <c r="AM102" s="5"/>
      <c r="AN102" s="5"/>
      <c r="AO102" s="6"/>
      <c r="AP102" s="4"/>
      <c r="AQ102" s="5"/>
      <c r="AR102" s="5"/>
      <c r="AS102" s="5"/>
      <c r="AT102" s="6"/>
      <c r="AU102" s="18"/>
      <c r="AV102" s="18"/>
      <c r="AW102" s="18"/>
      <c r="AX102" s="18"/>
      <c r="AY102" s="18"/>
      <c r="AZ102" s="18"/>
      <c r="BA102" s="18"/>
      <c r="BB102" s="18"/>
      <c r="BC102" s="18"/>
      <c r="BD102" s="18"/>
      <c r="BE102" s="18"/>
      <c r="BF102" s="18"/>
      <c r="BG102" s="18"/>
      <c r="BH102" s="18"/>
      <c r="BI102" s="18"/>
      <c r="BJ102" s="18"/>
      <c r="BK102" s="18"/>
      <c r="BL102" s="18"/>
      <c r="BM102" s="18"/>
      <c r="BN102" s="18"/>
      <c r="BO102" s="18"/>
      <c r="BP102" s="18"/>
      <c r="BQ102" s="18"/>
      <c r="BR102" s="18"/>
      <c r="BS102" s="18"/>
      <c r="BT102" s="18"/>
      <c r="BU102" s="18"/>
      <c r="BV102" s="18"/>
      <c r="BW102" s="18"/>
      <c r="BX102" s="18"/>
      <c r="BY102" s="18"/>
      <c r="BZ102" s="18"/>
      <c r="CA102" s="18"/>
      <c r="CB102" s="18"/>
      <c r="CC102" s="18"/>
      <c r="CD102" s="18"/>
      <c r="CE102" s="18"/>
      <c r="CF102" s="18"/>
      <c r="CG102" s="18"/>
      <c r="CH102" s="18"/>
      <c r="CI102" s="18"/>
      <c r="CJ102" s="18"/>
      <c r="CK102" s="18"/>
      <c r="CL102" s="18"/>
      <c r="CM102" s="18"/>
      <c r="CN102" s="18"/>
      <c r="CO102" s="18"/>
      <c r="CP102" s="18"/>
      <c r="CQ102" s="18"/>
      <c r="CR102" s="18"/>
      <c r="CS102" s="18"/>
      <c r="CT102" s="18"/>
      <c r="CU102" s="18"/>
      <c r="CV102" s="18"/>
      <c r="CW102" s="18"/>
      <c r="CX102" s="18"/>
      <c r="CY102" s="18"/>
      <c r="CZ102" s="18"/>
      <c r="DA102" s="18"/>
      <c r="DB102" s="18"/>
      <c r="DC102" s="18"/>
      <c r="DD102" s="18"/>
      <c r="DE102" s="18"/>
      <c r="DF102" s="18"/>
      <c r="DG102" s="18"/>
      <c r="DH102" s="18"/>
      <c r="DI102" s="18"/>
      <c r="DJ102" s="18"/>
      <c r="DK102" s="18"/>
      <c r="DL102" s="18"/>
      <c r="DM102" s="18"/>
      <c r="DN102" s="18"/>
      <c r="DO102" s="18"/>
      <c r="DP102" s="18"/>
      <c r="DQ102" s="18"/>
      <c r="DR102" s="18"/>
      <c r="DS102" s="18"/>
      <c r="DT102" s="18"/>
      <c r="DU102" s="18"/>
      <c r="DV102" s="18"/>
      <c r="DW102" s="18"/>
      <c r="DX102" s="18"/>
      <c r="DY102" s="18"/>
      <c r="DZ102" s="18"/>
      <c r="EA102" s="18"/>
      <c r="EB102" s="18"/>
      <c r="EC102" s="18"/>
      <c r="ED102" s="18"/>
      <c r="EE102" s="18"/>
      <c r="EF102" s="18"/>
      <c r="EG102" s="18"/>
      <c r="EH102" s="18"/>
      <c r="EI102" s="18"/>
      <c r="EJ102" s="18"/>
      <c r="EK102" s="18"/>
      <c r="EL102" s="18"/>
      <c r="EM102" s="18"/>
      <c r="EN102" s="18"/>
      <c r="EO102" s="18"/>
      <c r="EP102" s="18"/>
      <c r="EQ102" s="18"/>
      <c r="ER102" s="18"/>
      <c r="ES102" s="18"/>
      <c r="ET102" s="18"/>
      <c r="EU102" s="18"/>
      <c r="EV102" s="18"/>
      <c r="EW102" s="18"/>
      <c r="EX102" s="18"/>
      <c r="EY102" s="18"/>
      <c r="EZ102" s="18"/>
      <c r="FA102" s="18"/>
      <c r="FB102" s="18"/>
      <c r="FC102" s="18"/>
      <c r="FD102" s="18"/>
      <c r="FE102" s="18"/>
      <c r="FF102" s="18"/>
      <c r="FG102" s="18"/>
      <c r="FH102" s="18"/>
      <c r="FI102" s="18"/>
      <c r="FJ102" s="18"/>
      <c r="FK102" s="18"/>
      <c r="FL102" s="18"/>
      <c r="FM102" s="18"/>
      <c r="FN102" s="18"/>
      <c r="FO102" s="18"/>
      <c r="FP102" s="18"/>
      <c r="FQ102" s="18"/>
      <c r="FR102" s="18"/>
      <c r="FS102" s="18"/>
      <c r="FT102" s="18"/>
      <c r="FU102" s="18"/>
      <c r="FV102" s="18"/>
      <c r="FW102" s="18"/>
      <c r="FX102" s="18"/>
      <c r="FY102" s="18"/>
      <c r="FZ102" s="18"/>
      <c r="GA102" s="18"/>
      <c r="GB102" s="18"/>
      <c r="GC102" s="18"/>
      <c r="GD102" s="18"/>
      <c r="GE102" s="18"/>
      <c r="GF102" s="18"/>
      <c r="GG102" s="18"/>
      <c r="GH102" s="18"/>
      <c r="GI102" s="18"/>
      <c r="GJ102" s="18"/>
      <c r="GK102" s="18"/>
      <c r="GL102" s="18"/>
      <c r="GM102" s="18"/>
      <c r="GN102" s="18"/>
      <c r="GO102" s="18"/>
      <c r="GP102" s="18"/>
      <c r="GQ102" s="18"/>
      <c r="GR102" s="18"/>
      <c r="GS102" s="18"/>
      <c r="GT102" s="18"/>
      <c r="GU102" s="18"/>
      <c r="GV102" s="18"/>
      <c r="GW102" s="18"/>
      <c r="GX102" s="18"/>
      <c r="GY102" s="18"/>
      <c r="GZ102" s="18"/>
      <c r="HA102" s="18"/>
      <c r="HB102" s="18"/>
      <c r="HC102" s="18"/>
      <c r="HD102" s="18"/>
      <c r="HE102" s="18"/>
      <c r="HF102" s="18"/>
      <c r="HG102" s="18"/>
      <c r="HH102" s="18"/>
      <c r="HI102" s="18"/>
      <c r="HJ102" s="18"/>
      <c r="HK102" s="18"/>
      <c r="HL102" s="18"/>
      <c r="HM102" s="18"/>
      <c r="HN102" s="18"/>
      <c r="HO102" s="18"/>
      <c r="HP102" s="18"/>
      <c r="HQ102" s="18"/>
      <c r="HR102" s="18"/>
      <c r="HS102" s="18"/>
      <c r="HT102" s="18"/>
      <c r="HU102" s="18"/>
      <c r="HV102" s="18"/>
      <c r="HW102" s="18"/>
      <c r="HX102" s="18"/>
      <c r="HY102" s="18"/>
      <c r="HZ102" s="18"/>
      <c r="IA102" s="18"/>
      <c r="IB102" s="18"/>
      <c r="IC102" s="18"/>
      <c r="ID102" s="18"/>
      <c r="IE102" s="18"/>
      <c r="IF102" s="18"/>
      <c r="IG102" s="18"/>
      <c r="IH102" s="18"/>
      <c r="II102" s="18"/>
      <c r="IJ102" s="18"/>
      <c r="IK102" s="18"/>
      <c r="IL102" s="18"/>
      <c r="IM102" s="18"/>
      <c r="IN102" s="18"/>
      <c r="IO102" s="18"/>
      <c r="IP102" s="18"/>
      <c r="IQ102" s="18"/>
      <c r="IR102" s="18"/>
      <c r="IS102" s="18"/>
      <c r="IT102" s="18"/>
      <c r="IU102" s="18"/>
      <c r="IV102" s="18"/>
    </row>
    <row r="103" spans="1:256" s="69" customFormat="1" ht="16.5" customHeight="1" x14ac:dyDescent="0.3">
      <c r="A103" s="209" t="s">
        <v>125</v>
      </c>
      <c r="B103" s="210"/>
      <c r="C103" s="210"/>
      <c r="D103" s="80"/>
      <c r="E103" s="45"/>
      <c r="F103" s="45"/>
      <c r="G103" s="45"/>
      <c r="H103" s="45"/>
      <c r="I103" s="45"/>
      <c r="J103" s="45"/>
      <c r="K103" s="45"/>
      <c r="L103" s="45"/>
      <c r="M103" s="166"/>
      <c r="N103" s="45"/>
      <c r="O103" s="45"/>
      <c r="P103" s="45">
        <v>0</v>
      </c>
      <c r="Q103" s="24"/>
      <c r="R103" s="45">
        <v>0</v>
      </c>
      <c r="S103" s="24"/>
      <c r="T103" s="24"/>
      <c r="U103" s="24"/>
      <c r="V103" s="46"/>
      <c r="W103" s="47"/>
      <c r="X103" s="47"/>
      <c r="Y103" s="45"/>
      <c r="Z103" s="45"/>
      <c r="AA103" s="45"/>
      <c r="AB103" s="45"/>
      <c r="AC103" s="45"/>
      <c r="AD103" s="45"/>
      <c r="AE103" s="116"/>
      <c r="AF103" s="66"/>
      <c r="AG103" s="66"/>
      <c r="AH103" s="66"/>
      <c r="AI103" s="66"/>
      <c r="AJ103" s="67"/>
      <c r="AK103" s="65"/>
      <c r="AL103" s="66"/>
      <c r="AM103" s="66"/>
      <c r="AN103" s="66"/>
      <c r="AO103" s="67"/>
      <c r="AP103" s="65"/>
      <c r="AQ103" s="66"/>
      <c r="AR103" s="66"/>
      <c r="AS103" s="66"/>
      <c r="AT103" s="67"/>
      <c r="AU103" s="68"/>
      <c r="AV103" s="68"/>
      <c r="AW103" s="68"/>
      <c r="AX103" s="68"/>
      <c r="AY103" s="68"/>
      <c r="AZ103" s="68"/>
      <c r="BA103" s="68"/>
      <c r="BB103" s="68"/>
      <c r="BC103" s="68"/>
      <c r="BD103" s="68"/>
      <c r="BE103" s="68"/>
      <c r="BF103" s="68"/>
      <c r="BG103" s="68"/>
      <c r="BH103" s="68"/>
      <c r="BI103" s="68"/>
      <c r="BJ103" s="68"/>
      <c r="BK103" s="68"/>
      <c r="BL103" s="68"/>
      <c r="BM103" s="68"/>
      <c r="BN103" s="68"/>
      <c r="BO103" s="68"/>
      <c r="BP103" s="68"/>
      <c r="BQ103" s="68"/>
      <c r="BR103" s="68"/>
      <c r="BS103" s="68"/>
      <c r="BT103" s="68"/>
      <c r="BU103" s="68"/>
      <c r="BV103" s="68"/>
      <c r="BW103" s="68"/>
      <c r="BX103" s="68"/>
      <c r="BY103" s="68"/>
      <c r="BZ103" s="68"/>
      <c r="CA103" s="68"/>
      <c r="CB103" s="68"/>
      <c r="CC103" s="68"/>
      <c r="CD103" s="68"/>
      <c r="CE103" s="68"/>
      <c r="CF103" s="68"/>
      <c r="CG103" s="68"/>
      <c r="CH103" s="68"/>
      <c r="CI103" s="68"/>
      <c r="CJ103" s="68"/>
      <c r="CK103" s="68"/>
      <c r="CL103" s="68"/>
      <c r="CM103" s="68"/>
      <c r="CN103" s="68"/>
      <c r="CO103" s="68"/>
      <c r="CP103" s="68"/>
      <c r="CQ103" s="68"/>
      <c r="CR103" s="68"/>
      <c r="CS103" s="68"/>
      <c r="CT103" s="68"/>
      <c r="CU103" s="68"/>
      <c r="CV103" s="68"/>
      <c r="CW103" s="68"/>
      <c r="CX103" s="68"/>
      <c r="CY103" s="68"/>
      <c r="CZ103" s="68"/>
      <c r="DA103" s="68"/>
      <c r="DB103" s="68"/>
      <c r="DC103" s="68"/>
      <c r="DD103" s="68"/>
      <c r="DE103" s="68"/>
      <c r="DF103" s="68"/>
      <c r="DG103" s="68"/>
      <c r="DH103" s="68"/>
      <c r="DI103" s="68"/>
      <c r="DJ103" s="68"/>
      <c r="DK103" s="68"/>
      <c r="DL103" s="68"/>
      <c r="DM103" s="68"/>
      <c r="DN103" s="68"/>
      <c r="DO103" s="68"/>
      <c r="DP103" s="68"/>
      <c r="DQ103" s="68"/>
      <c r="DR103" s="68"/>
      <c r="DS103" s="68"/>
      <c r="DT103" s="68"/>
      <c r="DU103" s="68"/>
      <c r="DV103" s="68"/>
      <c r="DW103" s="68"/>
      <c r="DX103" s="68"/>
      <c r="DY103" s="68"/>
      <c r="DZ103" s="68"/>
      <c r="EA103" s="68"/>
      <c r="EB103" s="68"/>
      <c r="EC103" s="68"/>
      <c r="ED103" s="68"/>
      <c r="EE103" s="68"/>
      <c r="EF103" s="68"/>
      <c r="EG103" s="68"/>
      <c r="EH103" s="68"/>
      <c r="EI103" s="68"/>
      <c r="EJ103" s="68"/>
      <c r="EK103" s="68"/>
      <c r="EL103" s="68"/>
      <c r="EM103" s="68"/>
      <c r="EN103" s="68"/>
      <c r="EO103" s="68"/>
      <c r="EP103" s="68"/>
      <c r="EQ103" s="68"/>
      <c r="ER103" s="68"/>
      <c r="ES103" s="68"/>
      <c r="ET103" s="68"/>
      <c r="EU103" s="68"/>
      <c r="EV103" s="68"/>
      <c r="EW103" s="68"/>
      <c r="EX103" s="68"/>
      <c r="EY103" s="68"/>
      <c r="EZ103" s="68"/>
      <c r="FA103" s="68"/>
      <c r="FB103" s="68"/>
      <c r="FC103" s="68"/>
      <c r="FD103" s="68"/>
      <c r="FE103" s="68"/>
      <c r="FF103" s="68"/>
      <c r="FG103" s="68"/>
      <c r="FH103" s="68"/>
      <c r="FI103" s="68"/>
      <c r="FJ103" s="68"/>
      <c r="FK103" s="68"/>
      <c r="FL103" s="68"/>
      <c r="FM103" s="68"/>
      <c r="FN103" s="68"/>
      <c r="FO103" s="68"/>
      <c r="FP103" s="68"/>
      <c r="FQ103" s="68"/>
      <c r="FR103" s="68"/>
      <c r="FS103" s="68"/>
      <c r="FT103" s="68"/>
      <c r="FU103" s="68"/>
      <c r="FV103" s="68"/>
      <c r="FW103" s="68"/>
      <c r="FX103" s="68"/>
      <c r="FY103" s="68"/>
      <c r="FZ103" s="68"/>
      <c r="GA103" s="68"/>
      <c r="GB103" s="68"/>
      <c r="GC103" s="68"/>
      <c r="GD103" s="68"/>
      <c r="GE103" s="68"/>
      <c r="GF103" s="68"/>
      <c r="GG103" s="68"/>
      <c r="GH103" s="68"/>
      <c r="GI103" s="68"/>
      <c r="GJ103" s="68"/>
      <c r="GK103" s="68"/>
      <c r="GL103" s="68"/>
      <c r="GM103" s="68"/>
      <c r="GN103" s="68"/>
      <c r="GO103" s="68"/>
      <c r="GP103" s="68"/>
      <c r="GQ103" s="68"/>
      <c r="GR103" s="68"/>
      <c r="GS103" s="68"/>
      <c r="GT103" s="68"/>
      <c r="GU103" s="68"/>
      <c r="GV103" s="68"/>
      <c r="GW103" s="68"/>
      <c r="GX103" s="68"/>
      <c r="GY103" s="68"/>
      <c r="GZ103" s="68"/>
      <c r="HA103" s="68"/>
      <c r="HB103" s="68"/>
      <c r="HC103" s="68"/>
      <c r="HD103" s="68"/>
      <c r="HE103" s="68"/>
      <c r="HF103" s="68"/>
      <c r="HG103" s="68"/>
      <c r="HH103" s="68"/>
      <c r="HI103" s="68"/>
      <c r="HJ103" s="68"/>
      <c r="HK103" s="68"/>
      <c r="HL103" s="68"/>
      <c r="HM103" s="68"/>
      <c r="HN103" s="68"/>
      <c r="HO103" s="68"/>
      <c r="HP103" s="68"/>
      <c r="HQ103" s="68"/>
      <c r="HR103" s="68"/>
      <c r="HS103" s="68"/>
      <c r="HT103" s="68"/>
      <c r="HU103" s="68"/>
      <c r="HV103" s="68"/>
      <c r="HW103" s="68"/>
      <c r="HX103" s="68"/>
      <c r="HY103" s="68"/>
      <c r="HZ103" s="68"/>
      <c r="IA103" s="68"/>
      <c r="IB103" s="68"/>
      <c r="IC103" s="68"/>
      <c r="ID103" s="68"/>
      <c r="IE103" s="68"/>
      <c r="IF103" s="68"/>
      <c r="IG103" s="68"/>
      <c r="IH103" s="68"/>
      <c r="II103" s="68"/>
      <c r="IJ103" s="68"/>
      <c r="IK103" s="68"/>
      <c r="IL103" s="68"/>
      <c r="IM103" s="68"/>
      <c r="IN103" s="68"/>
      <c r="IO103" s="68"/>
      <c r="IP103" s="68"/>
      <c r="IQ103" s="68"/>
      <c r="IR103" s="68"/>
      <c r="IS103" s="68"/>
      <c r="IT103" s="68"/>
      <c r="IU103" s="68"/>
      <c r="IV103" s="68"/>
    </row>
    <row r="104" spans="1:256" ht="16.5" customHeight="1" x14ac:dyDescent="0.3">
      <c r="A104" s="172">
        <v>89</v>
      </c>
      <c r="B104" s="58" t="s">
        <v>104</v>
      </c>
      <c r="C104" s="58" t="s">
        <v>126</v>
      </c>
      <c r="D104" s="20"/>
      <c r="E104" s="49"/>
      <c r="F104" s="49"/>
      <c r="G104" s="20">
        <v>322125355.20999998</v>
      </c>
      <c r="H104" s="20">
        <v>1820390000</v>
      </c>
      <c r="I104" s="70"/>
      <c r="J104" s="20">
        <v>2144370619.1099999</v>
      </c>
      <c r="K104" s="20">
        <v>18679695.550000001</v>
      </c>
      <c r="L104" s="21">
        <v>6837506.79</v>
      </c>
      <c r="M104" s="50">
        <v>11842188.76</v>
      </c>
      <c r="N104" s="20">
        <v>2586158124.5500002</v>
      </c>
      <c r="O104" s="20">
        <v>267135621.28999999</v>
      </c>
      <c r="P104" s="30">
        <v>2307180312.5999999</v>
      </c>
      <c r="Q104" s="23">
        <f>(P104/$P$108)</f>
        <v>5.0722922195298628E-2</v>
      </c>
      <c r="R104" s="30">
        <v>2319022501.3600001</v>
      </c>
      <c r="S104" s="23">
        <f>(R104/$R$108)</f>
        <v>5.0828255705535536E-2</v>
      </c>
      <c r="T104" s="24">
        <f>((R104-P104)/P104)</f>
        <v>5.132753905417591E-3</v>
      </c>
      <c r="U104" s="59">
        <f>(L104/R104)</f>
        <v>2.9484434868528083E-3</v>
      </c>
      <c r="V104" s="25">
        <f>M104/R104</f>
        <v>5.1065432754771028E-3</v>
      </c>
      <c r="W104" s="26" t="e">
        <f>R104/AE104</f>
        <v>#DIV/0!</v>
      </c>
      <c r="X104" s="26" t="e">
        <f>M104/AE104</f>
        <v>#DIV/0!</v>
      </c>
      <c r="Y104" s="20">
        <v>0</v>
      </c>
      <c r="Z104" s="20">
        <v>0</v>
      </c>
      <c r="AA104" s="20">
        <v>2675</v>
      </c>
      <c r="AB104" s="20">
        <v>0</v>
      </c>
      <c r="AC104" s="20">
        <v>0</v>
      </c>
      <c r="AD104" s="20">
        <v>0</v>
      </c>
      <c r="AE104" s="111">
        <v>0</v>
      </c>
      <c r="AF104" s="5"/>
      <c r="AG104" s="5"/>
      <c r="AH104" s="5"/>
      <c r="AI104" s="5"/>
      <c r="AJ104" s="6"/>
      <c r="AK104" s="4"/>
      <c r="AL104" s="5"/>
      <c r="AM104" s="5"/>
      <c r="AN104" s="5"/>
      <c r="AO104" s="6"/>
      <c r="AP104" s="4"/>
      <c r="AQ104" s="5"/>
      <c r="AR104" s="5"/>
      <c r="AS104" s="5"/>
      <c r="AT104" s="6"/>
    </row>
    <row r="105" spans="1:256" ht="16.5" customHeight="1" x14ac:dyDescent="0.3">
      <c r="A105" s="172">
        <v>90</v>
      </c>
      <c r="B105" s="58" t="s">
        <v>104</v>
      </c>
      <c r="C105" s="58" t="s">
        <v>127</v>
      </c>
      <c r="D105" s="20"/>
      <c r="E105" s="49"/>
      <c r="F105" s="49"/>
      <c r="G105" s="20">
        <v>393381358.94</v>
      </c>
      <c r="H105" s="20">
        <v>9932058627.3999996</v>
      </c>
      <c r="I105" s="70"/>
      <c r="J105" s="20">
        <v>10499196807.99</v>
      </c>
      <c r="K105" s="20">
        <v>42481346.75</v>
      </c>
      <c r="L105" s="21">
        <v>16761576.539999999</v>
      </c>
      <c r="M105" s="50">
        <v>25719770.210000001</v>
      </c>
      <c r="N105" s="20">
        <v>11183687036.219999</v>
      </c>
      <c r="O105" s="20">
        <v>1129271780.25</v>
      </c>
      <c r="P105" s="30">
        <v>10028695486</v>
      </c>
      <c r="Q105" s="23">
        <f t="shared" ref="Q105:Q107" si="83">(P105/$P$108)</f>
        <v>0.22047897083668994</v>
      </c>
      <c r="R105" s="30">
        <v>10054415256</v>
      </c>
      <c r="S105" s="23">
        <f t="shared" ref="S105:S107" si="84">(R105/$R$108)</f>
        <v>0.22037232898857131</v>
      </c>
      <c r="T105" s="24">
        <f>((R105-P105)/P105)</f>
        <v>2.5646177048554968E-3</v>
      </c>
      <c r="U105" s="59">
        <f>(L105/R105)</f>
        <v>1.6670861619722222E-3</v>
      </c>
      <c r="V105" s="25">
        <f>M105/R105</f>
        <v>2.5580572867876785E-3</v>
      </c>
      <c r="W105" s="26">
        <f>R105/AE105</f>
        <v>53.444809775537564</v>
      </c>
      <c r="X105" s="26">
        <f>M105/AE105</f>
        <v>0.13671488508729521</v>
      </c>
      <c r="Y105" s="86">
        <v>36.6</v>
      </c>
      <c r="Z105" s="86">
        <v>36.6</v>
      </c>
      <c r="AA105" s="27">
        <v>5251</v>
      </c>
      <c r="AB105" s="27">
        <v>188127066</v>
      </c>
      <c r="AC105" s="27">
        <v>0</v>
      </c>
      <c r="AD105" s="27">
        <v>0</v>
      </c>
      <c r="AE105" s="215">
        <v>188127066</v>
      </c>
      <c r="AF105" s="5"/>
      <c r="AG105" s="5"/>
      <c r="AH105" s="5"/>
      <c r="AI105" s="5"/>
      <c r="AJ105" s="6"/>
      <c r="AK105" s="4"/>
      <c r="AL105" s="5"/>
      <c r="AM105" s="5"/>
      <c r="AN105" s="5"/>
      <c r="AO105" s="6"/>
      <c r="AP105" s="4"/>
      <c r="AQ105" s="5"/>
      <c r="AR105" s="5"/>
      <c r="AS105" s="5"/>
      <c r="AT105" s="6"/>
    </row>
    <row r="106" spans="1:256" ht="16.5" customHeight="1" x14ac:dyDescent="0.3">
      <c r="A106" s="172">
        <v>91</v>
      </c>
      <c r="B106" s="57" t="s">
        <v>195</v>
      </c>
      <c r="C106" s="58" t="s">
        <v>128</v>
      </c>
      <c r="D106" s="20"/>
      <c r="E106" s="49"/>
      <c r="F106" s="20">
        <v>2679776914.52</v>
      </c>
      <c r="G106" s="20">
        <v>1561627295.22</v>
      </c>
      <c r="H106" s="20">
        <v>21480000000</v>
      </c>
      <c r="I106" s="70"/>
      <c r="J106" s="20">
        <v>25721404209.740002</v>
      </c>
      <c r="K106" s="20">
        <v>131472123.25</v>
      </c>
      <c r="L106" s="49" t="s">
        <v>219</v>
      </c>
      <c r="M106" s="50">
        <v>97045905.680000007</v>
      </c>
      <c r="N106" s="20">
        <v>25793452551.779999</v>
      </c>
      <c r="O106" s="20">
        <v>100057304.98999999</v>
      </c>
      <c r="P106" s="30">
        <v>25638262209.029999</v>
      </c>
      <c r="Q106" s="23">
        <f t="shared" si="83"/>
        <v>0.56365233880909715</v>
      </c>
      <c r="R106" s="30">
        <v>25693395246.790001</v>
      </c>
      <c r="S106" s="23">
        <f t="shared" si="84"/>
        <v>0.56314695643589208</v>
      </c>
      <c r="T106" s="24">
        <f>((R106-P106)/P106)</f>
        <v>2.1504202317029057E-3</v>
      </c>
      <c r="U106" s="59">
        <f>(L106/R106)</f>
        <v>1.3398858827075816E-3</v>
      </c>
      <c r="V106" s="25">
        <f>M106/R106</f>
        <v>3.7770759663273549E-3</v>
      </c>
      <c r="W106" s="26">
        <f>R106/AE106</f>
        <v>9.6292354452164606</v>
      </c>
      <c r="X106" s="26">
        <f>M106/AE106</f>
        <v>3.6370353774234573E-2</v>
      </c>
      <c r="Y106" s="86">
        <v>9.6199999999999992</v>
      </c>
      <c r="Z106" s="86">
        <v>9.6199999999999992</v>
      </c>
      <c r="AA106" s="27">
        <v>28836</v>
      </c>
      <c r="AB106" s="27">
        <v>2668269500</v>
      </c>
      <c r="AC106" s="27">
        <v>0</v>
      </c>
      <c r="AD106" s="27">
        <v>0</v>
      </c>
      <c r="AE106" s="150">
        <v>2668269500</v>
      </c>
      <c r="AF106" s="5"/>
      <c r="AG106" s="5"/>
      <c r="AH106" s="5"/>
      <c r="AI106" s="5"/>
      <c r="AJ106" s="6"/>
      <c r="AK106" s="4"/>
      <c r="AL106" s="5"/>
      <c r="AM106" s="5"/>
      <c r="AN106" s="5"/>
      <c r="AO106" s="6"/>
      <c r="AP106" s="4"/>
      <c r="AQ106" s="5"/>
      <c r="AR106" s="5"/>
      <c r="AS106" s="5"/>
      <c r="AT106" s="6"/>
    </row>
    <row r="107" spans="1:256" ht="16.5" customHeight="1" x14ac:dyDescent="0.3">
      <c r="A107" s="172">
        <v>92</v>
      </c>
      <c r="B107" s="58" t="s">
        <v>29</v>
      </c>
      <c r="C107" s="58" t="s">
        <v>129</v>
      </c>
      <c r="D107" s="20"/>
      <c r="E107" s="49"/>
      <c r="F107" s="20">
        <v>6957425458</v>
      </c>
      <c r="G107" s="181"/>
      <c r="H107" s="20"/>
      <c r="I107" s="70"/>
      <c r="J107" s="20">
        <v>7827234470</v>
      </c>
      <c r="K107" s="20">
        <v>61889552</v>
      </c>
      <c r="L107" s="70">
        <v>15860007</v>
      </c>
      <c r="M107" s="50">
        <v>46029545</v>
      </c>
      <c r="N107" s="20">
        <v>7827234470</v>
      </c>
      <c r="O107" s="20">
        <v>269395347</v>
      </c>
      <c r="P107" s="30">
        <v>7511812185</v>
      </c>
      <c r="Q107" s="23">
        <f t="shared" si="83"/>
        <v>0.16514576815891438</v>
      </c>
      <c r="R107" s="30">
        <v>7557839123</v>
      </c>
      <c r="S107" s="23">
        <f t="shared" si="84"/>
        <v>0.16565245887000107</v>
      </c>
      <c r="T107" s="24">
        <f>((R107-P107)/P107)</f>
        <v>6.1272748660981067E-3</v>
      </c>
      <c r="U107" s="59">
        <f>(L107/R107)</f>
        <v>2.0984843341974374E-3</v>
      </c>
      <c r="V107" s="25">
        <f>M107/R107</f>
        <v>6.0903049470744869E-3</v>
      </c>
      <c r="W107" s="26">
        <f>R107/AE107</f>
        <v>101.92635364801079</v>
      </c>
      <c r="X107" s="26">
        <f>M107/AE107</f>
        <v>0.62076257585974381</v>
      </c>
      <c r="Y107" s="86">
        <v>101.31</v>
      </c>
      <c r="Z107" s="86">
        <v>101.31</v>
      </c>
      <c r="AA107" s="27">
        <v>57</v>
      </c>
      <c r="AB107" s="27">
        <v>74150000</v>
      </c>
      <c r="AC107" s="27">
        <v>0</v>
      </c>
      <c r="AD107" s="27">
        <v>0</v>
      </c>
      <c r="AE107" s="215">
        <v>74150000</v>
      </c>
      <c r="AF107" s="5"/>
      <c r="AG107" s="5"/>
      <c r="AH107" s="5"/>
      <c r="AI107" s="5"/>
      <c r="AJ107" s="6"/>
      <c r="AK107" s="4"/>
      <c r="AL107" s="5"/>
      <c r="AM107" s="5"/>
      <c r="AN107" s="5"/>
      <c r="AO107" s="6"/>
      <c r="AP107" s="4"/>
      <c r="AQ107" s="5"/>
      <c r="AR107" s="5"/>
      <c r="AS107" s="5"/>
      <c r="AT107" s="6"/>
    </row>
    <row r="108" spans="1:256" ht="16.5" customHeight="1" x14ac:dyDescent="0.3">
      <c r="A108" s="119"/>
      <c r="B108" s="44"/>
      <c r="C108" s="35" t="s">
        <v>52</v>
      </c>
      <c r="D108" s="36"/>
      <c r="E108" s="36"/>
      <c r="F108" s="36">
        <f>SUM(F104:F107)</f>
        <v>9637202372.5200005</v>
      </c>
      <c r="G108" s="36">
        <f>SUM(G104:G107)</f>
        <v>2277134009.3699999</v>
      </c>
      <c r="H108" s="36">
        <f t="shared" ref="H108:J108" si="85">SUM(H104:H107)</f>
        <v>33232448627.400002</v>
      </c>
      <c r="I108" s="36">
        <f t="shared" si="85"/>
        <v>0</v>
      </c>
      <c r="J108" s="36">
        <f t="shared" si="85"/>
        <v>46192206106.840004</v>
      </c>
      <c r="K108" s="36">
        <f>SUM(K104:K107)</f>
        <v>254522717.55000001</v>
      </c>
      <c r="L108" s="36">
        <f t="shared" ref="L108" si="86">SUM(L104:L107)</f>
        <v>39459090.329999998</v>
      </c>
      <c r="M108" s="36">
        <f t="shared" ref="M108" si="87">SUM(M104:M107)</f>
        <v>180637409.65000001</v>
      </c>
      <c r="N108" s="36">
        <f t="shared" ref="N108" si="88">SUM(N104:N107)</f>
        <v>47390532182.550003</v>
      </c>
      <c r="O108" s="36">
        <f>SUM(O104:O107)</f>
        <v>1765860053.53</v>
      </c>
      <c r="P108" s="37">
        <f>SUM(P104:P107)</f>
        <v>45485950192.629997</v>
      </c>
      <c r="Q108" s="88">
        <f>(P108/$P$150)</f>
        <v>3.2197139075559753E-2</v>
      </c>
      <c r="R108" s="37">
        <f>SUM(R104:R107)</f>
        <v>45624672127.150002</v>
      </c>
      <c r="S108" s="88">
        <f>(R108/$R$150)</f>
        <v>3.2409910715882957E-2</v>
      </c>
      <c r="T108" s="38">
        <f>((R108-P108)/P108)</f>
        <v>3.0497754566525715E-3</v>
      </c>
      <c r="U108" s="51"/>
      <c r="V108" s="39"/>
      <c r="W108" s="40"/>
      <c r="X108" s="40"/>
      <c r="Y108" s="36"/>
      <c r="Z108" s="36"/>
      <c r="AA108" s="41">
        <f>SUM(AA104:AA107)</f>
        <v>36819</v>
      </c>
      <c r="AB108" s="41"/>
      <c r="AC108" s="41"/>
      <c r="AD108" s="41"/>
      <c r="AE108" s="113"/>
      <c r="AF108" s="5"/>
      <c r="AG108" s="5"/>
      <c r="AH108" s="5"/>
      <c r="AI108" s="5"/>
      <c r="AJ108" s="6"/>
      <c r="AK108" s="4"/>
      <c r="AL108" s="5"/>
      <c r="AM108" s="5"/>
      <c r="AN108" s="5"/>
      <c r="AO108" s="6"/>
      <c r="AP108" s="4"/>
      <c r="AQ108" s="5"/>
      <c r="AR108" s="5"/>
      <c r="AS108" s="5"/>
      <c r="AT108" s="6"/>
    </row>
    <row r="109" spans="1:256" ht="16.5" customHeight="1" x14ac:dyDescent="0.3">
      <c r="A109" s="203" t="s">
        <v>183</v>
      </c>
      <c r="B109" s="201"/>
      <c r="C109" s="201"/>
      <c r="D109" s="45"/>
      <c r="E109" s="45"/>
      <c r="F109" s="45"/>
      <c r="G109" s="45"/>
      <c r="H109" s="45"/>
      <c r="I109" s="45"/>
      <c r="J109" s="45"/>
      <c r="K109" s="45"/>
      <c r="L109" s="45"/>
      <c r="M109" s="166"/>
      <c r="N109" s="45"/>
      <c r="O109" s="45"/>
      <c r="P109" s="45"/>
      <c r="Q109" s="24"/>
      <c r="R109" s="45"/>
      <c r="S109" s="24"/>
      <c r="T109" s="24"/>
      <c r="U109" s="24"/>
      <c r="V109" s="46"/>
      <c r="W109" s="47"/>
      <c r="X109" s="47"/>
      <c r="Y109" s="45"/>
      <c r="Z109" s="45"/>
      <c r="AA109" s="45"/>
      <c r="AB109" s="45"/>
      <c r="AC109" s="45"/>
      <c r="AD109" s="45"/>
      <c r="AE109" s="116"/>
      <c r="AF109" s="5"/>
      <c r="AG109" s="5"/>
      <c r="AH109" s="5"/>
      <c r="AI109" s="5"/>
      <c r="AJ109" s="6"/>
      <c r="AK109" s="4"/>
      <c r="AL109" s="5"/>
      <c r="AM109" s="5"/>
      <c r="AN109" s="5"/>
      <c r="AO109" s="6"/>
      <c r="AP109" s="4"/>
      <c r="AQ109" s="5"/>
      <c r="AR109" s="5"/>
      <c r="AS109" s="5"/>
      <c r="AT109" s="6"/>
    </row>
    <row r="110" spans="1:256" s="192" customFormat="1" ht="16.5" customHeight="1" x14ac:dyDescent="0.3">
      <c r="A110" s="172">
        <v>93</v>
      </c>
      <c r="B110" s="58" t="s">
        <v>23</v>
      </c>
      <c r="C110" s="58" t="s">
        <v>130</v>
      </c>
      <c r="D110" s="20">
        <v>959860873.20000005</v>
      </c>
      <c r="E110" s="20"/>
      <c r="F110" s="20">
        <v>392558906.91000003</v>
      </c>
      <c r="G110" s="20">
        <v>340109254.35000002</v>
      </c>
      <c r="H110" s="29"/>
      <c r="I110" s="28"/>
      <c r="J110" s="28">
        <v>1703711283.8599999</v>
      </c>
      <c r="K110" s="28">
        <v>20283776.879999999</v>
      </c>
      <c r="L110" s="20">
        <v>5626128.6299999999</v>
      </c>
      <c r="M110" s="152">
        <v>63203859.399999999</v>
      </c>
      <c r="N110" s="20">
        <v>1756233628.3099999</v>
      </c>
      <c r="O110" s="20">
        <v>4292854.16</v>
      </c>
      <c r="P110" s="81">
        <v>1678022392.97</v>
      </c>
      <c r="Q110" s="23">
        <f t="shared" ref="Q110:Q132" si="89">(P110/$P$150)</f>
        <v>1.1877848023302952E-3</v>
      </c>
      <c r="R110" s="81">
        <v>1751940774.1500001</v>
      </c>
      <c r="S110" s="23">
        <f t="shared" ref="S110:S131" si="90">(R110/$R$132)</f>
        <v>5.673510297923709E-2</v>
      </c>
      <c r="T110" s="24">
        <f t="shared" ref="T110:T132" si="91">((R110-P110)/P110)</f>
        <v>4.4050890792445813E-2</v>
      </c>
      <c r="U110" s="59">
        <f t="shared" ref="U110:U128" si="92">(L110/R110)</f>
        <v>3.2113691929623951E-3</v>
      </c>
      <c r="V110" s="25">
        <f t="shared" ref="V110:V131" si="93">M110/R110</f>
        <v>3.6076481769576375E-2</v>
      </c>
      <c r="W110" s="26">
        <f t="shared" ref="W110:W131" si="94">R110/AE110</f>
        <v>3686.7840866075067</v>
      </c>
      <c r="X110" s="26">
        <f>M110/AE110</f>
        <v>133.00619888885998</v>
      </c>
      <c r="Y110" s="20">
        <v>3660.02</v>
      </c>
      <c r="Z110" s="20">
        <v>3701.43</v>
      </c>
      <c r="AA110" s="27">
        <v>1396</v>
      </c>
      <c r="AB110" s="27">
        <v>472258.47</v>
      </c>
      <c r="AC110" s="27">
        <v>6695.24</v>
      </c>
      <c r="AD110" s="27">
        <v>3758.87</v>
      </c>
      <c r="AE110" s="150">
        <f>(AB110+AC110)-AD110</f>
        <v>475194.83999999997</v>
      </c>
      <c r="AF110" s="190"/>
      <c r="AG110" s="190"/>
      <c r="AH110" s="190"/>
      <c r="AI110" s="190"/>
      <c r="AJ110" s="191"/>
      <c r="AK110" s="189"/>
      <c r="AL110" s="190"/>
      <c r="AM110" s="190"/>
      <c r="AN110" s="190"/>
      <c r="AO110" s="191"/>
      <c r="AP110" s="189"/>
      <c r="AQ110" s="190"/>
      <c r="AR110" s="190"/>
      <c r="AS110" s="190"/>
      <c r="AT110" s="191"/>
      <c r="AU110" s="75"/>
      <c r="AV110" s="75"/>
      <c r="AW110" s="75"/>
      <c r="AX110" s="75"/>
      <c r="AY110" s="75"/>
      <c r="AZ110" s="75"/>
      <c r="BA110" s="75"/>
      <c r="BB110" s="75"/>
      <c r="BC110" s="75"/>
      <c r="BD110" s="75"/>
      <c r="BE110" s="75"/>
      <c r="BF110" s="75"/>
      <c r="BG110" s="75"/>
      <c r="BH110" s="75"/>
      <c r="BI110" s="75"/>
      <c r="BJ110" s="75"/>
      <c r="BK110" s="75"/>
      <c r="BL110" s="75"/>
      <c r="BM110" s="75"/>
      <c r="BN110" s="75"/>
      <c r="BO110" s="75"/>
      <c r="BP110" s="75"/>
      <c r="BQ110" s="75"/>
      <c r="BR110" s="75"/>
      <c r="BS110" s="75"/>
      <c r="BT110" s="75"/>
      <c r="BU110" s="75"/>
      <c r="BV110" s="75"/>
      <c r="BW110" s="75"/>
      <c r="BX110" s="75"/>
      <c r="BY110" s="75"/>
      <c r="BZ110" s="75"/>
      <c r="CA110" s="75"/>
      <c r="CB110" s="75"/>
      <c r="CC110" s="75"/>
      <c r="CD110" s="75"/>
      <c r="CE110" s="75"/>
      <c r="CF110" s="75"/>
      <c r="CG110" s="75"/>
      <c r="CH110" s="75"/>
      <c r="CI110" s="75"/>
      <c r="CJ110" s="75"/>
      <c r="CK110" s="75"/>
      <c r="CL110" s="75"/>
      <c r="CM110" s="75"/>
      <c r="CN110" s="75"/>
      <c r="CO110" s="75"/>
      <c r="CP110" s="75"/>
      <c r="CQ110" s="75"/>
      <c r="CR110" s="75"/>
      <c r="CS110" s="75"/>
      <c r="CT110" s="75"/>
      <c r="CU110" s="75"/>
      <c r="CV110" s="75"/>
      <c r="CW110" s="75"/>
      <c r="CX110" s="75"/>
      <c r="CY110" s="75"/>
      <c r="CZ110" s="75"/>
      <c r="DA110" s="75"/>
      <c r="DB110" s="75"/>
      <c r="DC110" s="75"/>
      <c r="DD110" s="75"/>
      <c r="DE110" s="75"/>
      <c r="DF110" s="75"/>
      <c r="DG110" s="75"/>
      <c r="DH110" s="75"/>
      <c r="DI110" s="75"/>
      <c r="DJ110" s="75"/>
      <c r="DK110" s="75"/>
      <c r="DL110" s="75"/>
      <c r="DM110" s="75"/>
      <c r="DN110" s="75"/>
      <c r="DO110" s="75"/>
      <c r="DP110" s="75"/>
      <c r="DQ110" s="75"/>
      <c r="DR110" s="75"/>
      <c r="DS110" s="75"/>
      <c r="DT110" s="75"/>
      <c r="DU110" s="75"/>
      <c r="DV110" s="75"/>
      <c r="DW110" s="75"/>
      <c r="DX110" s="75"/>
      <c r="DY110" s="75"/>
      <c r="DZ110" s="75"/>
      <c r="EA110" s="75"/>
      <c r="EB110" s="75"/>
      <c r="EC110" s="75"/>
      <c r="ED110" s="75"/>
      <c r="EE110" s="75"/>
      <c r="EF110" s="75"/>
      <c r="EG110" s="75"/>
      <c r="EH110" s="75"/>
      <c r="EI110" s="75"/>
      <c r="EJ110" s="75"/>
      <c r="EK110" s="75"/>
      <c r="EL110" s="75"/>
      <c r="EM110" s="75"/>
      <c r="EN110" s="75"/>
      <c r="EO110" s="75"/>
      <c r="EP110" s="75"/>
      <c r="EQ110" s="75"/>
      <c r="ER110" s="75"/>
      <c r="ES110" s="75"/>
      <c r="ET110" s="75"/>
      <c r="EU110" s="75"/>
      <c r="EV110" s="75"/>
      <c r="EW110" s="75"/>
      <c r="EX110" s="75"/>
      <c r="EY110" s="75"/>
      <c r="EZ110" s="75"/>
      <c r="FA110" s="75"/>
      <c r="FB110" s="75"/>
      <c r="FC110" s="75"/>
      <c r="FD110" s="75"/>
      <c r="FE110" s="75"/>
      <c r="FF110" s="75"/>
      <c r="FG110" s="75"/>
      <c r="FH110" s="75"/>
      <c r="FI110" s="75"/>
      <c r="FJ110" s="75"/>
      <c r="FK110" s="75"/>
      <c r="FL110" s="75"/>
      <c r="FM110" s="75"/>
      <c r="FN110" s="75"/>
      <c r="FO110" s="75"/>
      <c r="FP110" s="75"/>
      <c r="FQ110" s="75"/>
      <c r="FR110" s="75"/>
      <c r="FS110" s="75"/>
      <c r="FT110" s="75"/>
      <c r="FU110" s="75"/>
      <c r="FV110" s="75"/>
      <c r="FW110" s="75"/>
      <c r="FX110" s="75"/>
      <c r="FY110" s="75"/>
      <c r="FZ110" s="75"/>
      <c r="GA110" s="75"/>
      <c r="GB110" s="75"/>
      <c r="GC110" s="75"/>
      <c r="GD110" s="75"/>
      <c r="GE110" s="75"/>
      <c r="GF110" s="75"/>
      <c r="GG110" s="75"/>
      <c r="GH110" s="75"/>
      <c r="GI110" s="75"/>
      <c r="GJ110" s="75"/>
      <c r="GK110" s="75"/>
      <c r="GL110" s="75"/>
      <c r="GM110" s="75"/>
      <c r="GN110" s="75"/>
      <c r="GO110" s="75"/>
      <c r="GP110" s="75"/>
      <c r="GQ110" s="75"/>
      <c r="GR110" s="75"/>
      <c r="GS110" s="75"/>
      <c r="GT110" s="75"/>
      <c r="GU110" s="75"/>
      <c r="GV110" s="75"/>
      <c r="GW110" s="75"/>
      <c r="GX110" s="75"/>
      <c r="GY110" s="75"/>
      <c r="GZ110" s="75"/>
      <c r="HA110" s="75"/>
      <c r="HB110" s="75"/>
      <c r="HC110" s="75"/>
      <c r="HD110" s="75"/>
      <c r="HE110" s="75"/>
      <c r="HF110" s="75"/>
      <c r="HG110" s="75"/>
      <c r="HH110" s="75"/>
      <c r="HI110" s="75"/>
      <c r="HJ110" s="75"/>
      <c r="HK110" s="75"/>
      <c r="HL110" s="75"/>
      <c r="HM110" s="75"/>
      <c r="HN110" s="75"/>
      <c r="HO110" s="75"/>
      <c r="HP110" s="75"/>
      <c r="HQ110" s="75"/>
      <c r="HR110" s="75"/>
      <c r="HS110" s="75"/>
      <c r="HT110" s="75"/>
      <c r="HU110" s="75"/>
      <c r="HV110" s="75"/>
      <c r="HW110" s="75"/>
      <c r="HX110" s="75"/>
      <c r="HY110" s="75"/>
      <c r="HZ110" s="75"/>
      <c r="IA110" s="75"/>
      <c r="IB110" s="75"/>
      <c r="IC110" s="75"/>
      <c r="ID110" s="75"/>
      <c r="IE110" s="75"/>
      <c r="IF110" s="75"/>
      <c r="IG110" s="75"/>
      <c r="IH110" s="75"/>
      <c r="II110" s="75"/>
      <c r="IJ110" s="75"/>
      <c r="IK110" s="75"/>
      <c r="IL110" s="75"/>
      <c r="IM110" s="75"/>
      <c r="IN110" s="75"/>
      <c r="IO110" s="75"/>
      <c r="IP110" s="75"/>
      <c r="IQ110" s="75"/>
      <c r="IR110" s="75"/>
      <c r="IS110" s="75"/>
      <c r="IT110" s="75"/>
      <c r="IU110" s="75"/>
      <c r="IV110" s="75"/>
    </row>
    <row r="111" spans="1:256" ht="16.5" customHeight="1" x14ac:dyDescent="0.3">
      <c r="A111" s="172">
        <v>94</v>
      </c>
      <c r="B111" s="58" t="s">
        <v>29</v>
      </c>
      <c r="C111" s="58" t="s">
        <v>175</v>
      </c>
      <c r="D111" s="20">
        <v>111381262.90000001</v>
      </c>
      <c r="E111" s="36"/>
      <c r="F111" s="20">
        <v>28730408.02</v>
      </c>
      <c r="G111" s="20">
        <v>53998986.719999999</v>
      </c>
      <c r="H111" s="29"/>
      <c r="I111" s="28"/>
      <c r="J111" s="28">
        <v>201848719.13999999</v>
      </c>
      <c r="K111" s="28">
        <v>3762885.71</v>
      </c>
      <c r="L111" s="20">
        <v>382266.45</v>
      </c>
      <c r="M111" s="152">
        <v>3380619.26</v>
      </c>
      <c r="N111" s="20">
        <v>201848719.13999999</v>
      </c>
      <c r="O111" s="20">
        <v>700214.65</v>
      </c>
      <c r="P111" s="81">
        <v>188249340.50999999</v>
      </c>
      <c r="Q111" s="23">
        <f t="shared" si="89"/>
        <v>1.3325192002397571E-4</v>
      </c>
      <c r="R111" s="81">
        <v>201148504.49000001</v>
      </c>
      <c r="S111" s="23">
        <f t="shared" si="90"/>
        <v>6.5140222116792752E-3</v>
      </c>
      <c r="T111" s="24">
        <f t="shared" si="91"/>
        <v>6.8521695454836412E-2</v>
      </c>
      <c r="U111" s="59">
        <f t="shared" si="92"/>
        <v>1.9004190509355947E-3</v>
      </c>
      <c r="V111" s="25">
        <f t="shared" si="93"/>
        <v>1.6806584113420866E-2</v>
      </c>
      <c r="W111" s="26">
        <f t="shared" si="94"/>
        <v>153.53038707996504</v>
      </c>
      <c r="X111" s="26">
        <f t="shared" ref="X111:X131" si="95">M111/AE111</f>
        <v>2.5803213644254965</v>
      </c>
      <c r="Y111" s="20">
        <v>142.77000000000001</v>
      </c>
      <c r="Z111" s="20">
        <v>144.4</v>
      </c>
      <c r="AA111" s="27">
        <v>719</v>
      </c>
      <c r="AB111" s="27">
        <v>1309475.3500000001</v>
      </c>
      <c r="AC111" s="27">
        <v>679</v>
      </c>
      <c r="AD111" s="27">
        <v>0</v>
      </c>
      <c r="AE111" s="111">
        <f>(AB111+AC111)-AD111</f>
        <v>1310154.3500000001</v>
      </c>
      <c r="AF111" s="5"/>
      <c r="AG111" s="5"/>
      <c r="AH111" s="5"/>
      <c r="AI111" s="5"/>
      <c r="AJ111" s="6"/>
      <c r="AK111" s="4"/>
      <c r="AL111" s="5"/>
      <c r="AM111" s="5"/>
      <c r="AN111" s="5"/>
      <c r="AO111" s="6"/>
      <c r="AP111" s="4"/>
      <c r="AQ111" s="5"/>
      <c r="AR111" s="5"/>
      <c r="AS111" s="5"/>
      <c r="AT111" s="6"/>
      <c r="AU111" s="18"/>
      <c r="AV111" s="18"/>
      <c r="AW111" s="18"/>
      <c r="AX111" s="18"/>
      <c r="AY111" s="18"/>
      <c r="AZ111" s="18"/>
      <c r="BA111" s="18"/>
      <c r="BB111" s="18"/>
      <c r="BC111" s="18"/>
      <c r="BD111" s="18"/>
      <c r="BE111" s="18"/>
      <c r="BF111" s="18"/>
      <c r="BG111" s="18"/>
      <c r="BH111" s="18"/>
      <c r="BI111" s="18"/>
      <c r="BJ111" s="18"/>
      <c r="BK111" s="18"/>
      <c r="BL111" s="18"/>
      <c r="BM111" s="18"/>
      <c r="BN111" s="18"/>
      <c r="BO111" s="18"/>
      <c r="BP111" s="18"/>
      <c r="BQ111" s="18"/>
      <c r="BR111" s="18"/>
      <c r="BS111" s="18"/>
      <c r="BT111" s="18"/>
      <c r="BU111" s="18"/>
      <c r="BV111" s="18"/>
      <c r="BW111" s="18"/>
      <c r="BX111" s="18"/>
      <c r="BY111" s="18"/>
      <c r="BZ111" s="18"/>
      <c r="CA111" s="18"/>
      <c r="CB111" s="18"/>
      <c r="CC111" s="18"/>
      <c r="CD111" s="18"/>
      <c r="CE111" s="18"/>
      <c r="CF111" s="18"/>
      <c r="CG111" s="18"/>
      <c r="CH111" s="18"/>
      <c r="CI111" s="18"/>
      <c r="CJ111" s="18"/>
      <c r="CK111" s="18"/>
      <c r="CL111" s="18"/>
      <c r="CM111" s="18"/>
      <c r="CN111" s="18"/>
      <c r="CO111" s="18"/>
      <c r="CP111" s="18"/>
      <c r="CQ111" s="18"/>
      <c r="CR111" s="18"/>
      <c r="CS111" s="18"/>
      <c r="CT111" s="18"/>
      <c r="CU111" s="18"/>
      <c r="CV111" s="18"/>
      <c r="CW111" s="18"/>
      <c r="CX111" s="18"/>
      <c r="CY111" s="18"/>
      <c r="CZ111" s="18"/>
      <c r="DA111" s="18"/>
      <c r="DB111" s="18"/>
      <c r="DC111" s="18"/>
      <c r="DD111" s="18"/>
      <c r="DE111" s="18"/>
      <c r="DF111" s="18"/>
      <c r="DG111" s="18"/>
      <c r="DH111" s="18"/>
      <c r="DI111" s="18"/>
      <c r="DJ111" s="18"/>
      <c r="DK111" s="18"/>
      <c r="DL111" s="18"/>
      <c r="DM111" s="18"/>
      <c r="DN111" s="18"/>
      <c r="DO111" s="18"/>
      <c r="DP111" s="18"/>
      <c r="DQ111" s="18"/>
      <c r="DR111" s="18"/>
      <c r="DS111" s="18"/>
      <c r="DT111" s="18"/>
      <c r="DU111" s="18"/>
      <c r="DV111" s="18"/>
      <c r="DW111" s="18"/>
      <c r="DX111" s="18"/>
      <c r="DY111" s="18"/>
      <c r="DZ111" s="18"/>
      <c r="EA111" s="18"/>
      <c r="EB111" s="18"/>
      <c r="EC111" s="18"/>
      <c r="ED111" s="18"/>
      <c r="EE111" s="18"/>
      <c r="EF111" s="18"/>
      <c r="EG111" s="18"/>
      <c r="EH111" s="18"/>
      <c r="EI111" s="18"/>
      <c r="EJ111" s="18"/>
      <c r="EK111" s="18"/>
      <c r="EL111" s="18"/>
      <c r="EM111" s="18"/>
      <c r="EN111" s="18"/>
      <c r="EO111" s="18"/>
      <c r="EP111" s="18"/>
      <c r="EQ111" s="18"/>
      <c r="ER111" s="18"/>
      <c r="ES111" s="18"/>
      <c r="ET111" s="18"/>
      <c r="EU111" s="18"/>
      <c r="EV111" s="18"/>
      <c r="EW111" s="18"/>
      <c r="EX111" s="18"/>
      <c r="EY111" s="18"/>
      <c r="EZ111" s="18"/>
      <c r="FA111" s="18"/>
      <c r="FB111" s="18"/>
      <c r="FC111" s="18"/>
      <c r="FD111" s="18"/>
      <c r="FE111" s="18"/>
      <c r="FF111" s="18"/>
      <c r="FG111" s="18"/>
      <c r="FH111" s="18"/>
      <c r="FI111" s="18"/>
      <c r="FJ111" s="18"/>
      <c r="FK111" s="18"/>
      <c r="FL111" s="18"/>
      <c r="FM111" s="18"/>
      <c r="FN111" s="18"/>
      <c r="FO111" s="18"/>
      <c r="FP111" s="18"/>
      <c r="FQ111" s="18"/>
      <c r="FR111" s="18"/>
      <c r="FS111" s="18"/>
      <c r="FT111" s="18"/>
      <c r="FU111" s="18"/>
      <c r="FV111" s="18"/>
      <c r="FW111" s="18"/>
      <c r="FX111" s="18"/>
      <c r="FY111" s="18"/>
      <c r="FZ111" s="18"/>
      <c r="GA111" s="18"/>
      <c r="GB111" s="18"/>
      <c r="GC111" s="18"/>
      <c r="GD111" s="18"/>
      <c r="GE111" s="18"/>
      <c r="GF111" s="18"/>
      <c r="GG111" s="18"/>
      <c r="GH111" s="18"/>
      <c r="GI111" s="18"/>
      <c r="GJ111" s="18"/>
      <c r="GK111" s="18"/>
      <c r="GL111" s="18"/>
      <c r="GM111" s="18"/>
      <c r="GN111" s="18"/>
      <c r="GO111" s="18"/>
      <c r="GP111" s="18"/>
      <c r="GQ111" s="18"/>
      <c r="GR111" s="18"/>
      <c r="GS111" s="18"/>
      <c r="GT111" s="18"/>
      <c r="GU111" s="18"/>
      <c r="GV111" s="18"/>
      <c r="GW111" s="18"/>
      <c r="GX111" s="18"/>
      <c r="GY111" s="18"/>
      <c r="GZ111" s="18"/>
      <c r="HA111" s="18"/>
      <c r="HB111" s="18"/>
      <c r="HC111" s="18"/>
      <c r="HD111" s="18"/>
      <c r="HE111" s="18"/>
      <c r="HF111" s="18"/>
      <c r="HG111" s="18"/>
      <c r="HH111" s="18"/>
      <c r="HI111" s="18"/>
      <c r="HJ111" s="18"/>
      <c r="HK111" s="18"/>
      <c r="HL111" s="18"/>
      <c r="HM111" s="18"/>
      <c r="HN111" s="18"/>
      <c r="HO111" s="18"/>
      <c r="HP111" s="18"/>
      <c r="HQ111" s="18"/>
      <c r="HR111" s="18"/>
      <c r="HS111" s="18"/>
      <c r="HT111" s="18"/>
      <c r="HU111" s="18"/>
      <c r="HV111" s="18"/>
      <c r="HW111" s="18"/>
      <c r="HX111" s="18"/>
      <c r="HY111" s="18"/>
      <c r="HZ111" s="18"/>
      <c r="IA111" s="18"/>
      <c r="IB111" s="18"/>
      <c r="IC111" s="18"/>
      <c r="ID111" s="18"/>
      <c r="IE111" s="18"/>
      <c r="IF111" s="18"/>
      <c r="IG111" s="18"/>
      <c r="IH111" s="18"/>
      <c r="II111" s="18"/>
      <c r="IJ111" s="18"/>
      <c r="IK111" s="18"/>
      <c r="IL111" s="18"/>
      <c r="IM111" s="18"/>
      <c r="IN111" s="18"/>
      <c r="IO111" s="18"/>
      <c r="IP111" s="18"/>
      <c r="IQ111" s="18"/>
      <c r="IR111" s="18"/>
      <c r="IS111" s="18"/>
      <c r="IT111" s="18"/>
      <c r="IU111" s="18"/>
      <c r="IV111" s="18"/>
    </row>
    <row r="112" spans="1:256" s="192" customFormat="1" ht="16.5" customHeight="1" x14ac:dyDescent="0.3">
      <c r="A112" s="172">
        <v>95</v>
      </c>
      <c r="B112" s="58" t="s">
        <v>33</v>
      </c>
      <c r="C112" s="58" t="s">
        <v>131</v>
      </c>
      <c r="D112" s="20">
        <v>500493339.89999998</v>
      </c>
      <c r="E112" s="20"/>
      <c r="F112" s="20">
        <v>9483303</v>
      </c>
      <c r="G112" s="20">
        <v>299276950</v>
      </c>
      <c r="H112" s="29"/>
      <c r="I112" s="28"/>
      <c r="J112" s="28">
        <v>809253592</v>
      </c>
      <c r="K112" s="28">
        <v>15774251</v>
      </c>
      <c r="L112" s="20">
        <v>1797645</v>
      </c>
      <c r="M112" s="152">
        <v>26519569</v>
      </c>
      <c r="N112" s="20">
        <v>1036164163</v>
      </c>
      <c r="O112" s="20">
        <v>12086894</v>
      </c>
      <c r="P112" s="81">
        <v>1000312411.23</v>
      </c>
      <c r="Q112" s="23">
        <f t="shared" si="89"/>
        <v>7.080691441419928E-4</v>
      </c>
      <c r="R112" s="81">
        <v>1024077268.39</v>
      </c>
      <c r="S112" s="23">
        <f t="shared" si="90"/>
        <v>3.316386611812934E-2</v>
      </c>
      <c r="T112" s="24">
        <f t="shared" si="91"/>
        <v>2.3757435070487949E-2</v>
      </c>
      <c r="U112" s="59">
        <f t="shared" si="92"/>
        <v>1.7553802388624075E-3</v>
      </c>
      <c r="V112" s="25">
        <f t="shared" si="93"/>
        <v>2.5896062551698528E-2</v>
      </c>
      <c r="W112" s="26">
        <f t="shared" si="94"/>
        <v>1.4688870403202363</v>
      </c>
      <c r="X112" s="26">
        <f t="shared" si="95"/>
        <v>3.8038390677512156E-2</v>
      </c>
      <c r="Y112" s="20">
        <v>1.47</v>
      </c>
      <c r="Z112" s="20">
        <v>1.49</v>
      </c>
      <c r="AA112" s="27">
        <v>1309</v>
      </c>
      <c r="AB112" s="27">
        <v>655554129</v>
      </c>
      <c r="AC112" s="27">
        <v>44656766</v>
      </c>
      <c r="AD112" s="27">
        <v>3031847</v>
      </c>
      <c r="AE112" s="111">
        <v>697179048</v>
      </c>
      <c r="AF112" s="190"/>
      <c r="AG112" s="190"/>
      <c r="AH112" s="190"/>
      <c r="AI112" s="190"/>
      <c r="AJ112" s="191"/>
      <c r="AK112" s="189"/>
      <c r="AL112" s="190"/>
      <c r="AM112" s="190"/>
      <c r="AN112" s="190"/>
      <c r="AO112" s="191"/>
      <c r="AP112" s="189"/>
      <c r="AQ112" s="190"/>
      <c r="AR112" s="190"/>
      <c r="AS112" s="190"/>
      <c r="AT112" s="191"/>
      <c r="AU112" s="75"/>
      <c r="AV112" s="75"/>
      <c r="AW112" s="75"/>
      <c r="AX112" s="75"/>
      <c r="AY112" s="75"/>
      <c r="AZ112" s="75"/>
      <c r="BA112" s="75"/>
      <c r="BB112" s="75"/>
      <c r="BC112" s="75"/>
      <c r="BD112" s="75"/>
      <c r="BE112" s="75"/>
      <c r="BF112" s="75"/>
      <c r="BG112" s="75"/>
      <c r="BH112" s="75"/>
      <c r="BI112" s="75"/>
      <c r="BJ112" s="75"/>
      <c r="BK112" s="75"/>
      <c r="BL112" s="75"/>
      <c r="BM112" s="75"/>
      <c r="BN112" s="75"/>
      <c r="BO112" s="75"/>
      <c r="BP112" s="75"/>
      <c r="BQ112" s="75"/>
      <c r="BR112" s="75"/>
      <c r="BS112" s="75"/>
      <c r="BT112" s="75"/>
      <c r="BU112" s="75"/>
      <c r="BV112" s="75"/>
      <c r="BW112" s="75"/>
      <c r="BX112" s="75"/>
      <c r="BY112" s="75"/>
      <c r="BZ112" s="75"/>
      <c r="CA112" s="75"/>
      <c r="CB112" s="75"/>
      <c r="CC112" s="75"/>
      <c r="CD112" s="75"/>
      <c r="CE112" s="75"/>
      <c r="CF112" s="75"/>
      <c r="CG112" s="75"/>
      <c r="CH112" s="75"/>
      <c r="CI112" s="75"/>
      <c r="CJ112" s="75"/>
      <c r="CK112" s="75"/>
      <c r="CL112" s="75"/>
      <c r="CM112" s="75"/>
      <c r="CN112" s="75"/>
      <c r="CO112" s="75"/>
      <c r="CP112" s="75"/>
      <c r="CQ112" s="75"/>
      <c r="CR112" s="75"/>
      <c r="CS112" s="75"/>
      <c r="CT112" s="75"/>
      <c r="CU112" s="75"/>
      <c r="CV112" s="75"/>
      <c r="CW112" s="75"/>
      <c r="CX112" s="75"/>
      <c r="CY112" s="75"/>
      <c r="CZ112" s="75"/>
      <c r="DA112" s="75"/>
      <c r="DB112" s="75"/>
      <c r="DC112" s="75"/>
      <c r="DD112" s="75"/>
      <c r="DE112" s="75"/>
      <c r="DF112" s="75"/>
      <c r="DG112" s="75"/>
      <c r="DH112" s="75"/>
      <c r="DI112" s="75"/>
      <c r="DJ112" s="75"/>
      <c r="DK112" s="75"/>
      <c r="DL112" s="75"/>
      <c r="DM112" s="75"/>
      <c r="DN112" s="75"/>
      <c r="DO112" s="75"/>
      <c r="DP112" s="75"/>
      <c r="DQ112" s="75"/>
      <c r="DR112" s="75"/>
      <c r="DS112" s="75"/>
      <c r="DT112" s="75"/>
      <c r="DU112" s="75"/>
      <c r="DV112" s="75"/>
      <c r="DW112" s="75"/>
      <c r="DX112" s="75"/>
      <c r="DY112" s="75"/>
      <c r="DZ112" s="75"/>
      <c r="EA112" s="75"/>
      <c r="EB112" s="75"/>
      <c r="EC112" s="75"/>
      <c r="ED112" s="75"/>
      <c r="EE112" s="75"/>
      <c r="EF112" s="75"/>
      <c r="EG112" s="75"/>
      <c r="EH112" s="75"/>
      <c r="EI112" s="75"/>
      <c r="EJ112" s="75"/>
      <c r="EK112" s="75"/>
      <c r="EL112" s="75"/>
      <c r="EM112" s="75"/>
      <c r="EN112" s="75"/>
      <c r="EO112" s="75"/>
      <c r="EP112" s="75"/>
      <c r="EQ112" s="75"/>
      <c r="ER112" s="75"/>
      <c r="ES112" s="75"/>
      <c r="ET112" s="75"/>
      <c r="EU112" s="75"/>
      <c r="EV112" s="75"/>
      <c r="EW112" s="75"/>
      <c r="EX112" s="75"/>
      <c r="EY112" s="75"/>
      <c r="EZ112" s="75"/>
      <c r="FA112" s="75"/>
      <c r="FB112" s="75"/>
      <c r="FC112" s="75"/>
      <c r="FD112" s="75"/>
      <c r="FE112" s="75"/>
      <c r="FF112" s="75"/>
      <c r="FG112" s="75"/>
      <c r="FH112" s="75"/>
      <c r="FI112" s="75"/>
      <c r="FJ112" s="75"/>
      <c r="FK112" s="75"/>
      <c r="FL112" s="75"/>
      <c r="FM112" s="75"/>
      <c r="FN112" s="75"/>
      <c r="FO112" s="75"/>
      <c r="FP112" s="75"/>
      <c r="FQ112" s="75"/>
      <c r="FR112" s="75"/>
      <c r="FS112" s="75"/>
      <c r="FT112" s="75"/>
      <c r="FU112" s="75"/>
      <c r="FV112" s="75"/>
      <c r="FW112" s="75"/>
      <c r="FX112" s="75"/>
      <c r="FY112" s="75"/>
      <c r="FZ112" s="75"/>
      <c r="GA112" s="75"/>
      <c r="GB112" s="75"/>
      <c r="GC112" s="75"/>
      <c r="GD112" s="75"/>
      <c r="GE112" s="75"/>
      <c r="GF112" s="75"/>
      <c r="GG112" s="75"/>
      <c r="GH112" s="75"/>
      <c r="GI112" s="75"/>
      <c r="GJ112" s="75"/>
      <c r="GK112" s="75"/>
      <c r="GL112" s="75"/>
      <c r="GM112" s="75"/>
      <c r="GN112" s="75"/>
      <c r="GO112" s="75"/>
      <c r="GP112" s="75"/>
      <c r="GQ112" s="75"/>
      <c r="GR112" s="75"/>
      <c r="GS112" s="75"/>
      <c r="GT112" s="75"/>
      <c r="GU112" s="75"/>
      <c r="GV112" s="75"/>
      <c r="GW112" s="75"/>
      <c r="GX112" s="75"/>
      <c r="GY112" s="75"/>
      <c r="GZ112" s="75"/>
      <c r="HA112" s="75"/>
      <c r="HB112" s="75"/>
      <c r="HC112" s="75"/>
      <c r="HD112" s="75"/>
      <c r="HE112" s="75"/>
      <c r="HF112" s="75"/>
      <c r="HG112" s="75"/>
      <c r="HH112" s="75"/>
      <c r="HI112" s="75"/>
      <c r="HJ112" s="75"/>
      <c r="HK112" s="75"/>
      <c r="HL112" s="75"/>
      <c r="HM112" s="75"/>
      <c r="HN112" s="75"/>
      <c r="HO112" s="75"/>
      <c r="HP112" s="75"/>
      <c r="HQ112" s="75"/>
      <c r="HR112" s="75"/>
      <c r="HS112" s="75"/>
      <c r="HT112" s="75"/>
      <c r="HU112" s="75"/>
      <c r="HV112" s="75"/>
      <c r="HW112" s="75"/>
      <c r="HX112" s="75"/>
      <c r="HY112" s="75"/>
      <c r="HZ112" s="75"/>
      <c r="IA112" s="75"/>
      <c r="IB112" s="75"/>
      <c r="IC112" s="75"/>
      <c r="ID112" s="75"/>
      <c r="IE112" s="75"/>
      <c r="IF112" s="75"/>
      <c r="IG112" s="75"/>
      <c r="IH112" s="75"/>
      <c r="II112" s="75"/>
      <c r="IJ112" s="75"/>
      <c r="IK112" s="75"/>
      <c r="IL112" s="75"/>
      <c r="IM112" s="75"/>
      <c r="IN112" s="75"/>
      <c r="IO112" s="75"/>
      <c r="IP112" s="75"/>
      <c r="IQ112" s="75"/>
      <c r="IR112" s="75"/>
      <c r="IS112" s="75"/>
      <c r="IT112" s="75"/>
      <c r="IU112" s="75"/>
      <c r="IV112" s="75"/>
    </row>
    <row r="113" spans="1:256" s="192" customFormat="1" ht="16.5" customHeight="1" x14ac:dyDescent="0.3">
      <c r="A113" s="172">
        <v>96</v>
      </c>
      <c r="B113" s="57" t="s">
        <v>35</v>
      </c>
      <c r="C113" s="58" t="s">
        <v>168</v>
      </c>
      <c r="D113" s="20">
        <v>2927020556.4499998</v>
      </c>
      <c r="E113" s="20"/>
      <c r="F113" s="20">
        <v>98316832.329999998</v>
      </c>
      <c r="G113" s="20">
        <v>521368450.38999999</v>
      </c>
      <c r="H113" s="77">
        <v>62482855.299999997</v>
      </c>
      <c r="I113" s="28"/>
      <c r="J113" s="28">
        <v>3609188694.4699998</v>
      </c>
      <c r="K113" s="28">
        <v>37683635.149999999</v>
      </c>
      <c r="L113" s="20">
        <v>10930575.210000001</v>
      </c>
      <c r="M113" s="152">
        <v>177502069.44</v>
      </c>
      <c r="N113" s="20">
        <v>4994434334</v>
      </c>
      <c r="O113" s="20">
        <v>147969857</v>
      </c>
      <c r="P113" s="81">
        <v>4760317948</v>
      </c>
      <c r="Q113" s="23">
        <f t="shared" si="89"/>
        <v>3.3695815601643307E-3</v>
      </c>
      <c r="R113" s="81">
        <v>4846464477</v>
      </c>
      <c r="S113" s="23">
        <f t="shared" si="90"/>
        <v>0.15694860536664873</v>
      </c>
      <c r="T113" s="24">
        <f t="shared" si="91"/>
        <v>1.8096801503814174E-2</v>
      </c>
      <c r="U113" s="59">
        <f t="shared" si="92"/>
        <v>2.2553709537898262E-3</v>
      </c>
      <c r="V113" s="25">
        <f t="shared" si="93"/>
        <v>3.662506354526613E-2</v>
      </c>
      <c r="W113" s="26">
        <f t="shared" si="94"/>
        <v>500.30979659493664</v>
      </c>
      <c r="X113" s="26">
        <f t="shared" si="95"/>
        <v>18.32387809260873</v>
      </c>
      <c r="Y113" s="20">
        <v>497.80829999999997</v>
      </c>
      <c r="Z113" s="20">
        <v>512.8175</v>
      </c>
      <c r="AA113" s="27">
        <v>1864</v>
      </c>
      <c r="AB113" s="27">
        <v>9875797</v>
      </c>
      <c r="AC113" s="27">
        <v>41438</v>
      </c>
      <c r="AD113" s="27">
        <v>230308</v>
      </c>
      <c r="AE113" s="111">
        <v>9686927</v>
      </c>
      <c r="AF113" s="190"/>
      <c r="AG113" s="190"/>
      <c r="AH113" s="190"/>
      <c r="AI113" s="190"/>
      <c r="AJ113" s="191"/>
      <c r="AK113" s="189"/>
      <c r="AL113" s="190"/>
      <c r="AM113" s="190"/>
      <c r="AN113" s="190"/>
      <c r="AO113" s="191"/>
      <c r="AP113" s="189"/>
      <c r="AQ113" s="190"/>
      <c r="AR113" s="190"/>
      <c r="AS113" s="190"/>
      <c r="AT113" s="191"/>
      <c r="AU113" s="75"/>
      <c r="AV113" s="75"/>
      <c r="AW113" s="75"/>
      <c r="AX113" s="75"/>
      <c r="AY113" s="75"/>
      <c r="AZ113" s="75"/>
      <c r="BA113" s="75"/>
      <c r="BB113" s="75"/>
      <c r="BC113" s="75"/>
      <c r="BD113" s="75"/>
      <c r="BE113" s="75"/>
      <c r="BF113" s="75"/>
      <c r="BG113" s="75"/>
      <c r="BH113" s="75"/>
      <c r="BI113" s="75"/>
      <c r="BJ113" s="75"/>
      <c r="BK113" s="75"/>
      <c r="BL113" s="75"/>
      <c r="BM113" s="75"/>
      <c r="BN113" s="75"/>
      <c r="BO113" s="75"/>
      <c r="BP113" s="75"/>
      <c r="BQ113" s="75"/>
      <c r="BR113" s="75"/>
      <c r="BS113" s="75"/>
      <c r="BT113" s="75"/>
      <c r="BU113" s="75"/>
      <c r="BV113" s="75"/>
      <c r="BW113" s="75"/>
      <c r="BX113" s="75"/>
      <c r="BY113" s="75"/>
      <c r="BZ113" s="75"/>
      <c r="CA113" s="75"/>
      <c r="CB113" s="75"/>
      <c r="CC113" s="75"/>
      <c r="CD113" s="75"/>
      <c r="CE113" s="75"/>
      <c r="CF113" s="75"/>
      <c r="CG113" s="75"/>
      <c r="CH113" s="75"/>
      <c r="CI113" s="75"/>
      <c r="CJ113" s="75"/>
      <c r="CK113" s="75"/>
      <c r="CL113" s="75"/>
      <c r="CM113" s="75"/>
      <c r="CN113" s="75"/>
      <c r="CO113" s="75"/>
      <c r="CP113" s="75"/>
      <c r="CQ113" s="75"/>
      <c r="CR113" s="75"/>
      <c r="CS113" s="75"/>
      <c r="CT113" s="75"/>
      <c r="CU113" s="75"/>
      <c r="CV113" s="75"/>
      <c r="CW113" s="75"/>
      <c r="CX113" s="75"/>
      <c r="CY113" s="75"/>
      <c r="CZ113" s="75"/>
      <c r="DA113" s="75"/>
      <c r="DB113" s="75"/>
      <c r="DC113" s="75"/>
      <c r="DD113" s="75"/>
      <c r="DE113" s="75"/>
      <c r="DF113" s="75"/>
      <c r="DG113" s="75"/>
      <c r="DH113" s="75"/>
      <c r="DI113" s="75"/>
      <c r="DJ113" s="75"/>
      <c r="DK113" s="75"/>
      <c r="DL113" s="75"/>
      <c r="DM113" s="75"/>
      <c r="DN113" s="75"/>
      <c r="DO113" s="75"/>
      <c r="DP113" s="75"/>
      <c r="DQ113" s="75"/>
      <c r="DR113" s="75"/>
      <c r="DS113" s="75"/>
      <c r="DT113" s="75"/>
      <c r="DU113" s="75"/>
      <c r="DV113" s="75"/>
      <c r="DW113" s="75"/>
      <c r="DX113" s="75"/>
      <c r="DY113" s="75"/>
      <c r="DZ113" s="75"/>
      <c r="EA113" s="75"/>
      <c r="EB113" s="75"/>
      <c r="EC113" s="75"/>
      <c r="ED113" s="75"/>
      <c r="EE113" s="75"/>
      <c r="EF113" s="75"/>
      <c r="EG113" s="75"/>
      <c r="EH113" s="75"/>
      <c r="EI113" s="75"/>
      <c r="EJ113" s="75"/>
      <c r="EK113" s="75"/>
      <c r="EL113" s="75"/>
      <c r="EM113" s="75"/>
      <c r="EN113" s="75"/>
      <c r="EO113" s="75"/>
      <c r="EP113" s="75"/>
      <c r="EQ113" s="75"/>
      <c r="ER113" s="75"/>
      <c r="ES113" s="75"/>
      <c r="ET113" s="75"/>
      <c r="EU113" s="75"/>
      <c r="EV113" s="75"/>
      <c r="EW113" s="75"/>
      <c r="EX113" s="75"/>
      <c r="EY113" s="75"/>
      <c r="EZ113" s="75"/>
      <c r="FA113" s="75"/>
      <c r="FB113" s="75"/>
      <c r="FC113" s="75"/>
      <c r="FD113" s="75"/>
      <c r="FE113" s="75"/>
      <c r="FF113" s="75"/>
      <c r="FG113" s="75"/>
      <c r="FH113" s="75"/>
      <c r="FI113" s="75"/>
      <c r="FJ113" s="75"/>
      <c r="FK113" s="75"/>
      <c r="FL113" s="75"/>
      <c r="FM113" s="75"/>
      <c r="FN113" s="75"/>
      <c r="FO113" s="75"/>
      <c r="FP113" s="75"/>
      <c r="FQ113" s="75"/>
      <c r="FR113" s="75"/>
      <c r="FS113" s="75"/>
      <c r="FT113" s="75"/>
      <c r="FU113" s="75"/>
      <c r="FV113" s="75"/>
      <c r="FW113" s="75"/>
      <c r="FX113" s="75"/>
      <c r="FY113" s="75"/>
      <c r="FZ113" s="75"/>
      <c r="GA113" s="75"/>
      <c r="GB113" s="75"/>
      <c r="GC113" s="75"/>
      <c r="GD113" s="75"/>
      <c r="GE113" s="75"/>
      <c r="GF113" s="75"/>
      <c r="GG113" s="75"/>
      <c r="GH113" s="75"/>
      <c r="GI113" s="75"/>
      <c r="GJ113" s="75"/>
      <c r="GK113" s="75"/>
      <c r="GL113" s="75"/>
      <c r="GM113" s="75"/>
      <c r="GN113" s="75"/>
      <c r="GO113" s="75"/>
      <c r="GP113" s="75"/>
      <c r="GQ113" s="75"/>
      <c r="GR113" s="75"/>
      <c r="GS113" s="75"/>
      <c r="GT113" s="75"/>
      <c r="GU113" s="75"/>
      <c r="GV113" s="75"/>
      <c r="GW113" s="75"/>
      <c r="GX113" s="75"/>
      <c r="GY113" s="75"/>
      <c r="GZ113" s="75"/>
      <c r="HA113" s="75"/>
      <c r="HB113" s="75"/>
      <c r="HC113" s="75"/>
      <c r="HD113" s="75"/>
      <c r="HE113" s="75"/>
      <c r="HF113" s="75"/>
      <c r="HG113" s="75"/>
      <c r="HH113" s="75"/>
      <c r="HI113" s="75"/>
      <c r="HJ113" s="75"/>
      <c r="HK113" s="75"/>
      <c r="HL113" s="75"/>
      <c r="HM113" s="75"/>
      <c r="HN113" s="75"/>
      <c r="HO113" s="75"/>
      <c r="HP113" s="75"/>
      <c r="HQ113" s="75"/>
      <c r="HR113" s="75"/>
      <c r="HS113" s="75"/>
      <c r="HT113" s="75"/>
      <c r="HU113" s="75"/>
      <c r="HV113" s="75"/>
      <c r="HW113" s="75"/>
      <c r="HX113" s="75"/>
      <c r="HY113" s="75"/>
      <c r="HZ113" s="75"/>
      <c r="IA113" s="75"/>
      <c r="IB113" s="75"/>
      <c r="IC113" s="75"/>
      <c r="ID113" s="75"/>
      <c r="IE113" s="75"/>
      <c r="IF113" s="75"/>
      <c r="IG113" s="75"/>
      <c r="IH113" s="75"/>
      <c r="II113" s="75"/>
      <c r="IJ113" s="75"/>
      <c r="IK113" s="75"/>
      <c r="IL113" s="75"/>
      <c r="IM113" s="75"/>
      <c r="IN113" s="75"/>
      <c r="IO113" s="75"/>
      <c r="IP113" s="75"/>
      <c r="IQ113" s="75"/>
      <c r="IR113" s="75"/>
      <c r="IS113" s="75"/>
      <c r="IT113" s="75"/>
      <c r="IU113" s="75"/>
      <c r="IV113" s="75"/>
    </row>
    <row r="114" spans="1:256" s="192" customFormat="1" ht="16.5" customHeight="1" x14ac:dyDescent="0.3">
      <c r="A114" s="172">
        <v>97</v>
      </c>
      <c r="B114" s="58" t="s">
        <v>74</v>
      </c>
      <c r="C114" s="58" t="s">
        <v>212</v>
      </c>
      <c r="D114" s="20">
        <v>1155560178.2</v>
      </c>
      <c r="E114" s="20"/>
      <c r="F114" s="20">
        <v>349768099.82999998</v>
      </c>
      <c r="G114" s="20">
        <v>1044353792.73</v>
      </c>
      <c r="H114" s="29"/>
      <c r="I114" s="28"/>
      <c r="J114" s="28">
        <v>2549682070.7600002</v>
      </c>
      <c r="K114" s="28">
        <v>11025956.810000001</v>
      </c>
      <c r="L114" s="20">
        <v>18295459.359999999</v>
      </c>
      <c r="M114" s="152">
        <v>42529186</v>
      </c>
      <c r="N114" s="20">
        <v>2552964473.4400001</v>
      </c>
      <c r="O114" s="20">
        <v>18295459.440000001</v>
      </c>
      <c r="P114" s="81">
        <v>2481196172.3000002</v>
      </c>
      <c r="Q114" s="23">
        <f t="shared" si="89"/>
        <v>1.7563097592766929E-3</v>
      </c>
      <c r="R114" s="81">
        <v>2534669014</v>
      </c>
      <c r="S114" s="23">
        <f t="shared" si="90"/>
        <v>8.2083087310609551E-2</v>
      </c>
      <c r="T114" s="24">
        <f t="shared" si="91"/>
        <v>2.1551234963590953E-2</v>
      </c>
      <c r="U114" s="59">
        <f t="shared" si="92"/>
        <v>7.2180861717829007E-3</v>
      </c>
      <c r="V114" s="25">
        <f t="shared" si="93"/>
        <v>1.6778989984528214E-2</v>
      </c>
      <c r="W114" s="26">
        <f t="shared" si="94"/>
        <v>13.791730962672007</v>
      </c>
      <c r="X114" s="26">
        <f t="shared" si="95"/>
        <v>0.23141131569198126</v>
      </c>
      <c r="Y114" s="20">
        <v>13.461399999999999</v>
      </c>
      <c r="Z114" s="20">
        <v>13.5871</v>
      </c>
      <c r="AA114" s="27">
        <v>6389</v>
      </c>
      <c r="AB114" s="27">
        <v>184320523.15000001</v>
      </c>
      <c r="AC114" s="27">
        <v>0</v>
      </c>
      <c r="AD114" s="27">
        <v>538732.39</v>
      </c>
      <c r="AE114" s="111">
        <v>183781790.75999999</v>
      </c>
      <c r="AF114" s="190"/>
      <c r="AG114" s="190"/>
      <c r="AH114" s="190"/>
      <c r="AI114" s="190"/>
      <c r="AJ114" s="191"/>
      <c r="AK114" s="189"/>
      <c r="AL114" s="190"/>
      <c r="AM114" s="190"/>
      <c r="AN114" s="190"/>
      <c r="AO114" s="191"/>
      <c r="AP114" s="189"/>
      <c r="AQ114" s="190"/>
      <c r="AR114" s="190"/>
      <c r="AS114" s="190"/>
      <c r="AT114" s="191"/>
      <c r="AU114" s="75"/>
      <c r="AV114" s="75"/>
      <c r="AW114" s="75"/>
      <c r="AX114" s="75"/>
      <c r="AY114" s="75"/>
      <c r="AZ114" s="75"/>
      <c r="BA114" s="75"/>
      <c r="BB114" s="75"/>
      <c r="BC114" s="75"/>
      <c r="BD114" s="75"/>
      <c r="BE114" s="75"/>
      <c r="BF114" s="75"/>
      <c r="BG114" s="75"/>
      <c r="BH114" s="75"/>
      <c r="BI114" s="75"/>
      <c r="BJ114" s="75"/>
      <c r="BK114" s="75"/>
      <c r="BL114" s="75"/>
      <c r="BM114" s="75"/>
      <c r="BN114" s="75"/>
      <c r="BO114" s="75"/>
      <c r="BP114" s="75"/>
      <c r="BQ114" s="75"/>
      <c r="BR114" s="75"/>
      <c r="BS114" s="75"/>
      <c r="BT114" s="75"/>
      <c r="BU114" s="75"/>
      <c r="BV114" s="75"/>
      <c r="BW114" s="75"/>
      <c r="BX114" s="75"/>
      <c r="BY114" s="75"/>
      <c r="BZ114" s="75"/>
      <c r="CA114" s="75"/>
      <c r="CB114" s="75"/>
      <c r="CC114" s="75"/>
      <c r="CD114" s="75"/>
      <c r="CE114" s="75"/>
      <c r="CF114" s="75"/>
      <c r="CG114" s="75"/>
      <c r="CH114" s="75"/>
      <c r="CI114" s="75"/>
      <c r="CJ114" s="75"/>
      <c r="CK114" s="75"/>
      <c r="CL114" s="75"/>
      <c r="CM114" s="75"/>
      <c r="CN114" s="75"/>
      <c r="CO114" s="75"/>
      <c r="CP114" s="75"/>
      <c r="CQ114" s="75"/>
      <c r="CR114" s="75"/>
      <c r="CS114" s="75"/>
      <c r="CT114" s="75"/>
      <c r="CU114" s="75"/>
      <c r="CV114" s="75"/>
      <c r="CW114" s="75"/>
      <c r="CX114" s="75"/>
      <c r="CY114" s="75"/>
      <c r="CZ114" s="75"/>
      <c r="DA114" s="75"/>
      <c r="DB114" s="75"/>
      <c r="DC114" s="75"/>
      <c r="DD114" s="75"/>
      <c r="DE114" s="75"/>
      <c r="DF114" s="75"/>
      <c r="DG114" s="75"/>
      <c r="DH114" s="75"/>
      <c r="DI114" s="75"/>
      <c r="DJ114" s="75"/>
      <c r="DK114" s="75"/>
      <c r="DL114" s="75"/>
      <c r="DM114" s="75"/>
      <c r="DN114" s="75"/>
      <c r="DO114" s="75"/>
      <c r="DP114" s="75"/>
      <c r="DQ114" s="75"/>
      <c r="DR114" s="75"/>
      <c r="DS114" s="75"/>
      <c r="DT114" s="75"/>
      <c r="DU114" s="75"/>
      <c r="DV114" s="75"/>
      <c r="DW114" s="75"/>
      <c r="DX114" s="75"/>
      <c r="DY114" s="75"/>
      <c r="DZ114" s="75"/>
      <c r="EA114" s="75"/>
      <c r="EB114" s="75"/>
      <c r="EC114" s="75"/>
      <c r="ED114" s="75"/>
      <c r="EE114" s="75"/>
      <c r="EF114" s="75"/>
      <c r="EG114" s="75"/>
      <c r="EH114" s="75"/>
      <c r="EI114" s="75"/>
      <c r="EJ114" s="75"/>
      <c r="EK114" s="75"/>
      <c r="EL114" s="75"/>
      <c r="EM114" s="75"/>
      <c r="EN114" s="75"/>
      <c r="EO114" s="75"/>
      <c r="EP114" s="75"/>
      <c r="EQ114" s="75"/>
      <c r="ER114" s="75"/>
      <c r="ES114" s="75"/>
      <c r="ET114" s="75"/>
      <c r="EU114" s="75"/>
      <c r="EV114" s="75"/>
      <c r="EW114" s="75"/>
      <c r="EX114" s="75"/>
      <c r="EY114" s="75"/>
      <c r="EZ114" s="75"/>
      <c r="FA114" s="75"/>
      <c r="FB114" s="75"/>
      <c r="FC114" s="75"/>
      <c r="FD114" s="75"/>
      <c r="FE114" s="75"/>
      <c r="FF114" s="75"/>
      <c r="FG114" s="75"/>
      <c r="FH114" s="75"/>
      <c r="FI114" s="75"/>
      <c r="FJ114" s="75"/>
      <c r="FK114" s="75"/>
      <c r="FL114" s="75"/>
      <c r="FM114" s="75"/>
      <c r="FN114" s="75"/>
      <c r="FO114" s="75"/>
      <c r="FP114" s="75"/>
      <c r="FQ114" s="75"/>
      <c r="FR114" s="75"/>
      <c r="FS114" s="75"/>
      <c r="FT114" s="75"/>
      <c r="FU114" s="75"/>
      <c r="FV114" s="75"/>
      <c r="FW114" s="75"/>
      <c r="FX114" s="75"/>
      <c r="FY114" s="75"/>
      <c r="FZ114" s="75"/>
      <c r="GA114" s="75"/>
      <c r="GB114" s="75"/>
      <c r="GC114" s="75"/>
      <c r="GD114" s="75"/>
      <c r="GE114" s="75"/>
      <c r="GF114" s="75"/>
      <c r="GG114" s="75"/>
      <c r="GH114" s="75"/>
      <c r="GI114" s="75"/>
      <c r="GJ114" s="75"/>
      <c r="GK114" s="75"/>
      <c r="GL114" s="75"/>
      <c r="GM114" s="75"/>
      <c r="GN114" s="75"/>
      <c r="GO114" s="75"/>
      <c r="GP114" s="75"/>
      <c r="GQ114" s="75"/>
      <c r="GR114" s="75"/>
      <c r="GS114" s="75"/>
      <c r="GT114" s="75"/>
      <c r="GU114" s="75"/>
      <c r="GV114" s="75"/>
      <c r="GW114" s="75"/>
      <c r="GX114" s="75"/>
      <c r="GY114" s="75"/>
      <c r="GZ114" s="75"/>
      <c r="HA114" s="75"/>
      <c r="HB114" s="75"/>
      <c r="HC114" s="75"/>
      <c r="HD114" s="75"/>
      <c r="HE114" s="75"/>
      <c r="HF114" s="75"/>
      <c r="HG114" s="75"/>
      <c r="HH114" s="75"/>
      <c r="HI114" s="75"/>
      <c r="HJ114" s="75"/>
      <c r="HK114" s="75"/>
      <c r="HL114" s="75"/>
      <c r="HM114" s="75"/>
      <c r="HN114" s="75"/>
      <c r="HO114" s="75"/>
      <c r="HP114" s="75"/>
      <c r="HQ114" s="75"/>
      <c r="HR114" s="75"/>
      <c r="HS114" s="75"/>
      <c r="HT114" s="75"/>
      <c r="HU114" s="75"/>
      <c r="HV114" s="75"/>
      <c r="HW114" s="75"/>
      <c r="HX114" s="75"/>
      <c r="HY114" s="75"/>
      <c r="HZ114" s="75"/>
      <c r="IA114" s="75"/>
      <c r="IB114" s="75"/>
      <c r="IC114" s="75"/>
      <c r="ID114" s="75"/>
      <c r="IE114" s="75"/>
      <c r="IF114" s="75"/>
      <c r="IG114" s="75"/>
      <c r="IH114" s="75"/>
      <c r="II114" s="75"/>
      <c r="IJ114" s="75"/>
      <c r="IK114" s="75"/>
      <c r="IL114" s="75"/>
      <c r="IM114" s="75"/>
      <c r="IN114" s="75"/>
      <c r="IO114" s="75"/>
      <c r="IP114" s="75"/>
      <c r="IQ114" s="75"/>
      <c r="IR114" s="75"/>
      <c r="IS114" s="75"/>
      <c r="IT114" s="75"/>
      <c r="IU114" s="75"/>
      <c r="IV114" s="75"/>
    </row>
    <row r="115" spans="1:256" ht="16.5" customHeight="1" x14ac:dyDescent="0.3">
      <c r="A115" s="172">
        <v>98</v>
      </c>
      <c r="B115" s="57" t="s">
        <v>55</v>
      </c>
      <c r="C115" s="57" t="s">
        <v>134</v>
      </c>
      <c r="D115" s="20">
        <v>1948968147.8800001</v>
      </c>
      <c r="E115" s="20"/>
      <c r="F115" s="20">
        <v>1214230596.3699999</v>
      </c>
      <c r="G115" s="20">
        <v>1125827105.5599999</v>
      </c>
      <c r="H115" s="187"/>
      <c r="I115" s="188"/>
      <c r="J115" s="28">
        <v>4526276779</v>
      </c>
      <c r="K115" s="28">
        <v>22303089.27</v>
      </c>
      <c r="L115" s="20">
        <v>6451495.6699999999</v>
      </c>
      <c r="M115" s="152">
        <v>47450832.5</v>
      </c>
      <c r="N115" s="20">
        <v>4539519023.2399998</v>
      </c>
      <c r="O115" s="20">
        <v>13242244.25</v>
      </c>
      <c r="P115" s="81">
        <v>4360094062.2799997</v>
      </c>
      <c r="Q115" s="23">
        <f t="shared" si="89"/>
        <v>3.0862838813136935E-3</v>
      </c>
      <c r="R115" s="81">
        <v>4526276779</v>
      </c>
      <c r="S115" s="23">
        <f t="shared" si="90"/>
        <v>0.14657960072519416</v>
      </c>
      <c r="T115" s="24">
        <f t="shared" ref="T115:T124" si="96">((R115-P115)/P115)</f>
        <v>3.8114479721361623E-2</v>
      </c>
      <c r="U115" s="59">
        <f t="shared" ref="U115:U124" si="97">(L115/R115)</f>
        <v>1.4253427231697799E-3</v>
      </c>
      <c r="V115" s="25">
        <f>M115/R115</f>
        <v>1.0483413811579462E-2</v>
      </c>
      <c r="W115" s="26">
        <f t="shared" ref="W115:W124" si="98">R115/AE115</f>
        <v>192.79725248189527</v>
      </c>
      <c r="X115" s="26">
        <f t="shared" ref="X115:X120" si="99">M115/AE115</f>
        <v>2.0211733795032738</v>
      </c>
      <c r="Y115" s="20">
        <v>192.8</v>
      </c>
      <c r="Z115" s="20">
        <v>194.17</v>
      </c>
      <c r="AA115" s="27">
        <v>5469</v>
      </c>
      <c r="AB115" s="27">
        <v>23474756.16</v>
      </c>
      <c r="AC115" s="27">
        <v>24523.599999999999</v>
      </c>
      <c r="AD115" s="27">
        <v>22405.89</v>
      </c>
      <c r="AE115" s="111">
        <v>23476873.870000001</v>
      </c>
      <c r="AF115" s="5"/>
      <c r="AG115" s="5"/>
      <c r="AH115" s="5"/>
      <c r="AI115" s="5"/>
      <c r="AJ115" s="6"/>
      <c r="AK115" s="4"/>
      <c r="AL115" s="5"/>
      <c r="AM115" s="5"/>
      <c r="AN115" s="5"/>
      <c r="AO115" s="6"/>
      <c r="AP115" s="4"/>
      <c r="AQ115" s="5"/>
      <c r="AR115" s="5"/>
      <c r="AS115" s="5"/>
      <c r="AT115" s="6"/>
      <c r="AU115" s="18"/>
      <c r="AV115" s="18"/>
      <c r="AW115" s="18"/>
      <c r="AX115" s="18"/>
      <c r="AY115" s="18"/>
      <c r="AZ115" s="18"/>
      <c r="BA115" s="18"/>
      <c r="BB115" s="18"/>
      <c r="BC115" s="18"/>
      <c r="BD115" s="18"/>
      <c r="BE115" s="18"/>
      <c r="BF115" s="18"/>
      <c r="BG115" s="18"/>
      <c r="BH115" s="18"/>
      <c r="BI115" s="18"/>
      <c r="BJ115" s="18"/>
      <c r="BK115" s="18"/>
      <c r="BL115" s="18"/>
      <c r="BM115" s="18"/>
      <c r="BN115" s="18"/>
      <c r="BO115" s="18"/>
      <c r="BP115" s="18"/>
      <c r="BQ115" s="18"/>
      <c r="BR115" s="18"/>
      <c r="BS115" s="18"/>
      <c r="BT115" s="18"/>
      <c r="BU115" s="18"/>
      <c r="BV115" s="18"/>
      <c r="BW115" s="18"/>
      <c r="BX115" s="18"/>
      <c r="BY115" s="18"/>
      <c r="BZ115" s="18"/>
      <c r="CA115" s="18"/>
      <c r="CB115" s="18"/>
      <c r="CC115" s="18"/>
      <c r="CD115" s="18"/>
      <c r="CE115" s="18"/>
      <c r="CF115" s="18"/>
      <c r="CG115" s="18"/>
      <c r="CH115" s="18"/>
      <c r="CI115" s="18"/>
      <c r="CJ115" s="18"/>
      <c r="CK115" s="18"/>
      <c r="CL115" s="18"/>
      <c r="CM115" s="18"/>
      <c r="CN115" s="18"/>
      <c r="CO115" s="18"/>
      <c r="CP115" s="18"/>
      <c r="CQ115" s="18"/>
      <c r="CR115" s="18"/>
      <c r="CS115" s="18"/>
      <c r="CT115" s="18"/>
      <c r="CU115" s="18"/>
      <c r="CV115" s="18"/>
      <c r="CW115" s="18"/>
      <c r="CX115" s="18"/>
      <c r="CY115" s="18"/>
      <c r="CZ115" s="18"/>
      <c r="DA115" s="18"/>
      <c r="DB115" s="18"/>
      <c r="DC115" s="18"/>
      <c r="DD115" s="18"/>
      <c r="DE115" s="18"/>
      <c r="DF115" s="18"/>
      <c r="DG115" s="18"/>
      <c r="DH115" s="18"/>
      <c r="DI115" s="18"/>
      <c r="DJ115" s="18"/>
      <c r="DK115" s="18"/>
      <c r="DL115" s="18"/>
      <c r="DM115" s="18"/>
      <c r="DN115" s="18"/>
      <c r="DO115" s="18"/>
      <c r="DP115" s="18"/>
      <c r="DQ115" s="18"/>
      <c r="DR115" s="18"/>
      <c r="DS115" s="18"/>
      <c r="DT115" s="18"/>
      <c r="DU115" s="18"/>
      <c r="DV115" s="18"/>
      <c r="DW115" s="18"/>
      <c r="DX115" s="18"/>
      <c r="DY115" s="18"/>
      <c r="DZ115" s="18"/>
      <c r="EA115" s="18"/>
      <c r="EB115" s="18"/>
      <c r="EC115" s="18"/>
      <c r="ED115" s="18"/>
      <c r="EE115" s="18"/>
      <c r="EF115" s="18"/>
      <c r="EG115" s="18"/>
      <c r="EH115" s="18"/>
      <c r="EI115" s="18"/>
      <c r="EJ115" s="18"/>
      <c r="EK115" s="18"/>
      <c r="EL115" s="18"/>
      <c r="EM115" s="18"/>
      <c r="EN115" s="18"/>
      <c r="EO115" s="18"/>
      <c r="EP115" s="18"/>
      <c r="EQ115" s="18"/>
      <c r="ER115" s="18"/>
      <c r="ES115" s="18"/>
      <c r="ET115" s="18"/>
      <c r="EU115" s="18"/>
      <c r="EV115" s="18"/>
      <c r="EW115" s="18"/>
      <c r="EX115" s="18"/>
      <c r="EY115" s="18"/>
      <c r="EZ115" s="18"/>
      <c r="FA115" s="18"/>
      <c r="FB115" s="18"/>
      <c r="FC115" s="18"/>
      <c r="FD115" s="18"/>
      <c r="FE115" s="18"/>
      <c r="FF115" s="18"/>
      <c r="FG115" s="18"/>
      <c r="FH115" s="18"/>
      <c r="FI115" s="18"/>
      <c r="FJ115" s="18"/>
      <c r="FK115" s="18"/>
      <c r="FL115" s="18"/>
      <c r="FM115" s="18"/>
      <c r="FN115" s="18"/>
      <c r="FO115" s="18"/>
      <c r="FP115" s="18"/>
      <c r="FQ115" s="18"/>
      <c r="FR115" s="18"/>
      <c r="FS115" s="18"/>
      <c r="FT115" s="18"/>
      <c r="FU115" s="18"/>
      <c r="FV115" s="18"/>
      <c r="FW115" s="18"/>
      <c r="FX115" s="18"/>
      <c r="FY115" s="18"/>
      <c r="FZ115" s="18"/>
      <c r="GA115" s="18"/>
      <c r="GB115" s="18"/>
      <c r="GC115" s="18"/>
      <c r="GD115" s="18"/>
      <c r="GE115" s="18"/>
      <c r="GF115" s="18"/>
      <c r="GG115" s="18"/>
      <c r="GH115" s="18"/>
      <c r="GI115" s="18"/>
      <c r="GJ115" s="18"/>
      <c r="GK115" s="18"/>
      <c r="GL115" s="18"/>
      <c r="GM115" s="18"/>
      <c r="GN115" s="18"/>
      <c r="GO115" s="18"/>
      <c r="GP115" s="18"/>
      <c r="GQ115" s="18"/>
      <c r="GR115" s="18"/>
      <c r="GS115" s="18"/>
      <c r="GT115" s="18"/>
      <c r="GU115" s="18"/>
      <c r="GV115" s="18"/>
      <c r="GW115" s="18"/>
      <c r="GX115" s="18"/>
      <c r="GY115" s="18"/>
      <c r="GZ115" s="18"/>
      <c r="HA115" s="18"/>
      <c r="HB115" s="18"/>
      <c r="HC115" s="18"/>
      <c r="HD115" s="18"/>
      <c r="HE115" s="18"/>
      <c r="HF115" s="18"/>
      <c r="HG115" s="18"/>
      <c r="HH115" s="18"/>
      <c r="HI115" s="18"/>
      <c r="HJ115" s="18"/>
      <c r="HK115" s="18"/>
      <c r="HL115" s="18"/>
      <c r="HM115" s="18"/>
      <c r="HN115" s="18"/>
      <c r="HO115" s="18"/>
      <c r="HP115" s="18"/>
      <c r="HQ115" s="18"/>
      <c r="HR115" s="18"/>
      <c r="HS115" s="18"/>
      <c r="HT115" s="18"/>
      <c r="HU115" s="18"/>
      <c r="HV115" s="18"/>
      <c r="HW115" s="18"/>
      <c r="HX115" s="18"/>
      <c r="HY115" s="18"/>
      <c r="HZ115" s="18"/>
      <c r="IA115" s="18"/>
      <c r="IB115" s="18"/>
      <c r="IC115" s="18"/>
      <c r="ID115" s="18"/>
      <c r="IE115" s="18"/>
      <c r="IF115" s="18"/>
      <c r="IG115" s="18"/>
      <c r="IH115" s="18"/>
      <c r="II115" s="18"/>
      <c r="IJ115" s="18"/>
      <c r="IK115" s="18"/>
      <c r="IL115" s="18"/>
      <c r="IM115" s="18"/>
      <c r="IN115" s="18"/>
      <c r="IO115" s="18"/>
      <c r="IP115" s="18"/>
      <c r="IQ115" s="18"/>
      <c r="IR115" s="18"/>
      <c r="IS115" s="18"/>
      <c r="IT115" s="18"/>
      <c r="IU115" s="18"/>
      <c r="IV115" s="18"/>
    </row>
    <row r="116" spans="1:256" s="192" customFormat="1" ht="16.5" customHeight="1" x14ac:dyDescent="0.3">
      <c r="A116" s="172">
        <v>99</v>
      </c>
      <c r="B116" s="58" t="s">
        <v>87</v>
      </c>
      <c r="C116" s="61" t="s">
        <v>135</v>
      </c>
      <c r="D116" s="20">
        <v>3355375749.3000002</v>
      </c>
      <c r="E116" s="20"/>
      <c r="F116" s="20">
        <v>70002589.189999998</v>
      </c>
      <c r="G116" s="20">
        <v>1030628719.8</v>
      </c>
      <c r="H116" s="29"/>
      <c r="I116" s="28"/>
      <c r="J116" s="28">
        <v>4456007058.29</v>
      </c>
      <c r="K116" s="28">
        <v>85626090</v>
      </c>
      <c r="L116" s="20">
        <v>6779554.4400000004</v>
      </c>
      <c r="M116" s="169">
        <v>315975526.75</v>
      </c>
      <c r="N116" s="20">
        <v>5354385828.6800003</v>
      </c>
      <c r="O116" s="20">
        <v>28153667.789999999</v>
      </c>
      <c r="P116" s="81">
        <v>5017723948.6599998</v>
      </c>
      <c r="Q116" s="23">
        <f t="shared" si="89"/>
        <v>3.5517858840717269E-3</v>
      </c>
      <c r="R116" s="81">
        <v>5326232160.8900003</v>
      </c>
      <c r="S116" s="23">
        <f t="shared" si="90"/>
        <v>0.17248547131168365</v>
      </c>
      <c r="T116" s="24">
        <f t="shared" si="96"/>
        <v>6.1483695672893413E-2</v>
      </c>
      <c r="U116" s="59">
        <f t="shared" si="97"/>
        <v>1.272861233834605E-3</v>
      </c>
      <c r="V116" s="25">
        <f>M116/R116</f>
        <v>5.9324399914479367E-2</v>
      </c>
      <c r="W116" s="26">
        <f t="shared" si="98"/>
        <v>194.0851984088477</v>
      </c>
      <c r="X116" s="26">
        <f t="shared" si="99"/>
        <v>11.513987927887555</v>
      </c>
      <c r="Y116" s="20">
        <v>191.51759999999999</v>
      </c>
      <c r="Z116" s="20">
        <v>195.73580000000001</v>
      </c>
      <c r="AA116" s="27">
        <v>25</v>
      </c>
      <c r="AB116" s="27">
        <v>27442753</v>
      </c>
      <c r="AC116" s="27">
        <v>0</v>
      </c>
      <c r="AD116" s="27">
        <v>0</v>
      </c>
      <c r="AE116" s="111">
        <v>27442753</v>
      </c>
      <c r="AF116" s="190"/>
      <c r="AG116" s="190"/>
      <c r="AH116" s="190"/>
      <c r="AI116" s="190"/>
      <c r="AJ116" s="191"/>
      <c r="AK116" s="189"/>
      <c r="AL116" s="190"/>
      <c r="AM116" s="190"/>
      <c r="AN116" s="190"/>
      <c r="AO116" s="191"/>
      <c r="AP116" s="189"/>
      <c r="AQ116" s="190"/>
      <c r="AR116" s="190"/>
      <c r="AS116" s="190"/>
      <c r="AT116" s="191"/>
      <c r="AU116" s="75"/>
      <c r="AV116" s="75"/>
      <c r="AW116" s="75"/>
      <c r="AX116" s="75"/>
      <c r="AY116" s="75"/>
      <c r="AZ116" s="75"/>
      <c r="BA116" s="75"/>
      <c r="BB116" s="75"/>
      <c r="BC116" s="75"/>
      <c r="BD116" s="75"/>
      <c r="BE116" s="75"/>
      <c r="BF116" s="75"/>
      <c r="BG116" s="75"/>
      <c r="BH116" s="75"/>
      <c r="BI116" s="75"/>
      <c r="BJ116" s="75"/>
      <c r="BK116" s="75"/>
      <c r="BL116" s="75"/>
      <c r="BM116" s="75"/>
      <c r="BN116" s="75"/>
      <c r="BO116" s="75"/>
      <c r="BP116" s="75"/>
      <c r="BQ116" s="75"/>
      <c r="BR116" s="75"/>
      <c r="BS116" s="75"/>
      <c r="BT116" s="75"/>
      <c r="BU116" s="75"/>
      <c r="BV116" s="75"/>
      <c r="BW116" s="75"/>
      <c r="BX116" s="75"/>
      <c r="BY116" s="75"/>
      <c r="BZ116" s="75"/>
      <c r="CA116" s="75"/>
      <c r="CB116" s="75"/>
      <c r="CC116" s="75"/>
      <c r="CD116" s="75"/>
      <c r="CE116" s="75"/>
      <c r="CF116" s="75"/>
      <c r="CG116" s="75"/>
      <c r="CH116" s="75"/>
      <c r="CI116" s="75"/>
      <c r="CJ116" s="75"/>
      <c r="CK116" s="75"/>
      <c r="CL116" s="75"/>
      <c r="CM116" s="75"/>
      <c r="CN116" s="75"/>
      <c r="CO116" s="75"/>
      <c r="CP116" s="75"/>
      <c r="CQ116" s="75"/>
      <c r="CR116" s="75"/>
      <c r="CS116" s="75"/>
      <c r="CT116" s="75"/>
      <c r="CU116" s="75"/>
      <c r="CV116" s="75"/>
      <c r="CW116" s="75"/>
      <c r="CX116" s="75"/>
      <c r="CY116" s="75"/>
      <c r="CZ116" s="75"/>
      <c r="DA116" s="75"/>
      <c r="DB116" s="75"/>
      <c r="DC116" s="75"/>
      <c r="DD116" s="75"/>
      <c r="DE116" s="75"/>
      <c r="DF116" s="75"/>
      <c r="DG116" s="75"/>
      <c r="DH116" s="75"/>
      <c r="DI116" s="75"/>
      <c r="DJ116" s="75"/>
      <c r="DK116" s="75"/>
      <c r="DL116" s="75"/>
      <c r="DM116" s="75"/>
      <c r="DN116" s="75"/>
      <c r="DO116" s="75"/>
      <c r="DP116" s="75"/>
      <c r="DQ116" s="75"/>
      <c r="DR116" s="75"/>
      <c r="DS116" s="75"/>
      <c r="DT116" s="75"/>
      <c r="DU116" s="75"/>
      <c r="DV116" s="75"/>
      <c r="DW116" s="75"/>
      <c r="DX116" s="75"/>
      <c r="DY116" s="75"/>
      <c r="DZ116" s="75"/>
      <c r="EA116" s="75"/>
      <c r="EB116" s="75"/>
      <c r="EC116" s="75"/>
      <c r="ED116" s="75"/>
      <c r="EE116" s="75"/>
      <c r="EF116" s="75"/>
      <c r="EG116" s="75"/>
      <c r="EH116" s="75"/>
      <c r="EI116" s="75"/>
      <c r="EJ116" s="75"/>
      <c r="EK116" s="75"/>
      <c r="EL116" s="75"/>
      <c r="EM116" s="75"/>
      <c r="EN116" s="75"/>
      <c r="EO116" s="75"/>
      <c r="EP116" s="75"/>
      <c r="EQ116" s="75"/>
      <c r="ER116" s="75"/>
      <c r="ES116" s="75"/>
      <c r="ET116" s="75"/>
      <c r="EU116" s="75"/>
      <c r="EV116" s="75"/>
      <c r="EW116" s="75"/>
      <c r="EX116" s="75"/>
      <c r="EY116" s="75"/>
      <c r="EZ116" s="75"/>
      <c r="FA116" s="75"/>
      <c r="FB116" s="75"/>
      <c r="FC116" s="75"/>
      <c r="FD116" s="75"/>
      <c r="FE116" s="75"/>
      <c r="FF116" s="75"/>
      <c r="FG116" s="75"/>
      <c r="FH116" s="75"/>
      <c r="FI116" s="75"/>
      <c r="FJ116" s="75"/>
      <c r="FK116" s="75"/>
      <c r="FL116" s="75"/>
      <c r="FM116" s="75"/>
      <c r="FN116" s="75"/>
      <c r="FO116" s="75"/>
      <c r="FP116" s="75"/>
      <c r="FQ116" s="75"/>
      <c r="FR116" s="75"/>
      <c r="FS116" s="75"/>
      <c r="FT116" s="75"/>
      <c r="FU116" s="75"/>
      <c r="FV116" s="75"/>
      <c r="FW116" s="75"/>
      <c r="FX116" s="75"/>
      <c r="FY116" s="75"/>
      <c r="FZ116" s="75"/>
      <c r="GA116" s="75"/>
      <c r="GB116" s="75"/>
      <c r="GC116" s="75"/>
      <c r="GD116" s="75"/>
      <c r="GE116" s="75"/>
      <c r="GF116" s="75"/>
      <c r="GG116" s="75"/>
      <c r="GH116" s="75"/>
      <c r="GI116" s="75"/>
      <c r="GJ116" s="75"/>
      <c r="GK116" s="75"/>
      <c r="GL116" s="75"/>
      <c r="GM116" s="75"/>
      <c r="GN116" s="75"/>
      <c r="GO116" s="75"/>
      <c r="GP116" s="75"/>
      <c r="GQ116" s="75"/>
      <c r="GR116" s="75"/>
      <c r="GS116" s="75"/>
      <c r="GT116" s="75"/>
      <c r="GU116" s="75"/>
      <c r="GV116" s="75"/>
      <c r="GW116" s="75"/>
      <c r="GX116" s="75"/>
      <c r="GY116" s="75"/>
      <c r="GZ116" s="75"/>
      <c r="HA116" s="75"/>
      <c r="HB116" s="75"/>
      <c r="HC116" s="75"/>
      <c r="HD116" s="75"/>
      <c r="HE116" s="75"/>
      <c r="HF116" s="75"/>
      <c r="HG116" s="75"/>
      <c r="HH116" s="75"/>
      <c r="HI116" s="75"/>
      <c r="HJ116" s="75"/>
      <c r="HK116" s="75"/>
      <c r="HL116" s="75"/>
      <c r="HM116" s="75"/>
      <c r="HN116" s="75"/>
      <c r="HO116" s="75"/>
      <c r="HP116" s="75"/>
      <c r="HQ116" s="75"/>
      <c r="HR116" s="75"/>
      <c r="HS116" s="75"/>
      <c r="HT116" s="75"/>
      <c r="HU116" s="75"/>
      <c r="HV116" s="75"/>
      <c r="HW116" s="75"/>
      <c r="HX116" s="75"/>
      <c r="HY116" s="75"/>
      <c r="HZ116" s="75"/>
      <c r="IA116" s="75"/>
      <c r="IB116" s="75"/>
      <c r="IC116" s="75"/>
      <c r="ID116" s="75"/>
      <c r="IE116" s="75"/>
      <c r="IF116" s="75"/>
      <c r="IG116" s="75"/>
      <c r="IH116" s="75"/>
      <c r="II116" s="75"/>
      <c r="IJ116" s="75"/>
      <c r="IK116" s="75"/>
      <c r="IL116" s="75"/>
      <c r="IM116" s="75"/>
      <c r="IN116" s="75"/>
      <c r="IO116" s="75"/>
      <c r="IP116" s="75"/>
      <c r="IQ116" s="75"/>
      <c r="IR116" s="75"/>
      <c r="IS116" s="75"/>
      <c r="IT116" s="75"/>
      <c r="IU116" s="75"/>
      <c r="IV116" s="75"/>
    </row>
    <row r="117" spans="1:256" s="192" customFormat="1" ht="16.5" customHeight="1" x14ac:dyDescent="0.3">
      <c r="A117" s="172">
        <v>100</v>
      </c>
      <c r="B117" s="58" t="s">
        <v>82</v>
      </c>
      <c r="C117" s="58" t="s">
        <v>174</v>
      </c>
      <c r="D117" s="20">
        <v>1131472244.3499999</v>
      </c>
      <c r="E117" s="20"/>
      <c r="F117" s="20">
        <v>616730848.41999996</v>
      </c>
      <c r="G117" s="20">
        <v>534961315.24000001</v>
      </c>
      <c r="H117" s="29"/>
      <c r="I117" s="28"/>
      <c r="J117" s="28">
        <v>2283164408.0100002</v>
      </c>
      <c r="K117" s="28">
        <v>29238879.120000001</v>
      </c>
      <c r="L117" s="20">
        <v>6220141.5</v>
      </c>
      <c r="M117" s="152">
        <v>23402612.140000001</v>
      </c>
      <c r="N117" s="20">
        <v>2284804611.3800001</v>
      </c>
      <c r="O117" s="20">
        <v>17115628.129999999</v>
      </c>
      <c r="P117" s="81">
        <v>2204449432.75</v>
      </c>
      <c r="Q117" s="23">
        <f t="shared" si="89"/>
        <v>1.5604151319409136E-3</v>
      </c>
      <c r="R117" s="81">
        <v>2283166530.9000001</v>
      </c>
      <c r="S117" s="23">
        <f t="shared" si="90"/>
        <v>7.3938394585402939E-2</v>
      </c>
      <c r="T117" s="24">
        <f t="shared" si="96"/>
        <v>3.5708280253814818E-2</v>
      </c>
      <c r="U117" s="59">
        <f t="shared" si="97"/>
        <v>2.7243485815938648E-3</v>
      </c>
      <c r="V117" s="25">
        <f>M117/R117</f>
        <v>1.0250067975013167E-2</v>
      </c>
      <c r="W117" s="26">
        <f t="shared" si="98"/>
        <v>4178.987553126286</v>
      </c>
      <c r="X117" s="26">
        <f t="shared" si="99"/>
        <v>42.834906486278378</v>
      </c>
      <c r="Y117" s="20">
        <v>4150.13</v>
      </c>
      <c r="Z117" s="20">
        <v>4216.3999999999996</v>
      </c>
      <c r="AA117" s="27">
        <v>830</v>
      </c>
      <c r="AB117" s="27">
        <v>545682.17000000004</v>
      </c>
      <c r="AC117" s="27">
        <v>811.23</v>
      </c>
      <c r="AD117" s="27">
        <v>148.97999999999999</v>
      </c>
      <c r="AE117" s="111">
        <v>546344.42000000004</v>
      </c>
      <c r="AF117" s="190"/>
      <c r="AG117" s="190"/>
      <c r="AH117" s="190"/>
      <c r="AI117" s="190"/>
      <c r="AJ117" s="191"/>
      <c r="AK117" s="189"/>
      <c r="AL117" s="190"/>
      <c r="AM117" s="190"/>
      <c r="AN117" s="190"/>
      <c r="AO117" s="191"/>
      <c r="AP117" s="189"/>
      <c r="AQ117" s="190"/>
      <c r="AR117" s="190"/>
      <c r="AS117" s="190"/>
      <c r="AT117" s="191"/>
      <c r="AU117" s="75"/>
      <c r="AV117" s="75"/>
      <c r="AW117" s="75"/>
      <c r="AX117" s="75"/>
      <c r="AY117" s="75"/>
      <c r="AZ117" s="75"/>
      <c r="BA117" s="75"/>
      <c r="BB117" s="75"/>
      <c r="BC117" s="75"/>
      <c r="BD117" s="75"/>
      <c r="BE117" s="75"/>
      <c r="BF117" s="75"/>
      <c r="BG117" s="75"/>
      <c r="BH117" s="75"/>
      <c r="BI117" s="75"/>
      <c r="BJ117" s="75"/>
      <c r="BK117" s="75"/>
      <c r="BL117" s="75"/>
      <c r="BM117" s="75"/>
      <c r="BN117" s="75"/>
      <c r="BO117" s="75"/>
      <c r="BP117" s="75"/>
      <c r="BQ117" s="75"/>
      <c r="BR117" s="75"/>
      <c r="BS117" s="75"/>
      <c r="BT117" s="75"/>
      <c r="BU117" s="75"/>
      <c r="BV117" s="75"/>
      <c r="BW117" s="75"/>
      <c r="BX117" s="75"/>
      <c r="BY117" s="75"/>
      <c r="BZ117" s="75"/>
      <c r="CA117" s="75"/>
      <c r="CB117" s="75"/>
      <c r="CC117" s="75"/>
      <c r="CD117" s="75"/>
      <c r="CE117" s="75"/>
      <c r="CF117" s="75"/>
      <c r="CG117" s="75"/>
      <c r="CH117" s="75"/>
      <c r="CI117" s="75"/>
      <c r="CJ117" s="75"/>
      <c r="CK117" s="75"/>
      <c r="CL117" s="75"/>
      <c r="CM117" s="75"/>
      <c r="CN117" s="75"/>
      <c r="CO117" s="75"/>
      <c r="CP117" s="75"/>
      <c r="CQ117" s="75"/>
      <c r="CR117" s="75"/>
      <c r="CS117" s="75"/>
      <c r="CT117" s="75"/>
      <c r="CU117" s="75"/>
      <c r="CV117" s="75"/>
      <c r="CW117" s="75"/>
      <c r="CX117" s="75"/>
      <c r="CY117" s="75"/>
      <c r="CZ117" s="75"/>
      <c r="DA117" s="75"/>
      <c r="DB117" s="75"/>
      <c r="DC117" s="75"/>
      <c r="DD117" s="75"/>
      <c r="DE117" s="75"/>
      <c r="DF117" s="75"/>
      <c r="DG117" s="75"/>
      <c r="DH117" s="75"/>
      <c r="DI117" s="75"/>
      <c r="DJ117" s="75"/>
      <c r="DK117" s="75"/>
      <c r="DL117" s="75"/>
      <c r="DM117" s="75"/>
      <c r="DN117" s="75"/>
      <c r="DO117" s="75"/>
      <c r="DP117" s="75"/>
      <c r="DQ117" s="75"/>
      <c r="DR117" s="75"/>
      <c r="DS117" s="75"/>
      <c r="DT117" s="75"/>
      <c r="DU117" s="75"/>
      <c r="DV117" s="75"/>
      <c r="DW117" s="75"/>
      <c r="DX117" s="75"/>
      <c r="DY117" s="75"/>
      <c r="DZ117" s="75"/>
      <c r="EA117" s="75"/>
      <c r="EB117" s="75"/>
      <c r="EC117" s="75"/>
      <c r="ED117" s="75"/>
      <c r="EE117" s="75"/>
      <c r="EF117" s="75"/>
      <c r="EG117" s="75"/>
      <c r="EH117" s="75"/>
      <c r="EI117" s="75"/>
      <c r="EJ117" s="75"/>
      <c r="EK117" s="75"/>
      <c r="EL117" s="75"/>
      <c r="EM117" s="75"/>
      <c r="EN117" s="75"/>
      <c r="EO117" s="75"/>
      <c r="EP117" s="75"/>
      <c r="EQ117" s="75"/>
      <c r="ER117" s="75"/>
      <c r="ES117" s="75"/>
      <c r="ET117" s="75"/>
      <c r="EU117" s="75"/>
      <c r="EV117" s="75"/>
      <c r="EW117" s="75"/>
      <c r="EX117" s="75"/>
      <c r="EY117" s="75"/>
      <c r="EZ117" s="75"/>
      <c r="FA117" s="75"/>
      <c r="FB117" s="75"/>
      <c r="FC117" s="75"/>
      <c r="FD117" s="75"/>
      <c r="FE117" s="75"/>
      <c r="FF117" s="75"/>
      <c r="FG117" s="75"/>
      <c r="FH117" s="75"/>
      <c r="FI117" s="75"/>
      <c r="FJ117" s="75"/>
      <c r="FK117" s="75"/>
      <c r="FL117" s="75"/>
      <c r="FM117" s="75"/>
      <c r="FN117" s="75"/>
      <c r="FO117" s="75"/>
      <c r="FP117" s="75"/>
      <c r="FQ117" s="75"/>
      <c r="FR117" s="75"/>
      <c r="FS117" s="75"/>
      <c r="FT117" s="75"/>
      <c r="FU117" s="75"/>
      <c r="FV117" s="75"/>
      <c r="FW117" s="75"/>
      <c r="FX117" s="75"/>
      <c r="FY117" s="75"/>
      <c r="FZ117" s="75"/>
      <c r="GA117" s="75"/>
      <c r="GB117" s="75"/>
      <c r="GC117" s="75"/>
      <c r="GD117" s="75"/>
      <c r="GE117" s="75"/>
      <c r="GF117" s="75"/>
      <c r="GG117" s="75"/>
      <c r="GH117" s="75"/>
      <c r="GI117" s="75"/>
      <c r="GJ117" s="75"/>
      <c r="GK117" s="75"/>
      <c r="GL117" s="75"/>
      <c r="GM117" s="75"/>
      <c r="GN117" s="75"/>
      <c r="GO117" s="75"/>
      <c r="GP117" s="75"/>
      <c r="GQ117" s="75"/>
      <c r="GR117" s="75"/>
      <c r="GS117" s="75"/>
      <c r="GT117" s="75"/>
      <c r="GU117" s="75"/>
      <c r="GV117" s="75"/>
      <c r="GW117" s="75"/>
      <c r="GX117" s="75"/>
      <c r="GY117" s="75"/>
      <c r="GZ117" s="75"/>
      <c r="HA117" s="75"/>
      <c r="HB117" s="75"/>
      <c r="HC117" s="75"/>
      <c r="HD117" s="75"/>
      <c r="HE117" s="75"/>
      <c r="HF117" s="75"/>
      <c r="HG117" s="75"/>
      <c r="HH117" s="75"/>
      <c r="HI117" s="75"/>
      <c r="HJ117" s="75"/>
      <c r="HK117" s="75"/>
      <c r="HL117" s="75"/>
      <c r="HM117" s="75"/>
      <c r="HN117" s="75"/>
      <c r="HO117" s="75"/>
      <c r="HP117" s="75"/>
      <c r="HQ117" s="75"/>
      <c r="HR117" s="75"/>
      <c r="HS117" s="75"/>
      <c r="HT117" s="75"/>
      <c r="HU117" s="75"/>
      <c r="HV117" s="75"/>
      <c r="HW117" s="75"/>
      <c r="HX117" s="75"/>
      <c r="HY117" s="75"/>
      <c r="HZ117" s="75"/>
      <c r="IA117" s="75"/>
      <c r="IB117" s="75"/>
      <c r="IC117" s="75"/>
      <c r="ID117" s="75"/>
      <c r="IE117" s="75"/>
      <c r="IF117" s="75"/>
      <c r="IG117" s="75"/>
      <c r="IH117" s="75"/>
      <c r="II117" s="75"/>
      <c r="IJ117" s="75"/>
      <c r="IK117" s="75"/>
      <c r="IL117" s="75"/>
      <c r="IM117" s="75"/>
      <c r="IN117" s="75"/>
      <c r="IO117" s="75"/>
      <c r="IP117" s="75"/>
      <c r="IQ117" s="75"/>
      <c r="IR117" s="75"/>
      <c r="IS117" s="75"/>
      <c r="IT117" s="75"/>
      <c r="IU117" s="75"/>
      <c r="IV117" s="75"/>
    </row>
    <row r="118" spans="1:256" s="192" customFormat="1" ht="16.5" customHeight="1" x14ac:dyDescent="0.3">
      <c r="A118" s="172">
        <v>101</v>
      </c>
      <c r="B118" s="58" t="s">
        <v>78</v>
      </c>
      <c r="C118" s="193" t="s">
        <v>176</v>
      </c>
      <c r="D118" s="20">
        <v>974458583.13</v>
      </c>
      <c r="E118" s="20"/>
      <c r="F118" s="20"/>
      <c r="G118" s="20">
        <v>618060357.38</v>
      </c>
      <c r="H118" s="29"/>
      <c r="I118" s="28"/>
      <c r="J118" s="28">
        <v>2144373883.1600001</v>
      </c>
      <c r="K118" s="28">
        <v>39287604.170000002</v>
      </c>
      <c r="L118" s="20">
        <v>8556356.3900000006</v>
      </c>
      <c r="M118" s="152">
        <v>123946844.34</v>
      </c>
      <c r="N118" s="20">
        <v>2229347841.54</v>
      </c>
      <c r="O118" s="20">
        <v>221451866.83000001</v>
      </c>
      <c r="P118" s="81">
        <v>1893922960.97</v>
      </c>
      <c r="Q118" s="23">
        <f t="shared" si="89"/>
        <v>1.3406095885543866E-3</v>
      </c>
      <c r="R118" s="81">
        <v>2007895974.71</v>
      </c>
      <c r="S118" s="23">
        <f t="shared" si="90"/>
        <v>6.502399314956174E-2</v>
      </c>
      <c r="T118" s="24">
        <f t="shared" si="96"/>
        <v>6.017827339799877E-2</v>
      </c>
      <c r="U118" s="59">
        <f t="shared" si="97"/>
        <v>4.2613544216282386E-3</v>
      </c>
      <c r="V118" s="25">
        <f>M118/R118</f>
        <v>6.1729714039544116E-2</v>
      </c>
      <c r="W118" s="26">
        <f t="shared" si="98"/>
        <v>1.3286709711642732</v>
      </c>
      <c r="X118" s="26">
        <f t="shared" si="99"/>
        <v>8.201847910261395E-2</v>
      </c>
      <c r="Y118" s="20">
        <v>1.3130999999999999</v>
      </c>
      <c r="Z118" s="20">
        <v>1.3388</v>
      </c>
      <c r="AA118" s="27">
        <v>10334</v>
      </c>
      <c r="AB118" s="27">
        <v>1507526761.25</v>
      </c>
      <c r="AC118" s="20">
        <v>9981985.1300000008</v>
      </c>
      <c r="AD118" s="20">
        <v>6302421.9500000002</v>
      </c>
      <c r="AE118" s="150">
        <f>(AB118+AC118)-AD118</f>
        <v>1511206324.4300001</v>
      </c>
      <c r="AF118" s="190"/>
      <c r="AG118" s="190"/>
      <c r="AH118" s="190"/>
      <c r="AI118" s="190"/>
      <c r="AJ118" s="191"/>
      <c r="AK118" s="189"/>
      <c r="AL118" s="190"/>
      <c r="AM118" s="190"/>
      <c r="AN118" s="190"/>
      <c r="AO118" s="191"/>
      <c r="AP118" s="189"/>
      <c r="AQ118" s="190"/>
      <c r="AR118" s="190"/>
      <c r="AS118" s="190"/>
      <c r="AT118" s="191"/>
      <c r="AU118" s="75"/>
      <c r="AV118" s="75"/>
      <c r="AW118" s="75"/>
      <c r="AX118" s="75"/>
      <c r="AY118" s="75"/>
      <c r="AZ118" s="75"/>
      <c r="BA118" s="75"/>
      <c r="BB118" s="75"/>
      <c r="BC118" s="75"/>
      <c r="BD118" s="75"/>
      <c r="BE118" s="75"/>
      <c r="BF118" s="75"/>
      <c r="BG118" s="75"/>
      <c r="BH118" s="75"/>
      <c r="BI118" s="75"/>
      <c r="BJ118" s="75"/>
      <c r="BK118" s="75"/>
      <c r="BL118" s="75"/>
      <c r="BM118" s="75"/>
      <c r="BN118" s="75"/>
      <c r="BO118" s="75"/>
      <c r="BP118" s="75"/>
      <c r="BQ118" s="75"/>
      <c r="BR118" s="75"/>
      <c r="BS118" s="75"/>
      <c r="BT118" s="75"/>
      <c r="BU118" s="75"/>
      <c r="BV118" s="75"/>
      <c r="BW118" s="75"/>
      <c r="BX118" s="75"/>
      <c r="BY118" s="75"/>
      <c r="BZ118" s="75"/>
      <c r="CA118" s="75"/>
      <c r="CB118" s="75"/>
      <c r="CC118" s="75"/>
      <c r="CD118" s="75"/>
      <c r="CE118" s="75"/>
      <c r="CF118" s="75"/>
      <c r="CG118" s="75"/>
      <c r="CH118" s="75"/>
      <c r="CI118" s="75"/>
      <c r="CJ118" s="75"/>
      <c r="CK118" s="75"/>
      <c r="CL118" s="75"/>
      <c r="CM118" s="75"/>
      <c r="CN118" s="75"/>
      <c r="CO118" s="75"/>
      <c r="CP118" s="75"/>
      <c r="CQ118" s="75"/>
      <c r="CR118" s="75"/>
      <c r="CS118" s="75"/>
      <c r="CT118" s="75"/>
      <c r="CU118" s="75"/>
      <c r="CV118" s="75"/>
      <c r="CW118" s="75"/>
      <c r="CX118" s="75"/>
      <c r="CY118" s="75"/>
      <c r="CZ118" s="75"/>
      <c r="DA118" s="75"/>
      <c r="DB118" s="75"/>
      <c r="DC118" s="75"/>
      <c r="DD118" s="75"/>
      <c r="DE118" s="75"/>
      <c r="DF118" s="75"/>
      <c r="DG118" s="75"/>
      <c r="DH118" s="75"/>
      <c r="DI118" s="75"/>
      <c r="DJ118" s="75"/>
      <c r="DK118" s="75"/>
      <c r="DL118" s="75"/>
      <c r="DM118" s="75"/>
      <c r="DN118" s="75"/>
      <c r="DO118" s="75"/>
      <c r="DP118" s="75"/>
      <c r="DQ118" s="75"/>
      <c r="DR118" s="75"/>
      <c r="DS118" s="75"/>
      <c r="DT118" s="75"/>
      <c r="DU118" s="75"/>
      <c r="DV118" s="75"/>
      <c r="DW118" s="75"/>
      <c r="DX118" s="75"/>
      <c r="DY118" s="75"/>
      <c r="DZ118" s="75"/>
      <c r="EA118" s="75"/>
      <c r="EB118" s="75"/>
      <c r="EC118" s="75"/>
      <c r="ED118" s="75"/>
      <c r="EE118" s="75"/>
      <c r="EF118" s="75"/>
      <c r="EG118" s="75"/>
      <c r="EH118" s="75"/>
      <c r="EI118" s="75"/>
      <c r="EJ118" s="75"/>
      <c r="EK118" s="75"/>
      <c r="EL118" s="75"/>
      <c r="EM118" s="75"/>
      <c r="EN118" s="75"/>
      <c r="EO118" s="75"/>
      <c r="EP118" s="75"/>
      <c r="EQ118" s="75"/>
      <c r="ER118" s="75"/>
      <c r="ES118" s="75"/>
      <c r="ET118" s="75"/>
      <c r="EU118" s="75"/>
      <c r="EV118" s="75"/>
      <c r="EW118" s="75"/>
      <c r="EX118" s="75"/>
      <c r="EY118" s="75"/>
      <c r="EZ118" s="75"/>
      <c r="FA118" s="75"/>
      <c r="FB118" s="75"/>
      <c r="FC118" s="75"/>
      <c r="FD118" s="75"/>
      <c r="FE118" s="75"/>
      <c r="FF118" s="75"/>
      <c r="FG118" s="75"/>
      <c r="FH118" s="75"/>
      <c r="FI118" s="75"/>
      <c r="FJ118" s="75"/>
      <c r="FK118" s="75"/>
      <c r="FL118" s="75"/>
      <c r="FM118" s="75"/>
      <c r="FN118" s="75"/>
      <c r="FO118" s="75"/>
      <c r="FP118" s="75"/>
      <c r="FQ118" s="75"/>
      <c r="FR118" s="75"/>
      <c r="FS118" s="75"/>
      <c r="FT118" s="75"/>
      <c r="FU118" s="75"/>
      <c r="FV118" s="75"/>
      <c r="FW118" s="75"/>
      <c r="FX118" s="75"/>
      <c r="FY118" s="75"/>
      <c r="FZ118" s="75"/>
      <c r="GA118" s="75"/>
      <c r="GB118" s="75"/>
      <c r="GC118" s="75"/>
      <c r="GD118" s="75"/>
      <c r="GE118" s="75"/>
      <c r="GF118" s="75"/>
      <c r="GG118" s="75"/>
      <c r="GH118" s="75"/>
      <c r="GI118" s="75"/>
      <c r="GJ118" s="75"/>
      <c r="GK118" s="75"/>
      <c r="GL118" s="75"/>
      <c r="GM118" s="75"/>
      <c r="GN118" s="75"/>
      <c r="GO118" s="75"/>
      <c r="GP118" s="75"/>
      <c r="GQ118" s="75"/>
      <c r="GR118" s="75"/>
      <c r="GS118" s="75"/>
      <c r="GT118" s="75"/>
      <c r="GU118" s="75"/>
      <c r="GV118" s="75"/>
      <c r="GW118" s="75"/>
      <c r="GX118" s="75"/>
      <c r="GY118" s="75"/>
      <c r="GZ118" s="75"/>
      <c r="HA118" s="75"/>
      <c r="HB118" s="75"/>
      <c r="HC118" s="75"/>
      <c r="HD118" s="75"/>
      <c r="HE118" s="75"/>
      <c r="HF118" s="75"/>
      <c r="HG118" s="75"/>
      <c r="HH118" s="75"/>
      <c r="HI118" s="75"/>
      <c r="HJ118" s="75"/>
      <c r="HK118" s="75"/>
      <c r="HL118" s="75"/>
      <c r="HM118" s="75"/>
      <c r="HN118" s="75"/>
      <c r="HO118" s="75"/>
      <c r="HP118" s="75"/>
      <c r="HQ118" s="75"/>
      <c r="HR118" s="75"/>
      <c r="HS118" s="75"/>
      <c r="HT118" s="75"/>
      <c r="HU118" s="75"/>
      <c r="HV118" s="75"/>
      <c r="HW118" s="75"/>
      <c r="HX118" s="75"/>
      <c r="HY118" s="75"/>
      <c r="HZ118" s="75"/>
      <c r="IA118" s="75"/>
      <c r="IB118" s="75"/>
      <c r="IC118" s="75"/>
      <c r="ID118" s="75"/>
      <c r="IE118" s="75"/>
      <c r="IF118" s="75"/>
      <c r="IG118" s="75"/>
      <c r="IH118" s="75"/>
      <c r="II118" s="75"/>
      <c r="IJ118" s="75"/>
      <c r="IK118" s="75"/>
      <c r="IL118" s="75"/>
      <c r="IM118" s="75"/>
      <c r="IN118" s="75"/>
      <c r="IO118" s="75"/>
      <c r="IP118" s="75"/>
      <c r="IQ118" s="75"/>
      <c r="IR118" s="75"/>
      <c r="IS118" s="75"/>
      <c r="IT118" s="75"/>
      <c r="IU118" s="75"/>
      <c r="IV118" s="75"/>
    </row>
    <row r="119" spans="1:256" s="192" customFormat="1" ht="16.5" customHeight="1" x14ac:dyDescent="0.3">
      <c r="A119" s="172">
        <v>102</v>
      </c>
      <c r="B119" s="57" t="s">
        <v>27</v>
      </c>
      <c r="C119" s="58" t="s">
        <v>137</v>
      </c>
      <c r="D119" s="20">
        <v>177081288.34999999</v>
      </c>
      <c r="E119" s="20"/>
      <c r="F119" s="20">
        <v>988962292.08000004</v>
      </c>
      <c r="G119" s="20"/>
      <c r="H119" s="29"/>
      <c r="I119" s="28"/>
      <c r="J119" s="28">
        <v>1166043580.4300001</v>
      </c>
      <c r="K119" s="28">
        <v>36852150.340000004</v>
      </c>
      <c r="L119" s="20">
        <v>2159273.5099999998</v>
      </c>
      <c r="M119" s="152">
        <v>4681965.74</v>
      </c>
      <c r="N119" s="20">
        <v>1239214875.3499999</v>
      </c>
      <c r="O119" s="20">
        <v>22404826.300000001</v>
      </c>
      <c r="P119" s="81">
        <v>1206621658.98</v>
      </c>
      <c r="Q119" s="23">
        <f t="shared" si="89"/>
        <v>8.5410473346682889E-4</v>
      </c>
      <c r="R119" s="81">
        <v>1216810049.05</v>
      </c>
      <c r="S119" s="23">
        <f t="shared" si="90"/>
        <v>3.9405352314216692E-2</v>
      </c>
      <c r="T119" s="24">
        <f t="shared" si="96"/>
        <v>8.4437321294336294E-3</v>
      </c>
      <c r="U119" s="59">
        <f t="shared" si="97"/>
        <v>1.774536224191943E-3</v>
      </c>
      <c r="V119" s="25">
        <f>M119/R119</f>
        <v>3.8477375689454168E-3</v>
      </c>
      <c r="W119" s="26">
        <f t="shared" si="98"/>
        <v>1631.2219975199409</v>
      </c>
      <c r="X119" s="26">
        <f t="shared" si="99"/>
        <v>6.276514163147664</v>
      </c>
      <c r="Y119" s="20">
        <v>552.20000000000005</v>
      </c>
      <c r="Z119" s="20">
        <v>552.20000000000005</v>
      </c>
      <c r="AA119" s="27">
        <v>830</v>
      </c>
      <c r="AB119" s="27">
        <v>745950</v>
      </c>
      <c r="AC119" s="27">
        <v>0</v>
      </c>
      <c r="AD119" s="27">
        <v>0</v>
      </c>
      <c r="AE119" s="111">
        <v>745950</v>
      </c>
      <c r="AF119" s="190"/>
      <c r="AG119" s="190"/>
      <c r="AH119" s="190"/>
      <c r="AI119" s="190"/>
      <c r="AJ119" s="191"/>
      <c r="AK119" s="189"/>
      <c r="AL119" s="190"/>
      <c r="AM119" s="190"/>
      <c r="AN119" s="190"/>
      <c r="AO119" s="191"/>
      <c r="AP119" s="189"/>
      <c r="AQ119" s="190"/>
      <c r="AR119" s="190"/>
      <c r="AS119" s="190"/>
      <c r="AT119" s="191"/>
      <c r="AU119" s="75"/>
      <c r="AV119" s="75"/>
      <c r="AW119" s="75"/>
      <c r="AX119" s="75"/>
      <c r="AY119" s="75"/>
      <c r="AZ119" s="75"/>
      <c r="BA119" s="75"/>
      <c r="BB119" s="75"/>
      <c r="BC119" s="75"/>
      <c r="BD119" s="75"/>
      <c r="BE119" s="75"/>
      <c r="BF119" s="75"/>
      <c r="BG119" s="75"/>
      <c r="BH119" s="75"/>
      <c r="BI119" s="75"/>
      <c r="BJ119" s="75"/>
      <c r="BK119" s="75"/>
      <c r="BL119" s="75"/>
      <c r="BM119" s="75"/>
      <c r="BN119" s="75"/>
      <c r="BO119" s="75"/>
      <c r="BP119" s="75"/>
      <c r="BQ119" s="75"/>
      <c r="BR119" s="75"/>
      <c r="BS119" s="75"/>
      <c r="BT119" s="75"/>
      <c r="BU119" s="75"/>
      <c r="BV119" s="75"/>
      <c r="BW119" s="75"/>
      <c r="BX119" s="75"/>
      <c r="BY119" s="75"/>
      <c r="BZ119" s="75"/>
      <c r="CA119" s="75"/>
      <c r="CB119" s="75"/>
      <c r="CC119" s="75"/>
      <c r="CD119" s="75"/>
      <c r="CE119" s="75"/>
      <c r="CF119" s="75"/>
      <c r="CG119" s="75"/>
      <c r="CH119" s="75"/>
      <c r="CI119" s="75"/>
      <c r="CJ119" s="75"/>
      <c r="CK119" s="75"/>
      <c r="CL119" s="75"/>
      <c r="CM119" s="75"/>
      <c r="CN119" s="75"/>
      <c r="CO119" s="75"/>
      <c r="CP119" s="75"/>
      <c r="CQ119" s="75"/>
      <c r="CR119" s="75"/>
      <c r="CS119" s="75"/>
      <c r="CT119" s="75"/>
      <c r="CU119" s="75"/>
      <c r="CV119" s="75"/>
      <c r="CW119" s="75"/>
      <c r="CX119" s="75"/>
      <c r="CY119" s="75"/>
      <c r="CZ119" s="75"/>
      <c r="DA119" s="75"/>
      <c r="DB119" s="75"/>
      <c r="DC119" s="75"/>
      <c r="DD119" s="75"/>
      <c r="DE119" s="75"/>
      <c r="DF119" s="75"/>
      <c r="DG119" s="75"/>
      <c r="DH119" s="75"/>
      <c r="DI119" s="75"/>
      <c r="DJ119" s="75"/>
      <c r="DK119" s="75"/>
      <c r="DL119" s="75"/>
      <c r="DM119" s="75"/>
      <c r="DN119" s="75"/>
      <c r="DO119" s="75"/>
      <c r="DP119" s="75"/>
      <c r="DQ119" s="75"/>
      <c r="DR119" s="75"/>
      <c r="DS119" s="75"/>
      <c r="DT119" s="75"/>
      <c r="DU119" s="75"/>
      <c r="DV119" s="75"/>
      <c r="DW119" s="75"/>
      <c r="DX119" s="75"/>
      <c r="DY119" s="75"/>
      <c r="DZ119" s="75"/>
      <c r="EA119" s="75"/>
      <c r="EB119" s="75"/>
      <c r="EC119" s="75"/>
      <c r="ED119" s="75"/>
      <c r="EE119" s="75"/>
      <c r="EF119" s="75"/>
      <c r="EG119" s="75"/>
      <c r="EH119" s="75"/>
      <c r="EI119" s="75"/>
      <c r="EJ119" s="75"/>
      <c r="EK119" s="75"/>
      <c r="EL119" s="75"/>
      <c r="EM119" s="75"/>
      <c r="EN119" s="75"/>
      <c r="EO119" s="75"/>
      <c r="EP119" s="75"/>
      <c r="EQ119" s="75"/>
      <c r="ER119" s="75"/>
      <c r="ES119" s="75"/>
      <c r="ET119" s="75"/>
      <c r="EU119" s="75"/>
      <c r="EV119" s="75"/>
      <c r="EW119" s="75"/>
      <c r="EX119" s="75"/>
      <c r="EY119" s="75"/>
      <c r="EZ119" s="75"/>
      <c r="FA119" s="75"/>
      <c r="FB119" s="75"/>
      <c r="FC119" s="75"/>
      <c r="FD119" s="75"/>
      <c r="FE119" s="75"/>
      <c r="FF119" s="75"/>
      <c r="FG119" s="75"/>
      <c r="FH119" s="75"/>
      <c r="FI119" s="75"/>
      <c r="FJ119" s="75"/>
      <c r="FK119" s="75"/>
      <c r="FL119" s="75"/>
      <c r="FM119" s="75"/>
      <c r="FN119" s="75"/>
      <c r="FO119" s="75"/>
      <c r="FP119" s="75"/>
      <c r="FQ119" s="75"/>
      <c r="FR119" s="75"/>
      <c r="FS119" s="75"/>
      <c r="FT119" s="75"/>
      <c r="FU119" s="75"/>
      <c r="FV119" s="75"/>
      <c r="FW119" s="75"/>
      <c r="FX119" s="75"/>
      <c r="FY119" s="75"/>
      <c r="FZ119" s="75"/>
      <c r="GA119" s="75"/>
      <c r="GB119" s="75"/>
      <c r="GC119" s="75"/>
      <c r="GD119" s="75"/>
      <c r="GE119" s="75"/>
      <c r="GF119" s="75"/>
      <c r="GG119" s="75"/>
      <c r="GH119" s="75"/>
      <c r="GI119" s="75"/>
      <c r="GJ119" s="75"/>
      <c r="GK119" s="75"/>
      <c r="GL119" s="75"/>
      <c r="GM119" s="75"/>
      <c r="GN119" s="75"/>
      <c r="GO119" s="75"/>
      <c r="GP119" s="75"/>
      <c r="GQ119" s="75"/>
      <c r="GR119" s="75"/>
      <c r="GS119" s="75"/>
      <c r="GT119" s="75"/>
      <c r="GU119" s="75"/>
      <c r="GV119" s="75"/>
      <c r="GW119" s="75"/>
      <c r="GX119" s="75"/>
      <c r="GY119" s="75"/>
      <c r="GZ119" s="75"/>
      <c r="HA119" s="75"/>
      <c r="HB119" s="75"/>
      <c r="HC119" s="75"/>
      <c r="HD119" s="75"/>
      <c r="HE119" s="75"/>
      <c r="HF119" s="75"/>
      <c r="HG119" s="75"/>
      <c r="HH119" s="75"/>
      <c r="HI119" s="75"/>
      <c r="HJ119" s="75"/>
      <c r="HK119" s="75"/>
      <c r="HL119" s="75"/>
      <c r="HM119" s="75"/>
      <c r="HN119" s="75"/>
      <c r="HO119" s="75"/>
      <c r="HP119" s="75"/>
      <c r="HQ119" s="75"/>
      <c r="HR119" s="75"/>
      <c r="HS119" s="75"/>
      <c r="HT119" s="75"/>
      <c r="HU119" s="75"/>
      <c r="HV119" s="75"/>
      <c r="HW119" s="75"/>
      <c r="HX119" s="75"/>
      <c r="HY119" s="75"/>
      <c r="HZ119" s="75"/>
      <c r="IA119" s="75"/>
      <c r="IB119" s="75"/>
      <c r="IC119" s="75"/>
      <c r="ID119" s="75"/>
      <c r="IE119" s="75"/>
      <c r="IF119" s="75"/>
      <c r="IG119" s="75"/>
      <c r="IH119" s="75"/>
      <c r="II119" s="75"/>
      <c r="IJ119" s="75"/>
      <c r="IK119" s="75"/>
      <c r="IL119" s="75"/>
      <c r="IM119" s="75"/>
      <c r="IN119" s="75"/>
      <c r="IO119" s="75"/>
      <c r="IP119" s="75"/>
      <c r="IQ119" s="75"/>
      <c r="IR119" s="75"/>
      <c r="IS119" s="75"/>
      <c r="IT119" s="75"/>
      <c r="IU119" s="75"/>
      <c r="IV119" s="75"/>
    </row>
    <row r="120" spans="1:256" s="192" customFormat="1" ht="16.5" customHeight="1" x14ac:dyDescent="0.3">
      <c r="A120" s="172">
        <v>103</v>
      </c>
      <c r="B120" s="57" t="s">
        <v>44</v>
      </c>
      <c r="C120" s="58" t="s">
        <v>140</v>
      </c>
      <c r="D120" s="20">
        <v>1138254935</v>
      </c>
      <c r="E120" s="20"/>
      <c r="F120" s="20">
        <v>522401242.98000002</v>
      </c>
      <c r="G120" s="20">
        <v>492331243.85000002</v>
      </c>
      <c r="H120" s="29"/>
      <c r="I120" s="28"/>
      <c r="J120" s="28">
        <v>2152987421.8299999</v>
      </c>
      <c r="K120" s="28">
        <v>63679791.729999997</v>
      </c>
      <c r="L120" s="20">
        <v>5234035.72</v>
      </c>
      <c r="M120" s="152">
        <v>101865583.61</v>
      </c>
      <c r="N120" s="20">
        <v>2154019090.9899998</v>
      </c>
      <c r="O120" s="20">
        <v>74929363.439999998</v>
      </c>
      <c r="P120" s="81">
        <v>2011516457.0899999</v>
      </c>
      <c r="Q120" s="23">
        <f t="shared" si="89"/>
        <v>1.4238479101223154E-3</v>
      </c>
      <c r="R120" s="81">
        <v>2079089727.54</v>
      </c>
      <c r="S120" s="23">
        <f t="shared" si="90"/>
        <v>6.7329541920323185E-2</v>
      </c>
      <c r="T120" s="24">
        <f t="shared" si="96"/>
        <v>3.3593197913854636E-2</v>
      </c>
      <c r="U120" s="59">
        <f t="shared" si="97"/>
        <v>2.5174650476451365E-3</v>
      </c>
      <c r="V120" s="25">
        <f ca="1">V120/R120</f>
        <v>0</v>
      </c>
      <c r="W120" s="26">
        <f t="shared" si="98"/>
        <v>2.9925065737741217</v>
      </c>
      <c r="X120" s="26">
        <f t="shared" si="99"/>
        <v>0.14661869786396589</v>
      </c>
      <c r="Y120" s="20">
        <v>3.03</v>
      </c>
      <c r="Z120" s="20">
        <v>3.1</v>
      </c>
      <c r="AA120" s="27">
        <v>2026</v>
      </c>
      <c r="AB120" s="27">
        <v>698440773.46000004</v>
      </c>
      <c r="AC120" s="27">
        <v>72615.94</v>
      </c>
      <c r="AD120" s="27">
        <v>3748089.38</v>
      </c>
      <c r="AE120" s="111">
        <v>694765300.01999998</v>
      </c>
      <c r="AF120" s="190"/>
      <c r="AG120" s="190"/>
      <c r="AH120" s="190"/>
      <c r="AI120" s="190"/>
      <c r="AJ120" s="191"/>
      <c r="AK120" s="189"/>
      <c r="AL120" s="190"/>
      <c r="AM120" s="190"/>
      <c r="AN120" s="190"/>
      <c r="AO120" s="191"/>
      <c r="AP120" s="189"/>
      <c r="AQ120" s="190"/>
      <c r="AR120" s="190"/>
      <c r="AS120" s="190"/>
      <c r="AT120" s="191"/>
      <c r="AU120" s="75"/>
      <c r="AV120" s="75"/>
      <c r="AW120" s="75"/>
      <c r="AX120" s="75"/>
      <c r="AY120" s="75"/>
      <c r="AZ120" s="75"/>
      <c r="BA120" s="75"/>
      <c r="BB120" s="75"/>
      <c r="BC120" s="75"/>
      <c r="BD120" s="75"/>
      <c r="BE120" s="75"/>
      <c r="BF120" s="75"/>
      <c r="BG120" s="75"/>
      <c r="BH120" s="75"/>
      <c r="BI120" s="75"/>
      <c r="BJ120" s="75"/>
      <c r="BK120" s="75"/>
      <c r="BL120" s="75"/>
      <c r="BM120" s="75"/>
      <c r="BN120" s="75"/>
      <c r="BO120" s="75"/>
      <c r="BP120" s="75"/>
      <c r="BQ120" s="75"/>
      <c r="BR120" s="75"/>
      <c r="BS120" s="75"/>
      <c r="BT120" s="75"/>
      <c r="BU120" s="75"/>
      <c r="BV120" s="75"/>
      <c r="BW120" s="75"/>
      <c r="BX120" s="75"/>
      <c r="BY120" s="75"/>
      <c r="BZ120" s="75"/>
      <c r="CA120" s="75"/>
      <c r="CB120" s="75"/>
      <c r="CC120" s="75"/>
      <c r="CD120" s="75"/>
      <c r="CE120" s="75"/>
      <c r="CF120" s="75"/>
      <c r="CG120" s="75"/>
      <c r="CH120" s="75"/>
      <c r="CI120" s="75"/>
      <c r="CJ120" s="75"/>
      <c r="CK120" s="75"/>
      <c r="CL120" s="75"/>
      <c r="CM120" s="75"/>
      <c r="CN120" s="75"/>
      <c r="CO120" s="75"/>
      <c r="CP120" s="75"/>
      <c r="CQ120" s="75"/>
      <c r="CR120" s="75"/>
      <c r="CS120" s="75"/>
      <c r="CT120" s="75"/>
      <c r="CU120" s="75"/>
      <c r="CV120" s="75"/>
      <c r="CW120" s="75"/>
      <c r="CX120" s="75"/>
      <c r="CY120" s="75"/>
      <c r="CZ120" s="75"/>
      <c r="DA120" s="75"/>
      <c r="DB120" s="75"/>
      <c r="DC120" s="75"/>
      <c r="DD120" s="75"/>
      <c r="DE120" s="75"/>
      <c r="DF120" s="75"/>
      <c r="DG120" s="75"/>
      <c r="DH120" s="75"/>
      <c r="DI120" s="75"/>
      <c r="DJ120" s="75"/>
      <c r="DK120" s="75"/>
      <c r="DL120" s="75"/>
      <c r="DM120" s="75"/>
      <c r="DN120" s="75"/>
      <c r="DO120" s="75"/>
      <c r="DP120" s="75"/>
      <c r="DQ120" s="75"/>
      <c r="DR120" s="75"/>
      <c r="DS120" s="75"/>
      <c r="DT120" s="75"/>
      <c r="DU120" s="75"/>
      <c r="DV120" s="75"/>
      <c r="DW120" s="75"/>
      <c r="DX120" s="75"/>
      <c r="DY120" s="75"/>
      <c r="DZ120" s="75"/>
      <c r="EA120" s="75"/>
      <c r="EB120" s="75"/>
      <c r="EC120" s="75"/>
      <c r="ED120" s="75"/>
      <c r="EE120" s="75"/>
      <c r="EF120" s="75"/>
      <c r="EG120" s="75"/>
      <c r="EH120" s="75"/>
      <c r="EI120" s="75"/>
      <c r="EJ120" s="75"/>
      <c r="EK120" s="75"/>
      <c r="EL120" s="75"/>
      <c r="EM120" s="75"/>
      <c r="EN120" s="75"/>
      <c r="EO120" s="75"/>
      <c r="EP120" s="75"/>
      <c r="EQ120" s="75"/>
      <c r="ER120" s="75"/>
      <c r="ES120" s="75"/>
      <c r="ET120" s="75"/>
      <c r="EU120" s="75"/>
      <c r="EV120" s="75"/>
      <c r="EW120" s="75"/>
      <c r="EX120" s="75"/>
      <c r="EY120" s="75"/>
      <c r="EZ120" s="75"/>
      <c r="FA120" s="75"/>
      <c r="FB120" s="75"/>
      <c r="FC120" s="75"/>
      <c r="FD120" s="75"/>
      <c r="FE120" s="75"/>
      <c r="FF120" s="75"/>
      <c r="FG120" s="75"/>
      <c r="FH120" s="75"/>
      <c r="FI120" s="75"/>
      <c r="FJ120" s="75"/>
      <c r="FK120" s="75"/>
      <c r="FL120" s="75"/>
      <c r="FM120" s="75"/>
      <c r="FN120" s="75"/>
      <c r="FO120" s="75"/>
      <c r="FP120" s="75"/>
      <c r="FQ120" s="75"/>
      <c r="FR120" s="75"/>
      <c r="FS120" s="75"/>
      <c r="FT120" s="75"/>
      <c r="FU120" s="75"/>
      <c r="FV120" s="75"/>
      <c r="FW120" s="75"/>
      <c r="FX120" s="75"/>
      <c r="FY120" s="75"/>
      <c r="FZ120" s="75"/>
      <c r="GA120" s="75"/>
      <c r="GB120" s="75"/>
      <c r="GC120" s="75"/>
      <c r="GD120" s="75"/>
      <c r="GE120" s="75"/>
      <c r="GF120" s="75"/>
      <c r="GG120" s="75"/>
      <c r="GH120" s="75"/>
      <c r="GI120" s="75"/>
      <c r="GJ120" s="75"/>
      <c r="GK120" s="75"/>
      <c r="GL120" s="75"/>
      <c r="GM120" s="75"/>
      <c r="GN120" s="75"/>
      <c r="GO120" s="75"/>
      <c r="GP120" s="75"/>
      <c r="GQ120" s="75"/>
      <c r="GR120" s="75"/>
      <c r="GS120" s="75"/>
      <c r="GT120" s="75"/>
      <c r="GU120" s="75"/>
      <c r="GV120" s="75"/>
      <c r="GW120" s="75"/>
      <c r="GX120" s="75"/>
      <c r="GY120" s="75"/>
      <c r="GZ120" s="75"/>
      <c r="HA120" s="75"/>
      <c r="HB120" s="75"/>
      <c r="HC120" s="75"/>
      <c r="HD120" s="75"/>
      <c r="HE120" s="75"/>
      <c r="HF120" s="75"/>
      <c r="HG120" s="75"/>
      <c r="HH120" s="75"/>
      <c r="HI120" s="75"/>
      <c r="HJ120" s="75"/>
      <c r="HK120" s="75"/>
      <c r="HL120" s="75"/>
      <c r="HM120" s="75"/>
      <c r="HN120" s="75"/>
      <c r="HO120" s="75"/>
      <c r="HP120" s="75"/>
      <c r="HQ120" s="75"/>
      <c r="HR120" s="75"/>
      <c r="HS120" s="75"/>
      <c r="HT120" s="75"/>
      <c r="HU120" s="75"/>
      <c r="HV120" s="75"/>
      <c r="HW120" s="75"/>
      <c r="HX120" s="75"/>
      <c r="HY120" s="75"/>
      <c r="HZ120" s="75"/>
      <c r="IA120" s="75"/>
      <c r="IB120" s="75"/>
      <c r="IC120" s="75"/>
      <c r="ID120" s="75"/>
      <c r="IE120" s="75"/>
      <c r="IF120" s="75"/>
      <c r="IG120" s="75"/>
      <c r="IH120" s="75"/>
      <c r="II120" s="75"/>
      <c r="IJ120" s="75"/>
      <c r="IK120" s="75"/>
      <c r="IL120" s="75"/>
      <c r="IM120" s="75"/>
      <c r="IN120" s="75"/>
      <c r="IO120" s="75"/>
      <c r="IP120" s="75"/>
      <c r="IQ120" s="75"/>
      <c r="IR120" s="75"/>
      <c r="IS120" s="75"/>
      <c r="IT120" s="75"/>
      <c r="IU120" s="75"/>
      <c r="IV120" s="75"/>
    </row>
    <row r="121" spans="1:256" s="192" customFormat="1" ht="16.5" customHeight="1" x14ac:dyDescent="0.3">
      <c r="A121" s="172">
        <v>104</v>
      </c>
      <c r="B121" s="57" t="s">
        <v>46</v>
      </c>
      <c r="C121" s="57" t="s">
        <v>141</v>
      </c>
      <c r="D121" s="20">
        <v>79976606.200000003</v>
      </c>
      <c r="E121" s="20"/>
      <c r="F121" s="20">
        <v>29352602.73</v>
      </c>
      <c r="G121" s="20">
        <v>52075081.219999999</v>
      </c>
      <c r="H121" s="77"/>
      <c r="I121" s="28"/>
      <c r="J121" s="28">
        <v>162328290.15000001</v>
      </c>
      <c r="K121" s="28">
        <v>4088785.98</v>
      </c>
      <c r="L121" s="20">
        <v>171727.73</v>
      </c>
      <c r="M121" s="152">
        <v>3917058.25</v>
      </c>
      <c r="N121" s="20">
        <v>172018202.16999999</v>
      </c>
      <c r="O121" s="20">
        <v>2208559.7799999998</v>
      </c>
      <c r="P121" s="81">
        <v>152427445.25999999</v>
      </c>
      <c r="Q121" s="23">
        <f t="shared" si="89"/>
        <v>1.0789546295470555E-4</v>
      </c>
      <c r="R121" s="81">
        <v>169809642.38999999</v>
      </c>
      <c r="S121" s="23">
        <f t="shared" si="90"/>
        <v>5.4991399766572257E-3</v>
      </c>
      <c r="T121" s="24">
        <f t="shared" si="96"/>
        <v>0.11403587523461191</v>
      </c>
      <c r="U121" s="59">
        <f t="shared" si="97"/>
        <v>1.0112955164559782E-3</v>
      </c>
      <c r="V121" s="25">
        <f>M120/R121</f>
        <v>0.59988103252727198</v>
      </c>
      <c r="W121" s="26">
        <f t="shared" si="98"/>
        <v>1.720221796227553</v>
      </c>
      <c r="X121" s="26">
        <f>M120/AE121</f>
        <v>1.0319284272969029</v>
      </c>
      <c r="Y121" s="20">
        <v>1.7202</v>
      </c>
      <c r="Z121" s="20">
        <v>1.7425999999999999</v>
      </c>
      <c r="AA121" s="27">
        <v>100</v>
      </c>
      <c r="AB121" s="27">
        <v>98620919</v>
      </c>
      <c r="AC121" s="27">
        <v>92888</v>
      </c>
      <c r="AD121" s="27">
        <v>0</v>
      </c>
      <c r="AE121" s="111">
        <v>98713807</v>
      </c>
      <c r="AF121" s="190"/>
      <c r="AG121" s="190"/>
      <c r="AH121" s="190"/>
      <c r="AI121" s="190"/>
      <c r="AJ121" s="191"/>
      <c r="AK121" s="189"/>
      <c r="AL121" s="190"/>
      <c r="AM121" s="190"/>
      <c r="AN121" s="190"/>
      <c r="AO121" s="191"/>
      <c r="AP121" s="189"/>
      <c r="AQ121" s="190"/>
      <c r="AR121" s="190"/>
      <c r="AS121" s="190"/>
      <c r="AT121" s="191"/>
      <c r="AU121" s="75"/>
      <c r="AV121" s="75"/>
      <c r="AW121" s="75"/>
      <c r="AX121" s="75"/>
      <c r="AY121" s="75"/>
      <c r="AZ121" s="75"/>
      <c r="BA121" s="75"/>
      <c r="BB121" s="75"/>
      <c r="BC121" s="75"/>
      <c r="BD121" s="75"/>
      <c r="BE121" s="75"/>
      <c r="BF121" s="75"/>
      <c r="BG121" s="75"/>
      <c r="BH121" s="75"/>
      <c r="BI121" s="75"/>
      <c r="BJ121" s="75"/>
      <c r="BK121" s="75"/>
      <c r="BL121" s="75"/>
      <c r="BM121" s="75"/>
      <c r="BN121" s="75"/>
      <c r="BO121" s="75"/>
      <c r="BP121" s="75"/>
      <c r="BQ121" s="75"/>
      <c r="BR121" s="75"/>
      <c r="BS121" s="75"/>
      <c r="BT121" s="75"/>
      <c r="BU121" s="75"/>
      <c r="BV121" s="75"/>
      <c r="BW121" s="75"/>
      <c r="BX121" s="75"/>
      <c r="BY121" s="75"/>
      <c r="BZ121" s="75"/>
      <c r="CA121" s="75"/>
      <c r="CB121" s="75"/>
      <c r="CC121" s="75"/>
      <c r="CD121" s="75"/>
      <c r="CE121" s="75"/>
      <c r="CF121" s="75"/>
      <c r="CG121" s="75"/>
      <c r="CH121" s="75"/>
      <c r="CI121" s="75"/>
      <c r="CJ121" s="75"/>
      <c r="CK121" s="75"/>
      <c r="CL121" s="75"/>
      <c r="CM121" s="75"/>
      <c r="CN121" s="75"/>
      <c r="CO121" s="75"/>
      <c r="CP121" s="75"/>
      <c r="CQ121" s="75"/>
      <c r="CR121" s="75"/>
      <c r="CS121" s="75"/>
      <c r="CT121" s="75"/>
      <c r="CU121" s="75"/>
      <c r="CV121" s="75"/>
      <c r="CW121" s="75"/>
      <c r="CX121" s="75"/>
      <c r="CY121" s="75"/>
      <c r="CZ121" s="75"/>
      <c r="DA121" s="75"/>
      <c r="DB121" s="75"/>
      <c r="DC121" s="75"/>
      <c r="DD121" s="75"/>
      <c r="DE121" s="75"/>
      <c r="DF121" s="75"/>
      <c r="DG121" s="75"/>
      <c r="DH121" s="75"/>
      <c r="DI121" s="75"/>
      <c r="DJ121" s="75"/>
      <c r="DK121" s="75"/>
      <c r="DL121" s="75"/>
      <c r="DM121" s="75"/>
      <c r="DN121" s="75"/>
      <c r="DO121" s="75"/>
      <c r="DP121" s="75"/>
      <c r="DQ121" s="75"/>
      <c r="DR121" s="75"/>
      <c r="DS121" s="75"/>
      <c r="DT121" s="75"/>
      <c r="DU121" s="75"/>
      <c r="DV121" s="75"/>
      <c r="DW121" s="75"/>
      <c r="DX121" s="75"/>
      <c r="DY121" s="75"/>
      <c r="DZ121" s="75"/>
      <c r="EA121" s="75"/>
      <c r="EB121" s="75"/>
      <c r="EC121" s="75"/>
      <c r="ED121" s="75"/>
      <c r="EE121" s="75"/>
      <c r="EF121" s="75"/>
      <c r="EG121" s="75"/>
      <c r="EH121" s="75"/>
      <c r="EI121" s="75"/>
      <c r="EJ121" s="75"/>
      <c r="EK121" s="75"/>
      <c r="EL121" s="75"/>
      <c r="EM121" s="75"/>
      <c r="EN121" s="75"/>
      <c r="EO121" s="75"/>
      <c r="EP121" s="75"/>
      <c r="EQ121" s="75"/>
      <c r="ER121" s="75"/>
      <c r="ES121" s="75"/>
      <c r="ET121" s="75"/>
      <c r="EU121" s="75"/>
      <c r="EV121" s="75"/>
      <c r="EW121" s="75"/>
      <c r="EX121" s="75"/>
      <c r="EY121" s="75"/>
      <c r="EZ121" s="75"/>
      <c r="FA121" s="75"/>
      <c r="FB121" s="75"/>
      <c r="FC121" s="75"/>
      <c r="FD121" s="75"/>
      <c r="FE121" s="75"/>
      <c r="FF121" s="75"/>
      <c r="FG121" s="75"/>
      <c r="FH121" s="75"/>
      <c r="FI121" s="75"/>
      <c r="FJ121" s="75"/>
      <c r="FK121" s="75"/>
      <c r="FL121" s="75"/>
      <c r="FM121" s="75"/>
      <c r="FN121" s="75"/>
      <c r="FO121" s="75"/>
      <c r="FP121" s="75"/>
      <c r="FQ121" s="75"/>
      <c r="FR121" s="75"/>
      <c r="FS121" s="75"/>
      <c r="FT121" s="75"/>
      <c r="FU121" s="75"/>
      <c r="FV121" s="75"/>
      <c r="FW121" s="75"/>
      <c r="FX121" s="75"/>
      <c r="FY121" s="75"/>
      <c r="FZ121" s="75"/>
      <c r="GA121" s="75"/>
      <c r="GB121" s="75"/>
      <c r="GC121" s="75"/>
      <c r="GD121" s="75"/>
      <c r="GE121" s="75"/>
      <c r="GF121" s="75"/>
      <c r="GG121" s="75"/>
      <c r="GH121" s="75"/>
      <c r="GI121" s="75"/>
      <c r="GJ121" s="75"/>
      <c r="GK121" s="75"/>
      <c r="GL121" s="75"/>
      <c r="GM121" s="75"/>
      <c r="GN121" s="75"/>
      <c r="GO121" s="75"/>
      <c r="GP121" s="75"/>
      <c r="GQ121" s="75"/>
      <c r="GR121" s="75"/>
      <c r="GS121" s="75"/>
      <c r="GT121" s="75"/>
      <c r="GU121" s="75"/>
      <c r="GV121" s="75"/>
      <c r="GW121" s="75"/>
      <c r="GX121" s="75"/>
      <c r="GY121" s="75"/>
      <c r="GZ121" s="75"/>
      <c r="HA121" s="75"/>
      <c r="HB121" s="75"/>
      <c r="HC121" s="75"/>
      <c r="HD121" s="75"/>
      <c r="HE121" s="75"/>
      <c r="HF121" s="75"/>
      <c r="HG121" s="75"/>
      <c r="HH121" s="75"/>
      <c r="HI121" s="75"/>
      <c r="HJ121" s="75"/>
      <c r="HK121" s="75"/>
      <c r="HL121" s="75"/>
      <c r="HM121" s="75"/>
      <c r="HN121" s="75"/>
      <c r="HO121" s="75"/>
      <c r="HP121" s="75"/>
      <c r="HQ121" s="75"/>
      <c r="HR121" s="75"/>
      <c r="HS121" s="75"/>
      <c r="HT121" s="75"/>
      <c r="HU121" s="75"/>
      <c r="HV121" s="75"/>
      <c r="HW121" s="75"/>
      <c r="HX121" s="75"/>
      <c r="HY121" s="75"/>
      <c r="HZ121" s="75"/>
      <c r="IA121" s="75"/>
      <c r="IB121" s="75"/>
      <c r="IC121" s="75"/>
      <c r="ID121" s="75"/>
      <c r="IE121" s="75"/>
      <c r="IF121" s="75"/>
      <c r="IG121" s="75"/>
      <c r="IH121" s="75"/>
      <c r="II121" s="75"/>
      <c r="IJ121" s="75"/>
      <c r="IK121" s="75"/>
      <c r="IL121" s="75"/>
      <c r="IM121" s="75"/>
      <c r="IN121" s="75"/>
      <c r="IO121" s="75"/>
      <c r="IP121" s="75"/>
      <c r="IQ121" s="75"/>
      <c r="IR121" s="75"/>
      <c r="IS121" s="75"/>
      <c r="IT121" s="75"/>
      <c r="IU121" s="75"/>
      <c r="IV121" s="75"/>
    </row>
    <row r="122" spans="1:256" s="192" customFormat="1" ht="16.5" customHeight="1" x14ac:dyDescent="0.3">
      <c r="A122" s="172">
        <v>105</v>
      </c>
      <c r="B122" s="58" t="s">
        <v>33</v>
      </c>
      <c r="C122" s="58" t="s">
        <v>136</v>
      </c>
      <c r="D122" s="20">
        <v>267497399</v>
      </c>
      <c r="E122" s="20"/>
      <c r="F122" s="20">
        <v>9483188</v>
      </c>
      <c r="G122" s="20"/>
      <c r="H122" s="29"/>
      <c r="I122" s="28"/>
      <c r="J122" s="28">
        <v>276980587.66000003</v>
      </c>
      <c r="K122" s="28">
        <v>7212269.4400000004</v>
      </c>
      <c r="L122" s="20">
        <v>1116920</v>
      </c>
      <c r="M122" s="152">
        <v>23563867</v>
      </c>
      <c r="N122" s="20">
        <v>647775988</v>
      </c>
      <c r="O122" s="20">
        <v>24934766</v>
      </c>
      <c r="P122" s="81">
        <v>604205097</v>
      </c>
      <c r="Q122" s="23">
        <f t="shared" si="89"/>
        <v>4.2768537220583589E-4</v>
      </c>
      <c r="R122" s="81">
        <v>622841222</v>
      </c>
      <c r="S122" s="23">
        <f t="shared" si="90"/>
        <v>2.0170180060469521E-2</v>
      </c>
      <c r="T122" s="24">
        <f t="shared" si="96"/>
        <v>3.0844038046901813E-2</v>
      </c>
      <c r="U122" s="59">
        <f t="shared" si="97"/>
        <v>1.7932660211754578E-3</v>
      </c>
      <c r="V122" s="25">
        <f>M122/R122</f>
        <v>3.7832863605806746E-2</v>
      </c>
      <c r="W122" s="26">
        <f t="shared" si="98"/>
        <v>1.1863296480471175</v>
      </c>
      <c r="X122" s="26">
        <f>M122/AE122</f>
        <v>4.4882247766091315E-2</v>
      </c>
      <c r="Y122" s="20">
        <v>1.19</v>
      </c>
      <c r="Z122" s="20">
        <v>1.2</v>
      </c>
      <c r="AA122" s="27">
        <v>251</v>
      </c>
      <c r="AB122" s="27">
        <v>526548942</v>
      </c>
      <c r="AC122" s="27">
        <v>0</v>
      </c>
      <c r="AD122" s="27">
        <v>1533637</v>
      </c>
      <c r="AE122" s="111">
        <v>525015305</v>
      </c>
      <c r="AF122" s="190"/>
      <c r="AG122" s="190"/>
      <c r="AH122" s="190"/>
      <c r="AI122" s="190"/>
      <c r="AJ122" s="191"/>
      <c r="AK122" s="189"/>
      <c r="AL122" s="190"/>
      <c r="AM122" s="190"/>
      <c r="AN122" s="190"/>
      <c r="AO122" s="191"/>
      <c r="AP122" s="189"/>
      <c r="AQ122" s="190"/>
      <c r="AR122" s="190"/>
      <c r="AS122" s="190"/>
      <c r="AT122" s="191"/>
      <c r="AU122" s="75"/>
      <c r="AV122" s="75"/>
      <c r="AW122" s="75"/>
      <c r="AX122" s="75"/>
      <c r="AY122" s="75"/>
      <c r="AZ122" s="75"/>
      <c r="BA122" s="75"/>
      <c r="BB122" s="75"/>
      <c r="BC122" s="75"/>
      <c r="BD122" s="75"/>
      <c r="BE122" s="75"/>
      <c r="BF122" s="75"/>
      <c r="BG122" s="75"/>
      <c r="BH122" s="75"/>
      <c r="BI122" s="75"/>
      <c r="BJ122" s="75"/>
      <c r="BK122" s="75"/>
      <c r="BL122" s="75"/>
      <c r="BM122" s="75"/>
      <c r="BN122" s="75"/>
      <c r="BO122" s="75"/>
      <c r="BP122" s="75"/>
      <c r="BQ122" s="75"/>
      <c r="BR122" s="75"/>
      <c r="BS122" s="75"/>
      <c r="BT122" s="75"/>
      <c r="BU122" s="75"/>
      <c r="BV122" s="75"/>
      <c r="BW122" s="75"/>
      <c r="BX122" s="75"/>
      <c r="BY122" s="75"/>
      <c r="BZ122" s="75"/>
      <c r="CA122" s="75"/>
      <c r="CB122" s="75"/>
      <c r="CC122" s="75"/>
      <c r="CD122" s="75"/>
      <c r="CE122" s="75"/>
      <c r="CF122" s="75"/>
      <c r="CG122" s="75"/>
      <c r="CH122" s="75"/>
      <c r="CI122" s="75"/>
      <c r="CJ122" s="75"/>
      <c r="CK122" s="75"/>
      <c r="CL122" s="75"/>
      <c r="CM122" s="75"/>
      <c r="CN122" s="75"/>
      <c r="CO122" s="75"/>
      <c r="CP122" s="75"/>
      <c r="CQ122" s="75"/>
      <c r="CR122" s="75"/>
      <c r="CS122" s="75"/>
      <c r="CT122" s="75"/>
      <c r="CU122" s="75"/>
      <c r="CV122" s="75"/>
      <c r="CW122" s="75"/>
      <c r="CX122" s="75"/>
      <c r="CY122" s="75"/>
      <c r="CZ122" s="75"/>
      <c r="DA122" s="75"/>
      <c r="DB122" s="75"/>
      <c r="DC122" s="75"/>
      <c r="DD122" s="75"/>
      <c r="DE122" s="75"/>
      <c r="DF122" s="75"/>
      <c r="DG122" s="75"/>
      <c r="DH122" s="75"/>
      <c r="DI122" s="75"/>
      <c r="DJ122" s="75"/>
      <c r="DK122" s="75"/>
      <c r="DL122" s="75"/>
      <c r="DM122" s="75"/>
      <c r="DN122" s="75"/>
      <c r="DO122" s="75"/>
      <c r="DP122" s="75"/>
      <c r="DQ122" s="75"/>
      <c r="DR122" s="75"/>
      <c r="DS122" s="75"/>
      <c r="DT122" s="75"/>
      <c r="DU122" s="75"/>
      <c r="DV122" s="75"/>
      <c r="DW122" s="75"/>
      <c r="DX122" s="75"/>
      <c r="DY122" s="75"/>
      <c r="DZ122" s="75"/>
      <c r="EA122" s="75"/>
      <c r="EB122" s="75"/>
      <c r="EC122" s="75"/>
      <c r="ED122" s="75"/>
      <c r="EE122" s="75"/>
      <c r="EF122" s="75"/>
      <c r="EG122" s="75"/>
      <c r="EH122" s="75"/>
      <c r="EI122" s="75"/>
      <c r="EJ122" s="75"/>
      <c r="EK122" s="75"/>
      <c r="EL122" s="75"/>
      <c r="EM122" s="75"/>
      <c r="EN122" s="75"/>
      <c r="EO122" s="75"/>
      <c r="EP122" s="75"/>
      <c r="EQ122" s="75"/>
      <c r="ER122" s="75"/>
      <c r="ES122" s="75"/>
      <c r="ET122" s="75"/>
      <c r="EU122" s="75"/>
      <c r="EV122" s="75"/>
      <c r="EW122" s="75"/>
      <c r="EX122" s="75"/>
      <c r="EY122" s="75"/>
      <c r="EZ122" s="75"/>
      <c r="FA122" s="75"/>
      <c r="FB122" s="75"/>
      <c r="FC122" s="75"/>
      <c r="FD122" s="75"/>
      <c r="FE122" s="75"/>
      <c r="FF122" s="75"/>
      <c r="FG122" s="75"/>
      <c r="FH122" s="75"/>
      <c r="FI122" s="75"/>
      <c r="FJ122" s="75"/>
      <c r="FK122" s="75"/>
      <c r="FL122" s="75"/>
      <c r="FM122" s="75"/>
      <c r="FN122" s="75"/>
      <c r="FO122" s="75"/>
      <c r="FP122" s="75"/>
      <c r="FQ122" s="75"/>
      <c r="FR122" s="75"/>
      <c r="FS122" s="75"/>
      <c r="FT122" s="75"/>
      <c r="FU122" s="75"/>
      <c r="FV122" s="75"/>
      <c r="FW122" s="75"/>
      <c r="FX122" s="75"/>
      <c r="FY122" s="75"/>
      <c r="FZ122" s="75"/>
      <c r="GA122" s="75"/>
      <c r="GB122" s="75"/>
      <c r="GC122" s="75"/>
      <c r="GD122" s="75"/>
      <c r="GE122" s="75"/>
      <c r="GF122" s="75"/>
      <c r="GG122" s="75"/>
      <c r="GH122" s="75"/>
      <c r="GI122" s="75"/>
      <c r="GJ122" s="75"/>
      <c r="GK122" s="75"/>
      <c r="GL122" s="75"/>
      <c r="GM122" s="75"/>
      <c r="GN122" s="75"/>
      <c r="GO122" s="75"/>
      <c r="GP122" s="75"/>
      <c r="GQ122" s="75"/>
      <c r="GR122" s="75"/>
      <c r="GS122" s="75"/>
      <c r="GT122" s="75"/>
      <c r="GU122" s="75"/>
      <c r="GV122" s="75"/>
      <c r="GW122" s="75"/>
      <c r="GX122" s="75"/>
      <c r="GY122" s="75"/>
      <c r="GZ122" s="75"/>
      <c r="HA122" s="75"/>
      <c r="HB122" s="75"/>
      <c r="HC122" s="75"/>
      <c r="HD122" s="75"/>
      <c r="HE122" s="75"/>
      <c r="HF122" s="75"/>
      <c r="HG122" s="75"/>
      <c r="HH122" s="75"/>
      <c r="HI122" s="75"/>
      <c r="HJ122" s="75"/>
      <c r="HK122" s="75"/>
      <c r="HL122" s="75"/>
      <c r="HM122" s="75"/>
      <c r="HN122" s="75"/>
      <c r="HO122" s="75"/>
      <c r="HP122" s="75"/>
      <c r="HQ122" s="75"/>
      <c r="HR122" s="75"/>
      <c r="HS122" s="75"/>
      <c r="HT122" s="75"/>
      <c r="HU122" s="75"/>
      <c r="HV122" s="75"/>
      <c r="HW122" s="75"/>
      <c r="HX122" s="75"/>
      <c r="HY122" s="75"/>
      <c r="HZ122" s="75"/>
      <c r="IA122" s="75"/>
      <c r="IB122" s="75"/>
      <c r="IC122" s="75"/>
      <c r="ID122" s="75"/>
      <c r="IE122" s="75"/>
      <c r="IF122" s="75"/>
      <c r="IG122" s="75"/>
      <c r="IH122" s="75"/>
      <c r="II122" s="75"/>
      <c r="IJ122" s="75"/>
      <c r="IK122" s="75"/>
      <c r="IL122" s="75"/>
      <c r="IM122" s="75"/>
      <c r="IN122" s="75"/>
      <c r="IO122" s="75"/>
      <c r="IP122" s="75"/>
      <c r="IQ122" s="75"/>
      <c r="IR122" s="75"/>
      <c r="IS122" s="75"/>
      <c r="IT122" s="75"/>
      <c r="IU122" s="75"/>
      <c r="IV122" s="75"/>
    </row>
    <row r="123" spans="1:256" s="192" customFormat="1" ht="16.5" customHeight="1" x14ac:dyDescent="0.3">
      <c r="A123" s="172">
        <v>106</v>
      </c>
      <c r="B123" s="57" t="s">
        <v>72</v>
      </c>
      <c r="C123" s="58" t="s">
        <v>138</v>
      </c>
      <c r="D123" s="20">
        <v>61074239.5</v>
      </c>
      <c r="E123" s="20"/>
      <c r="F123" s="20">
        <v>53086605.350000001</v>
      </c>
      <c r="G123" s="20">
        <v>3668211.99</v>
      </c>
      <c r="H123" s="29"/>
      <c r="I123" s="28"/>
      <c r="J123" s="28">
        <v>117829056.84</v>
      </c>
      <c r="K123" s="28">
        <v>1532521.56</v>
      </c>
      <c r="L123" s="20">
        <v>312008.7</v>
      </c>
      <c r="M123" s="152">
        <v>4124952.96</v>
      </c>
      <c r="N123" s="20">
        <v>124732179.73</v>
      </c>
      <c r="O123" s="20">
        <v>1099699.06</v>
      </c>
      <c r="P123" s="81">
        <v>137723711.78999999</v>
      </c>
      <c r="Q123" s="23">
        <f t="shared" si="89"/>
        <v>9.7487454559615233E-5</v>
      </c>
      <c r="R123" s="81">
        <v>123632480.68000001</v>
      </c>
      <c r="S123" s="23">
        <f t="shared" si="90"/>
        <v>4.0037321046777468E-3</v>
      </c>
      <c r="T123" s="24">
        <f t="shared" si="96"/>
        <v>-0.10231521447436866</v>
      </c>
      <c r="U123" s="59">
        <f t="shared" si="97"/>
        <v>2.523679038743688E-3</v>
      </c>
      <c r="V123" s="25">
        <f>M123/R123</f>
        <v>3.3364637976299155E-2</v>
      </c>
      <c r="W123" s="26">
        <f t="shared" si="98"/>
        <v>1.19653377842067</v>
      </c>
      <c r="X123" s="26">
        <f>M123/AE123</f>
        <v>3.9921916343419003E-2</v>
      </c>
      <c r="Y123" s="20">
        <v>1.1891</v>
      </c>
      <c r="Z123" s="20">
        <v>1.2019</v>
      </c>
      <c r="AA123" s="27">
        <v>113</v>
      </c>
      <c r="AB123" s="27">
        <v>118832941.86</v>
      </c>
      <c r="AC123" s="27">
        <v>387399.11</v>
      </c>
      <c r="AD123" s="27">
        <v>15894816.1</v>
      </c>
      <c r="AE123" s="150">
        <f>(AB123+AC123)-AD123</f>
        <v>103325524.87</v>
      </c>
      <c r="AF123" s="190"/>
      <c r="AG123" s="190"/>
      <c r="AH123" s="190"/>
      <c r="AI123" s="190"/>
      <c r="AJ123" s="191"/>
      <c r="AK123" s="189"/>
      <c r="AL123" s="190"/>
      <c r="AM123" s="190"/>
      <c r="AN123" s="190"/>
      <c r="AO123" s="191"/>
      <c r="AP123" s="189"/>
      <c r="AQ123" s="190"/>
      <c r="AR123" s="190"/>
      <c r="AS123" s="190"/>
      <c r="AT123" s="191"/>
      <c r="AU123" s="75"/>
      <c r="AV123" s="75"/>
      <c r="AW123" s="75"/>
      <c r="AX123" s="75"/>
      <c r="AY123" s="75"/>
      <c r="AZ123" s="75"/>
      <c r="BA123" s="75"/>
      <c r="BB123" s="75"/>
      <c r="BC123" s="75"/>
      <c r="BD123" s="75"/>
      <c r="BE123" s="75"/>
      <c r="BF123" s="75"/>
      <c r="BG123" s="75"/>
      <c r="BH123" s="75"/>
      <c r="BI123" s="75"/>
      <c r="BJ123" s="75"/>
      <c r="BK123" s="75"/>
      <c r="BL123" s="75"/>
      <c r="BM123" s="75"/>
      <c r="BN123" s="75"/>
      <c r="BO123" s="75"/>
      <c r="BP123" s="75"/>
      <c r="BQ123" s="75"/>
      <c r="BR123" s="75"/>
      <c r="BS123" s="75"/>
      <c r="BT123" s="75"/>
      <c r="BU123" s="75"/>
      <c r="BV123" s="75"/>
      <c r="BW123" s="75"/>
      <c r="BX123" s="75"/>
      <c r="BY123" s="75"/>
      <c r="BZ123" s="75"/>
      <c r="CA123" s="75"/>
      <c r="CB123" s="75"/>
      <c r="CC123" s="75"/>
      <c r="CD123" s="75"/>
      <c r="CE123" s="75"/>
      <c r="CF123" s="75"/>
      <c r="CG123" s="75"/>
      <c r="CH123" s="75"/>
      <c r="CI123" s="75"/>
      <c r="CJ123" s="75"/>
      <c r="CK123" s="75"/>
      <c r="CL123" s="75"/>
      <c r="CM123" s="75"/>
      <c r="CN123" s="75"/>
      <c r="CO123" s="75"/>
      <c r="CP123" s="75"/>
      <c r="CQ123" s="75"/>
      <c r="CR123" s="75"/>
      <c r="CS123" s="75"/>
      <c r="CT123" s="75"/>
      <c r="CU123" s="75"/>
      <c r="CV123" s="75"/>
      <c r="CW123" s="75"/>
      <c r="CX123" s="75"/>
      <c r="CY123" s="75"/>
      <c r="CZ123" s="75"/>
      <c r="DA123" s="75"/>
      <c r="DB123" s="75"/>
      <c r="DC123" s="75"/>
      <c r="DD123" s="75"/>
      <c r="DE123" s="75"/>
      <c r="DF123" s="75"/>
      <c r="DG123" s="75"/>
      <c r="DH123" s="75"/>
      <c r="DI123" s="75"/>
      <c r="DJ123" s="75"/>
      <c r="DK123" s="75"/>
      <c r="DL123" s="75"/>
      <c r="DM123" s="75"/>
      <c r="DN123" s="75"/>
      <c r="DO123" s="75"/>
      <c r="DP123" s="75"/>
      <c r="DQ123" s="75"/>
      <c r="DR123" s="75"/>
      <c r="DS123" s="75"/>
      <c r="DT123" s="75"/>
      <c r="DU123" s="75"/>
      <c r="DV123" s="75"/>
      <c r="DW123" s="75"/>
      <c r="DX123" s="75"/>
      <c r="DY123" s="75"/>
      <c r="DZ123" s="75"/>
      <c r="EA123" s="75"/>
      <c r="EB123" s="75"/>
      <c r="EC123" s="75"/>
      <c r="ED123" s="75"/>
      <c r="EE123" s="75"/>
      <c r="EF123" s="75"/>
      <c r="EG123" s="75"/>
      <c r="EH123" s="75"/>
      <c r="EI123" s="75"/>
      <c r="EJ123" s="75"/>
      <c r="EK123" s="75"/>
      <c r="EL123" s="75"/>
      <c r="EM123" s="75"/>
      <c r="EN123" s="75"/>
      <c r="EO123" s="75"/>
      <c r="EP123" s="75"/>
      <c r="EQ123" s="75"/>
      <c r="ER123" s="75"/>
      <c r="ES123" s="75"/>
      <c r="ET123" s="75"/>
      <c r="EU123" s="75"/>
      <c r="EV123" s="75"/>
      <c r="EW123" s="75"/>
      <c r="EX123" s="75"/>
      <c r="EY123" s="75"/>
      <c r="EZ123" s="75"/>
      <c r="FA123" s="75"/>
      <c r="FB123" s="75"/>
      <c r="FC123" s="75"/>
      <c r="FD123" s="75"/>
      <c r="FE123" s="75"/>
      <c r="FF123" s="75"/>
      <c r="FG123" s="75"/>
      <c r="FH123" s="75"/>
      <c r="FI123" s="75"/>
      <c r="FJ123" s="75"/>
      <c r="FK123" s="75"/>
      <c r="FL123" s="75"/>
      <c r="FM123" s="75"/>
      <c r="FN123" s="75"/>
      <c r="FO123" s="75"/>
      <c r="FP123" s="75"/>
      <c r="FQ123" s="75"/>
      <c r="FR123" s="75"/>
      <c r="FS123" s="75"/>
      <c r="FT123" s="75"/>
      <c r="FU123" s="75"/>
      <c r="FV123" s="75"/>
      <c r="FW123" s="75"/>
      <c r="FX123" s="75"/>
      <c r="FY123" s="75"/>
      <c r="FZ123" s="75"/>
      <c r="GA123" s="75"/>
      <c r="GB123" s="75"/>
      <c r="GC123" s="75"/>
      <c r="GD123" s="75"/>
      <c r="GE123" s="75"/>
      <c r="GF123" s="75"/>
      <c r="GG123" s="75"/>
      <c r="GH123" s="75"/>
      <c r="GI123" s="75"/>
      <c r="GJ123" s="75"/>
      <c r="GK123" s="75"/>
      <c r="GL123" s="75"/>
      <c r="GM123" s="75"/>
      <c r="GN123" s="75"/>
      <c r="GO123" s="75"/>
      <c r="GP123" s="75"/>
      <c r="GQ123" s="75"/>
      <c r="GR123" s="75"/>
      <c r="GS123" s="75"/>
      <c r="GT123" s="75"/>
      <c r="GU123" s="75"/>
      <c r="GV123" s="75"/>
      <c r="GW123" s="75"/>
      <c r="GX123" s="75"/>
      <c r="GY123" s="75"/>
      <c r="GZ123" s="75"/>
      <c r="HA123" s="75"/>
      <c r="HB123" s="75"/>
      <c r="HC123" s="75"/>
      <c r="HD123" s="75"/>
      <c r="HE123" s="75"/>
      <c r="HF123" s="75"/>
      <c r="HG123" s="75"/>
      <c r="HH123" s="75"/>
      <c r="HI123" s="75"/>
      <c r="HJ123" s="75"/>
      <c r="HK123" s="75"/>
      <c r="HL123" s="75"/>
      <c r="HM123" s="75"/>
      <c r="HN123" s="75"/>
      <c r="HO123" s="75"/>
      <c r="HP123" s="75"/>
      <c r="HQ123" s="75"/>
      <c r="HR123" s="75"/>
      <c r="HS123" s="75"/>
      <c r="HT123" s="75"/>
      <c r="HU123" s="75"/>
      <c r="HV123" s="75"/>
      <c r="HW123" s="75"/>
      <c r="HX123" s="75"/>
      <c r="HY123" s="75"/>
      <c r="HZ123" s="75"/>
      <c r="IA123" s="75"/>
      <c r="IB123" s="75"/>
      <c r="IC123" s="75"/>
      <c r="ID123" s="75"/>
      <c r="IE123" s="75"/>
      <c r="IF123" s="75"/>
      <c r="IG123" s="75"/>
      <c r="IH123" s="75"/>
      <c r="II123" s="75"/>
      <c r="IJ123" s="75"/>
      <c r="IK123" s="75"/>
      <c r="IL123" s="75"/>
      <c r="IM123" s="75"/>
      <c r="IN123" s="75"/>
      <c r="IO123" s="75"/>
      <c r="IP123" s="75"/>
      <c r="IQ123" s="75"/>
      <c r="IR123" s="75"/>
      <c r="IS123" s="75"/>
      <c r="IT123" s="75"/>
      <c r="IU123" s="75"/>
      <c r="IV123" s="75"/>
    </row>
    <row r="124" spans="1:256" s="192" customFormat="1" ht="16.5" customHeight="1" x14ac:dyDescent="0.3">
      <c r="A124" s="172">
        <v>107</v>
      </c>
      <c r="B124" s="57" t="s">
        <v>63</v>
      </c>
      <c r="C124" s="58" t="s">
        <v>218</v>
      </c>
      <c r="D124" s="20">
        <v>57639146.100000001</v>
      </c>
      <c r="E124" s="20"/>
      <c r="F124" s="20"/>
      <c r="G124" s="20"/>
      <c r="H124" s="29"/>
      <c r="I124" s="28"/>
      <c r="J124" s="28">
        <v>57639146.100000001</v>
      </c>
      <c r="K124" s="28">
        <v>1301671.8500000001</v>
      </c>
      <c r="L124" s="20">
        <v>318573.98</v>
      </c>
      <c r="M124" s="152">
        <v>983097.87</v>
      </c>
      <c r="N124" s="20">
        <v>231003752.72</v>
      </c>
      <c r="O124" s="20">
        <v>1266651.04</v>
      </c>
      <c r="P124" s="81">
        <v>224448392.86000001</v>
      </c>
      <c r="Q124" s="23">
        <f t="shared" si="89"/>
        <v>1.5887534699385493E-4</v>
      </c>
      <c r="R124" s="81">
        <v>228161322.97</v>
      </c>
      <c r="S124" s="23">
        <f t="shared" si="90"/>
        <v>7.3888092255073009E-3</v>
      </c>
      <c r="T124" s="24">
        <f t="shared" si="96"/>
        <v>1.6542466901582717E-2</v>
      </c>
      <c r="U124" s="59">
        <f t="shared" si="97"/>
        <v>1.3962663603676946E-3</v>
      </c>
      <c r="V124" s="25">
        <f>M124/R124</f>
        <v>4.3087840533308245E-3</v>
      </c>
      <c r="W124" s="26">
        <f t="shared" si="98"/>
        <v>149.53122532185466</v>
      </c>
      <c r="X124" s="26">
        <f>M124/AE124</f>
        <v>0.64429775914182574</v>
      </c>
      <c r="Y124" s="20">
        <v>149.04</v>
      </c>
      <c r="Z124" s="20">
        <v>150.9</v>
      </c>
      <c r="AA124" s="27">
        <v>39</v>
      </c>
      <c r="AB124" s="27">
        <v>1525844</v>
      </c>
      <c r="AC124" s="27">
        <v>0</v>
      </c>
      <c r="AD124" s="27">
        <v>0</v>
      </c>
      <c r="AE124" s="111">
        <v>1525844</v>
      </c>
      <c r="AF124" s="190"/>
      <c r="AG124" s="190"/>
      <c r="AH124" s="190"/>
      <c r="AI124" s="190"/>
      <c r="AJ124" s="191"/>
      <c r="AK124" s="189"/>
      <c r="AL124" s="190"/>
      <c r="AM124" s="190"/>
      <c r="AN124" s="190"/>
      <c r="AO124" s="191"/>
      <c r="AP124" s="189"/>
      <c r="AQ124" s="190"/>
      <c r="AR124" s="190"/>
      <c r="AS124" s="190"/>
      <c r="AT124" s="191"/>
      <c r="AU124" s="75"/>
      <c r="AV124" s="75"/>
      <c r="AW124" s="75"/>
      <c r="AX124" s="75"/>
      <c r="AY124" s="75"/>
      <c r="AZ124" s="75"/>
      <c r="BA124" s="75"/>
      <c r="BB124" s="75"/>
      <c r="BC124" s="75"/>
      <c r="BD124" s="75"/>
      <c r="BE124" s="75"/>
      <c r="BF124" s="75"/>
      <c r="BG124" s="75"/>
      <c r="BH124" s="75"/>
      <c r="BI124" s="75"/>
      <c r="BJ124" s="75"/>
      <c r="BK124" s="75"/>
      <c r="BL124" s="75"/>
      <c r="BM124" s="75"/>
      <c r="BN124" s="75"/>
      <c r="BO124" s="75"/>
      <c r="BP124" s="75"/>
      <c r="BQ124" s="75"/>
      <c r="BR124" s="75"/>
      <c r="BS124" s="75"/>
      <c r="BT124" s="75"/>
      <c r="BU124" s="75"/>
      <c r="BV124" s="75"/>
      <c r="BW124" s="75"/>
      <c r="BX124" s="75"/>
      <c r="BY124" s="75"/>
      <c r="BZ124" s="75"/>
      <c r="CA124" s="75"/>
      <c r="CB124" s="75"/>
      <c r="CC124" s="75"/>
      <c r="CD124" s="75"/>
      <c r="CE124" s="75"/>
      <c r="CF124" s="75"/>
      <c r="CG124" s="75"/>
      <c r="CH124" s="75"/>
      <c r="CI124" s="75"/>
      <c r="CJ124" s="75"/>
      <c r="CK124" s="75"/>
      <c r="CL124" s="75"/>
      <c r="CM124" s="75"/>
      <c r="CN124" s="75"/>
      <c r="CO124" s="75"/>
      <c r="CP124" s="75"/>
      <c r="CQ124" s="75"/>
      <c r="CR124" s="75"/>
      <c r="CS124" s="75"/>
      <c r="CT124" s="75"/>
      <c r="CU124" s="75"/>
      <c r="CV124" s="75"/>
      <c r="CW124" s="75"/>
      <c r="CX124" s="75"/>
      <c r="CY124" s="75"/>
      <c r="CZ124" s="75"/>
      <c r="DA124" s="75"/>
      <c r="DB124" s="75"/>
      <c r="DC124" s="75"/>
      <c r="DD124" s="75"/>
      <c r="DE124" s="75"/>
      <c r="DF124" s="75"/>
      <c r="DG124" s="75"/>
      <c r="DH124" s="75"/>
      <c r="DI124" s="75"/>
      <c r="DJ124" s="75"/>
      <c r="DK124" s="75"/>
      <c r="DL124" s="75"/>
      <c r="DM124" s="75"/>
      <c r="DN124" s="75"/>
      <c r="DO124" s="75"/>
      <c r="DP124" s="75"/>
      <c r="DQ124" s="75"/>
      <c r="DR124" s="75"/>
      <c r="DS124" s="75"/>
      <c r="DT124" s="75"/>
      <c r="DU124" s="75"/>
      <c r="DV124" s="75"/>
      <c r="DW124" s="75"/>
      <c r="DX124" s="75"/>
      <c r="DY124" s="75"/>
      <c r="DZ124" s="75"/>
      <c r="EA124" s="75"/>
      <c r="EB124" s="75"/>
      <c r="EC124" s="75"/>
      <c r="ED124" s="75"/>
      <c r="EE124" s="75"/>
      <c r="EF124" s="75"/>
      <c r="EG124" s="75"/>
      <c r="EH124" s="75"/>
      <c r="EI124" s="75"/>
      <c r="EJ124" s="75"/>
      <c r="EK124" s="75"/>
      <c r="EL124" s="75"/>
      <c r="EM124" s="75"/>
      <c r="EN124" s="75"/>
      <c r="EO124" s="75"/>
      <c r="EP124" s="75"/>
      <c r="EQ124" s="75"/>
      <c r="ER124" s="75"/>
      <c r="ES124" s="75"/>
      <c r="ET124" s="75"/>
      <c r="EU124" s="75"/>
      <c r="EV124" s="75"/>
      <c r="EW124" s="75"/>
      <c r="EX124" s="75"/>
      <c r="EY124" s="75"/>
      <c r="EZ124" s="75"/>
      <c r="FA124" s="75"/>
      <c r="FB124" s="75"/>
      <c r="FC124" s="75"/>
      <c r="FD124" s="75"/>
      <c r="FE124" s="75"/>
      <c r="FF124" s="75"/>
      <c r="FG124" s="75"/>
      <c r="FH124" s="75"/>
      <c r="FI124" s="75"/>
      <c r="FJ124" s="75"/>
      <c r="FK124" s="75"/>
      <c r="FL124" s="75"/>
      <c r="FM124" s="75"/>
      <c r="FN124" s="75"/>
      <c r="FO124" s="75"/>
      <c r="FP124" s="75"/>
      <c r="FQ124" s="75"/>
      <c r="FR124" s="75"/>
      <c r="FS124" s="75"/>
      <c r="FT124" s="75"/>
      <c r="FU124" s="75"/>
      <c r="FV124" s="75"/>
      <c r="FW124" s="75"/>
      <c r="FX124" s="75"/>
      <c r="FY124" s="75"/>
      <c r="FZ124" s="75"/>
      <c r="GA124" s="75"/>
      <c r="GB124" s="75"/>
      <c r="GC124" s="75"/>
      <c r="GD124" s="75"/>
      <c r="GE124" s="75"/>
      <c r="GF124" s="75"/>
      <c r="GG124" s="75"/>
      <c r="GH124" s="75"/>
      <c r="GI124" s="75"/>
      <c r="GJ124" s="75"/>
      <c r="GK124" s="75"/>
      <c r="GL124" s="75"/>
      <c r="GM124" s="75"/>
      <c r="GN124" s="75"/>
      <c r="GO124" s="75"/>
      <c r="GP124" s="75"/>
      <c r="GQ124" s="75"/>
      <c r="GR124" s="75"/>
      <c r="GS124" s="75"/>
      <c r="GT124" s="75"/>
      <c r="GU124" s="75"/>
      <c r="GV124" s="75"/>
      <c r="GW124" s="75"/>
      <c r="GX124" s="75"/>
      <c r="GY124" s="75"/>
      <c r="GZ124" s="75"/>
      <c r="HA124" s="75"/>
      <c r="HB124" s="75"/>
      <c r="HC124" s="75"/>
      <c r="HD124" s="75"/>
      <c r="HE124" s="75"/>
      <c r="HF124" s="75"/>
      <c r="HG124" s="75"/>
      <c r="HH124" s="75"/>
      <c r="HI124" s="75"/>
      <c r="HJ124" s="75"/>
      <c r="HK124" s="75"/>
      <c r="HL124" s="75"/>
      <c r="HM124" s="75"/>
      <c r="HN124" s="75"/>
      <c r="HO124" s="75"/>
      <c r="HP124" s="75"/>
      <c r="HQ124" s="75"/>
      <c r="HR124" s="75"/>
      <c r="HS124" s="75"/>
      <c r="HT124" s="75"/>
      <c r="HU124" s="75"/>
      <c r="HV124" s="75"/>
      <c r="HW124" s="75"/>
      <c r="HX124" s="75"/>
      <c r="HY124" s="75"/>
      <c r="HZ124" s="75"/>
      <c r="IA124" s="75"/>
      <c r="IB124" s="75"/>
      <c r="IC124" s="75"/>
      <c r="ID124" s="75"/>
      <c r="IE124" s="75"/>
      <c r="IF124" s="75"/>
      <c r="IG124" s="75"/>
      <c r="IH124" s="75"/>
      <c r="II124" s="75"/>
      <c r="IJ124" s="75"/>
      <c r="IK124" s="75"/>
      <c r="IL124" s="75"/>
      <c r="IM124" s="75"/>
      <c r="IN124" s="75"/>
      <c r="IO124" s="75"/>
      <c r="IP124" s="75"/>
      <c r="IQ124" s="75"/>
      <c r="IR124" s="75"/>
      <c r="IS124" s="75"/>
      <c r="IT124" s="75"/>
      <c r="IU124" s="75"/>
      <c r="IV124" s="75"/>
    </row>
    <row r="125" spans="1:256" s="192" customFormat="1" ht="16.5" customHeight="1" x14ac:dyDescent="0.3">
      <c r="A125" s="172">
        <v>108</v>
      </c>
      <c r="B125" s="58" t="s">
        <v>58</v>
      </c>
      <c r="C125" s="58" t="s">
        <v>133</v>
      </c>
      <c r="D125" s="20">
        <v>77349835.230000004</v>
      </c>
      <c r="E125" s="20"/>
      <c r="F125" s="20">
        <v>61896357.619999997</v>
      </c>
      <c r="G125" s="20">
        <v>33798948.310000002</v>
      </c>
      <c r="H125" s="29"/>
      <c r="I125" s="28"/>
      <c r="J125" s="28">
        <v>173802071.41</v>
      </c>
      <c r="K125" s="28">
        <v>5595260.5899999999</v>
      </c>
      <c r="L125" s="20">
        <v>415366.49</v>
      </c>
      <c r="M125" s="152">
        <v>5179894.0999999996</v>
      </c>
      <c r="N125" s="20">
        <v>173802071.41</v>
      </c>
      <c r="O125" s="20">
        <v>11558656.460000001</v>
      </c>
      <c r="P125" s="81">
        <v>153285734.97</v>
      </c>
      <c r="Q125" s="23">
        <f t="shared" si="89"/>
        <v>1.0850300161319156E-4</v>
      </c>
      <c r="R125" s="81">
        <v>162243414.94999999</v>
      </c>
      <c r="S125" s="23">
        <f t="shared" si="90"/>
        <v>5.2541141748112695E-3</v>
      </c>
      <c r="T125" s="24">
        <f t="shared" ref="T125:T126" si="100">((R125-P125)/P125)</f>
        <v>5.843779254314254E-2</v>
      </c>
      <c r="U125" s="59">
        <f t="shared" ref="U125:U126" si="101">(L125/R125)</f>
        <v>2.5601439055508491E-3</v>
      </c>
      <c r="V125" s="25">
        <f t="shared" ref="V125:V126" si="102">M125/R125</f>
        <v>3.1926683135930875E-2</v>
      </c>
      <c r="W125" s="26">
        <f t="shared" ref="W125:W126" si="103">R125/AE125</f>
        <v>3.6942705026924281</v>
      </c>
      <c r="X125" s="26">
        <f t="shared" ref="X125:X126" si="104">M125/AE125</f>
        <v>0.11794580375787722</v>
      </c>
      <c r="Y125" s="20">
        <v>3.6604000000000001</v>
      </c>
      <c r="Z125" s="20">
        <v>3.7212999999999998</v>
      </c>
      <c r="AA125" s="27">
        <v>11811</v>
      </c>
      <c r="AB125" s="27">
        <v>43890283.729999997</v>
      </c>
      <c r="AC125" s="27">
        <v>27294.81</v>
      </c>
      <c r="AD125" s="27">
        <v>0</v>
      </c>
      <c r="AE125" s="111">
        <v>43917578.539999999</v>
      </c>
      <c r="AF125" s="190"/>
      <c r="AG125" s="190"/>
      <c r="AH125" s="190"/>
      <c r="AI125" s="190"/>
      <c r="AJ125" s="191"/>
      <c r="AK125" s="189"/>
      <c r="AL125" s="190"/>
      <c r="AM125" s="190"/>
      <c r="AN125" s="190"/>
      <c r="AO125" s="191"/>
      <c r="AP125" s="189"/>
      <c r="AQ125" s="190"/>
      <c r="AR125" s="190"/>
      <c r="AS125" s="190"/>
      <c r="AT125" s="191"/>
      <c r="AU125" s="75"/>
      <c r="AV125" s="75"/>
      <c r="AW125" s="75"/>
      <c r="AX125" s="75"/>
      <c r="AY125" s="75"/>
      <c r="AZ125" s="75"/>
      <c r="BA125" s="75"/>
      <c r="BB125" s="75"/>
      <c r="BC125" s="75"/>
      <c r="BD125" s="75"/>
      <c r="BE125" s="75"/>
      <c r="BF125" s="75"/>
      <c r="BG125" s="75"/>
      <c r="BH125" s="75"/>
      <c r="BI125" s="75"/>
      <c r="BJ125" s="75"/>
      <c r="BK125" s="75"/>
      <c r="BL125" s="75"/>
      <c r="BM125" s="75"/>
      <c r="BN125" s="75"/>
      <c r="BO125" s="75"/>
      <c r="BP125" s="75"/>
      <c r="BQ125" s="75"/>
      <c r="BR125" s="75"/>
      <c r="BS125" s="75"/>
      <c r="BT125" s="75"/>
      <c r="BU125" s="75"/>
      <c r="BV125" s="75"/>
      <c r="BW125" s="75"/>
      <c r="BX125" s="75"/>
      <c r="BY125" s="75"/>
      <c r="BZ125" s="75"/>
      <c r="CA125" s="75"/>
      <c r="CB125" s="75"/>
      <c r="CC125" s="75"/>
      <c r="CD125" s="75"/>
      <c r="CE125" s="75"/>
      <c r="CF125" s="75"/>
      <c r="CG125" s="75"/>
      <c r="CH125" s="75"/>
      <c r="CI125" s="75"/>
      <c r="CJ125" s="75"/>
      <c r="CK125" s="75"/>
      <c r="CL125" s="75"/>
      <c r="CM125" s="75"/>
      <c r="CN125" s="75"/>
      <c r="CO125" s="75"/>
      <c r="CP125" s="75"/>
      <c r="CQ125" s="75"/>
      <c r="CR125" s="75"/>
      <c r="CS125" s="75"/>
      <c r="CT125" s="75"/>
      <c r="CU125" s="75"/>
      <c r="CV125" s="75"/>
      <c r="CW125" s="75"/>
      <c r="CX125" s="75"/>
      <c r="CY125" s="75"/>
      <c r="CZ125" s="75"/>
      <c r="DA125" s="75"/>
      <c r="DB125" s="75"/>
      <c r="DC125" s="75"/>
      <c r="DD125" s="75"/>
      <c r="DE125" s="75"/>
      <c r="DF125" s="75"/>
      <c r="DG125" s="75"/>
      <c r="DH125" s="75"/>
      <c r="DI125" s="75"/>
      <c r="DJ125" s="75"/>
      <c r="DK125" s="75"/>
      <c r="DL125" s="75"/>
      <c r="DM125" s="75"/>
      <c r="DN125" s="75"/>
      <c r="DO125" s="75"/>
      <c r="DP125" s="75"/>
      <c r="DQ125" s="75"/>
      <c r="DR125" s="75"/>
      <c r="DS125" s="75"/>
      <c r="DT125" s="75"/>
      <c r="DU125" s="75"/>
      <c r="DV125" s="75"/>
      <c r="DW125" s="75"/>
      <c r="DX125" s="75"/>
      <c r="DY125" s="75"/>
      <c r="DZ125" s="75"/>
      <c r="EA125" s="75"/>
      <c r="EB125" s="75"/>
      <c r="EC125" s="75"/>
      <c r="ED125" s="75"/>
      <c r="EE125" s="75"/>
      <c r="EF125" s="75"/>
      <c r="EG125" s="75"/>
      <c r="EH125" s="75"/>
      <c r="EI125" s="75"/>
      <c r="EJ125" s="75"/>
      <c r="EK125" s="75"/>
      <c r="EL125" s="75"/>
      <c r="EM125" s="75"/>
      <c r="EN125" s="75"/>
      <c r="EO125" s="75"/>
      <c r="EP125" s="75"/>
      <c r="EQ125" s="75"/>
      <c r="ER125" s="75"/>
      <c r="ES125" s="75"/>
      <c r="ET125" s="75"/>
      <c r="EU125" s="75"/>
      <c r="EV125" s="75"/>
      <c r="EW125" s="75"/>
      <c r="EX125" s="75"/>
      <c r="EY125" s="75"/>
      <c r="EZ125" s="75"/>
      <c r="FA125" s="75"/>
      <c r="FB125" s="75"/>
      <c r="FC125" s="75"/>
      <c r="FD125" s="75"/>
      <c r="FE125" s="75"/>
      <c r="FF125" s="75"/>
      <c r="FG125" s="75"/>
      <c r="FH125" s="75"/>
      <c r="FI125" s="75"/>
      <c r="FJ125" s="75"/>
      <c r="FK125" s="75"/>
      <c r="FL125" s="75"/>
      <c r="FM125" s="75"/>
      <c r="FN125" s="75"/>
      <c r="FO125" s="75"/>
      <c r="FP125" s="75"/>
      <c r="FQ125" s="75"/>
      <c r="FR125" s="75"/>
      <c r="FS125" s="75"/>
      <c r="FT125" s="75"/>
      <c r="FU125" s="75"/>
      <c r="FV125" s="75"/>
      <c r="FW125" s="75"/>
      <c r="FX125" s="75"/>
      <c r="FY125" s="75"/>
      <c r="FZ125" s="75"/>
      <c r="GA125" s="75"/>
      <c r="GB125" s="75"/>
      <c r="GC125" s="75"/>
      <c r="GD125" s="75"/>
      <c r="GE125" s="75"/>
      <c r="GF125" s="75"/>
      <c r="GG125" s="75"/>
      <c r="GH125" s="75"/>
      <c r="GI125" s="75"/>
      <c r="GJ125" s="75"/>
      <c r="GK125" s="75"/>
      <c r="GL125" s="75"/>
      <c r="GM125" s="75"/>
      <c r="GN125" s="75"/>
      <c r="GO125" s="75"/>
      <c r="GP125" s="75"/>
      <c r="GQ125" s="75"/>
      <c r="GR125" s="75"/>
      <c r="GS125" s="75"/>
      <c r="GT125" s="75"/>
      <c r="GU125" s="75"/>
      <c r="GV125" s="75"/>
      <c r="GW125" s="75"/>
      <c r="GX125" s="75"/>
      <c r="GY125" s="75"/>
      <c r="GZ125" s="75"/>
      <c r="HA125" s="75"/>
      <c r="HB125" s="75"/>
      <c r="HC125" s="75"/>
      <c r="HD125" s="75"/>
      <c r="HE125" s="75"/>
      <c r="HF125" s="75"/>
      <c r="HG125" s="75"/>
      <c r="HH125" s="75"/>
      <c r="HI125" s="75"/>
      <c r="HJ125" s="75"/>
      <c r="HK125" s="75"/>
      <c r="HL125" s="75"/>
      <c r="HM125" s="75"/>
      <c r="HN125" s="75"/>
      <c r="HO125" s="75"/>
      <c r="HP125" s="75"/>
      <c r="HQ125" s="75"/>
      <c r="HR125" s="75"/>
      <c r="HS125" s="75"/>
      <c r="HT125" s="75"/>
      <c r="HU125" s="75"/>
      <c r="HV125" s="75"/>
      <c r="HW125" s="75"/>
      <c r="HX125" s="75"/>
      <c r="HY125" s="75"/>
      <c r="HZ125" s="75"/>
      <c r="IA125" s="75"/>
      <c r="IB125" s="75"/>
      <c r="IC125" s="75"/>
      <c r="ID125" s="75"/>
      <c r="IE125" s="75"/>
      <c r="IF125" s="75"/>
      <c r="IG125" s="75"/>
      <c r="IH125" s="75"/>
      <c r="II125" s="75"/>
      <c r="IJ125" s="75"/>
      <c r="IK125" s="75"/>
      <c r="IL125" s="75"/>
      <c r="IM125" s="75"/>
      <c r="IN125" s="75"/>
      <c r="IO125" s="75"/>
      <c r="IP125" s="75"/>
      <c r="IQ125" s="75"/>
      <c r="IR125" s="75"/>
      <c r="IS125" s="75"/>
      <c r="IT125" s="75"/>
      <c r="IU125" s="75"/>
      <c r="IV125" s="75"/>
    </row>
    <row r="126" spans="1:256" ht="16.5" customHeight="1" x14ac:dyDescent="0.3">
      <c r="A126" s="172">
        <v>109</v>
      </c>
      <c r="B126" s="57" t="s">
        <v>65</v>
      </c>
      <c r="C126" s="58" t="s">
        <v>139</v>
      </c>
      <c r="D126" s="20">
        <v>152356237.27000001</v>
      </c>
      <c r="E126" s="20"/>
      <c r="F126" s="20">
        <v>55555544.549999997</v>
      </c>
      <c r="G126" s="20">
        <v>97213860</v>
      </c>
      <c r="H126" s="29"/>
      <c r="I126" s="28"/>
      <c r="J126" s="28">
        <v>305125641.81999999</v>
      </c>
      <c r="K126" s="28">
        <v>2053737.63</v>
      </c>
      <c r="L126" s="28">
        <v>673378.84</v>
      </c>
      <c r="M126" s="152">
        <v>8464044.4299999997</v>
      </c>
      <c r="N126" s="20">
        <v>361215869.29000002</v>
      </c>
      <c r="O126" s="20">
        <v>2691705.2</v>
      </c>
      <c r="P126" s="81">
        <v>357364352.81</v>
      </c>
      <c r="Q126" s="23">
        <f t="shared" si="89"/>
        <v>2.5295964400750908E-4</v>
      </c>
      <c r="R126" s="81">
        <v>358524164.08999997</v>
      </c>
      <c r="S126" s="23">
        <f t="shared" si="90"/>
        <v>1.1610498294418639E-2</v>
      </c>
      <c r="T126" s="24">
        <f t="shared" si="100"/>
        <v>3.2454587898323719E-3</v>
      </c>
      <c r="U126" s="59">
        <f t="shared" si="101"/>
        <v>1.8781965274479026E-3</v>
      </c>
      <c r="V126" s="25">
        <f t="shared" si="102"/>
        <v>2.3608016635317444E-2</v>
      </c>
      <c r="W126" s="26">
        <f t="shared" si="103"/>
        <v>137.27706007582083</v>
      </c>
      <c r="X126" s="26">
        <f t="shared" si="104"/>
        <v>3.2408391179174498</v>
      </c>
      <c r="Y126" s="20">
        <v>136.41</v>
      </c>
      <c r="Z126" s="20">
        <v>137.32</v>
      </c>
      <c r="AA126" s="27">
        <v>615</v>
      </c>
      <c r="AB126" s="27">
        <v>2509402</v>
      </c>
      <c r="AC126" s="27">
        <v>108852</v>
      </c>
      <c r="AD126" s="27">
        <v>6571</v>
      </c>
      <c r="AE126" s="111">
        <v>2611683</v>
      </c>
      <c r="AF126" s="5"/>
      <c r="AG126" s="5"/>
      <c r="AH126" s="5"/>
      <c r="AI126" s="5"/>
      <c r="AJ126" s="6"/>
      <c r="AK126" s="4"/>
      <c r="AL126" s="5"/>
      <c r="AM126" s="5"/>
      <c r="AN126" s="5"/>
      <c r="AO126" s="6"/>
      <c r="AP126" s="4"/>
      <c r="AQ126" s="5"/>
      <c r="AR126" s="5"/>
      <c r="AS126" s="5"/>
      <c r="AT126" s="6"/>
      <c r="AU126" s="18"/>
      <c r="AV126" s="18"/>
      <c r="AW126" s="18"/>
      <c r="AX126" s="18"/>
      <c r="AY126" s="18"/>
      <c r="AZ126" s="18"/>
      <c r="BA126" s="18"/>
      <c r="BB126" s="18"/>
      <c r="BC126" s="18"/>
      <c r="BD126" s="18"/>
      <c r="BE126" s="18"/>
      <c r="BF126" s="18"/>
      <c r="BG126" s="18"/>
      <c r="BH126" s="18"/>
      <c r="BI126" s="18"/>
      <c r="BJ126" s="18"/>
      <c r="BK126" s="18"/>
      <c r="BL126" s="18"/>
      <c r="BM126" s="18"/>
      <c r="BN126" s="18"/>
      <c r="BO126" s="18"/>
      <c r="BP126" s="18"/>
      <c r="BQ126" s="18"/>
      <c r="BR126" s="18"/>
      <c r="BS126" s="18"/>
      <c r="BT126" s="18"/>
      <c r="BU126" s="18"/>
      <c r="BV126" s="18"/>
      <c r="BW126" s="18"/>
      <c r="BX126" s="18"/>
      <c r="BY126" s="18"/>
      <c r="BZ126" s="18"/>
      <c r="CA126" s="18"/>
      <c r="CB126" s="18"/>
      <c r="CC126" s="18"/>
      <c r="CD126" s="18"/>
      <c r="CE126" s="18"/>
      <c r="CF126" s="18"/>
      <c r="CG126" s="18"/>
      <c r="CH126" s="18"/>
      <c r="CI126" s="18"/>
      <c r="CJ126" s="18"/>
      <c r="CK126" s="18"/>
      <c r="CL126" s="18"/>
      <c r="CM126" s="18"/>
      <c r="CN126" s="18"/>
      <c r="CO126" s="18"/>
      <c r="CP126" s="18"/>
      <c r="CQ126" s="18"/>
      <c r="CR126" s="18"/>
      <c r="CS126" s="18"/>
      <c r="CT126" s="18"/>
      <c r="CU126" s="18"/>
      <c r="CV126" s="18"/>
      <c r="CW126" s="18"/>
      <c r="CX126" s="18"/>
      <c r="CY126" s="18"/>
      <c r="CZ126" s="18"/>
      <c r="DA126" s="18"/>
      <c r="DB126" s="18"/>
      <c r="DC126" s="18"/>
      <c r="DD126" s="18"/>
      <c r="DE126" s="18"/>
      <c r="DF126" s="18"/>
      <c r="DG126" s="18"/>
      <c r="DH126" s="18"/>
      <c r="DI126" s="18"/>
      <c r="DJ126" s="18"/>
      <c r="DK126" s="18"/>
      <c r="DL126" s="18"/>
      <c r="DM126" s="18"/>
      <c r="DN126" s="18"/>
      <c r="DO126" s="18"/>
      <c r="DP126" s="18"/>
      <c r="DQ126" s="18"/>
      <c r="DR126" s="18"/>
      <c r="DS126" s="18"/>
      <c r="DT126" s="18"/>
      <c r="DU126" s="18"/>
      <c r="DV126" s="18"/>
      <c r="DW126" s="18"/>
      <c r="DX126" s="18"/>
      <c r="DY126" s="18"/>
      <c r="DZ126" s="18"/>
      <c r="EA126" s="18"/>
      <c r="EB126" s="18"/>
      <c r="EC126" s="18"/>
      <c r="ED126" s="18"/>
      <c r="EE126" s="18"/>
      <c r="EF126" s="18"/>
      <c r="EG126" s="18"/>
      <c r="EH126" s="18"/>
      <c r="EI126" s="18"/>
      <c r="EJ126" s="18"/>
      <c r="EK126" s="18"/>
      <c r="EL126" s="18"/>
      <c r="EM126" s="18"/>
      <c r="EN126" s="18"/>
      <c r="EO126" s="18"/>
      <c r="EP126" s="18"/>
      <c r="EQ126" s="18"/>
      <c r="ER126" s="18"/>
      <c r="ES126" s="18"/>
      <c r="ET126" s="18"/>
      <c r="EU126" s="18"/>
      <c r="EV126" s="18"/>
      <c r="EW126" s="18"/>
      <c r="EX126" s="18"/>
      <c r="EY126" s="18"/>
      <c r="EZ126" s="18"/>
      <c r="FA126" s="18"/>
      <c r="FB126" s="18"/>
      <c r="FC126" s="18"/>
      <c r="FD126" s="18"/>
      <c r="FE126" s="18"/>
      <c r="FF126" s="18"/>
      <c r="FG126" s="18"/>
      <c r="FH126" s="18"/>
      <c r="FI126" s="18"/>
      <c r="FJ126" s="18"/>
      <c r="FK126" s="18"/>
      <c r="FL126" s="18"/>
      <c r="FM126" s="18"/>
      <c r="FN126" s="18"/>
      <c r="FO126" s="18"/>
      <c r="FP126" s="18"/>
      <c r="FQ126" s="18"/>
      <c r="FR126" s="18"/>
      <c r="FS126" s="18"/>
      <c r="FT126" s="18"/>
      <c r="FU126" s="18"/>
      <c r="FV126" s="18"/>
      <c r="FW126" s="18"/>
      <c r="FX126" s="18"/>
      <c r="FY126" s="18"/>
      <c r="FZ126" s="18"/>
      <c r="GA126" s="18"/>
      <c r="GB126" s="18"/>
      <c r="GC126" s="18"/>
      <c r="GD126" s="18"/>
      <c r="GE126" s="18"/>
      <c r="GF126" s="18"/>
      <c r="GG126" s="18"/>
      <c r="GH126" s="18"/>
      <c r="GI126" s="18"/>
      <c r="GJ126" s="18"/>
      <c r="GK126" s="18"/>
      <c r="GL126" s="18"/>
      <c r="GM126" s="18"/>
      <c r="GN126" s="18"/>
      <c r="GO126" s="18"/>
      <c r="GP126" s="18"/>
      <c r="GQ126" s="18"/>
      <c r="GR126" s="18"/>
      <c r="GS126" s="18"/>
      <c r="GT126" s="18"/>
      <c r="GU126" s="18"/>
      <c r="GV126" s="18"/>
      <c r="GW126" s="18"/>
      <c r="GX126" s="18"/>
      <c r="GY126" s="18"/>
      <c r="GZ126" s="18"/>
      <c r="HA126" s="18"/>
      <c r="HB126" s="18"/>
      <c r="HC126" s="18"/>
      <c r="HD126" s="18"/>
      <c r="HE126" s="18"/>
      <c r="HF126" s="18"/>
      <c r="HG126" s="18"/>
      <c r="HH126" s="18"/>
      <c r="HI126" s="18"/>
      <c r="HJ126" s="18"/>
      <c r="HK126" s="18"/>
      <c r="HL126" s="18"/>
      <c r="HM126" s="18"/>
      <c r="HN126" s="18"/>
      <c r="HO126" s="18"/>
      <c r="HP126" s="18"/>
      <c r="HQ126" s="18"/>
      <c r="HR126" s="18"/>
      <c r="HS126" s="18"/>
      <c r="HT126" s="18"/>
      <c r="HU126" s="18"/>
      <c r="HV126" s="18"/>
      <c r="HW126" s="18"/>
      <c r="HX126" s="18"/>
      <c r="HY126" s="18"/>
      <c r="HZ126" s="18"/>
      <c r="IA126" s="18"/>
      <c r="IB126" s="18"/>
      <c r="IC126" s="18"/>
      <c r="ID126" s="18"/>
      <c r="IE126" s="18"/>
      <c r="IF126" s="18"/>
      <c r="IG126" s="18"/>
      <c r="IH126" s="18"/>
      <c r="II126" s="18"/>
      <c r="IJ126" s="18"/>
      <c r="IK126" s="18"/>
      <c r="IL126" s="18"/>
      <c r="IM126" s="18"/>
      <c r="IN126" s="18"/>
      <c r="IO126" s="18"/>
      <c r="IP126" s="18"/>
      <c r="IQ126" s="18"/>
      <c r="IR126" s="18"/>
      <c r="IS126" s="18"/>
      <c r="IT126" s="18"/>
      <c r="IU126" s="18"/>
      <c r="IV126" s="18"/>
    </row>
    <row r="127" spans="1:256" ht="16.5" customHeight="1" x14ac:dyDescent="0.3">
      <c r="A127" s="172">
        <v>110</v>
      </c>
      <c r="B127" s="62" t="s">
        <v>114</v>
      </c>
      <c r="C127" s="62" t="s">
        <v>142</v>
      </c>
      <c r="D127" s="20">
        <v>61959208.420000002</v>
      </c>
      <c r="E127" s="20"/>
      <c r="F127" s="20">
        <v>14423610.470000001</v>
      </c>
      <c r="G127" s="20">
        <v>25273777.170000002</v>
      </c>
      <c r="H127" s="29"/>
      <c r="I127" s="188">
        <v>56641250.43</v>
      </c>
      <c r="J127" s="28">
        <v>158297846.49000001</v>
      </c>
      <c r="K127" s="28">
        <v>527388.18999999994</v>
      </c>
      <c r="L127" s="20">
        <v>1548488.17</v>
      </c>
      <c r="M127" s="152">
        <v>1410528.55</v>
      </c>
      <c r="N127" s="20">
        <v>158297846.49000001</v>
      </c>
      <c r="O127" s="20">
        <v>4924614.09</v>
      </c>
      <c r="P127" s="81">
        <v>160450087.03</v>
      </c>
      <c r="Q127" s="23">
        <f t="shared" si="89"/>
        <v>1.1357427392222795E-4</v>
      </c>
      <c r="R127" s="81">
        <v>153373232.41</v>
      </c>
      <c r="S127" s="23">
        <f t="shared" si="90"/>
        <v>4.9668609027389322E-3</v>
      </c>
      <c r="T127" s="24">
        <f>((R127-P127)/P127)</f>
        <v>-4.4106268503779723E-2</v>
      </c>
      <c r="U127" s="59">
        <f>(L127/R127)</f>
        <v>1.0096208742999916E-2</v>
      </c>
      <c r="V127" s="25">
        <f>M127/R127</f>
        <v>9.1967061516272323E-3</v>
      </c>
      <c r="W127" s="26">
        <f>R127/AE127</f>
        <v>141.21909388310283</v>
      </c>
      <c r="X127" s="26">
        <f>M127/AE127</f>
        <v>1.2987505094419551</v>
      </c>
      <c r="Y127" s="20">
        <v>141.2191</v>
      </c>
      <c r="Z127" s="20">
        <v>145.7535</v>
      </c>
      <c r="AA127" s="27">
        <v>129</v>
      </c>
      <c r="AB127" s="27">
        <v>1192477.1100000001</v>
      </c>
      <c r="AC127" s="27">
        <v>8975.51</v>
      </c>
      <c r="AD127" s="27">
        <v>115386.79</v>
      </c>
      <c r="AE127" s="111">
        <f>(AB127+AC127)-AD127</f>
        <v>1086065.83</v>
      </c>
      <c r="AF127" s="5"/>
      <c r="AG127" s="5"/>
      <c r="AH127" s="5"/>
      <c r="AI127" s="5"/>
      <c r="AJ127" s="6"/>
      <c r="AK127" s="4"/>
      <c r="AL127" s="5"/>
      <c r="AM127" s="5"/>
      <c r="AN127" s="5"/>
      <c r="AO127" s="6"/>
      <c r="AP127" s="4"/>
      <c r="AQ127" s="5"/>
      <c r="AR127" s="5"/>
      <c r="AS127" s="5"/>
      <c r="AT127" s="6"/>
      <c r="AU127" s="18"/>
      <c r="AV127" s="18"/>
      <c r="AW127" s="18"/>
      <c r="AX127" s="18"/>
      <c r="AY127" s="18"/>
      <c r="AZ127" s="18"/>
      <c r="BA127" s="18"/>
      <c r="BB127" s="18"/>
      <c r="BC127" s="18"/>
      <c r="BD127" s="18"/>
      <c r="BE127" s="18"/>
      <c r="BF127" s="18"/>
      <c r="BG127" s="18"/>
      <c r="BH127" s="18"/>
      <c r="BI127" s="18"/>
      <c r="BJ127" s="18"/>
      <c r="BK127" s="18"/>
      <c r="BL127" s="18"/>
      <c r="BM127" s="18"/>
      <c r="BN127" s="18"/>
      <c r="BO127" s="18"/>
      <c r="BP127" s="18"/>
      <c r="BQ127" s="18"/>
      <c r="BR127" s="18"/>
      <c r="BS127" s="18"/>
      <c r="BT127" s="18"/>
      <c r="BU127" s="18"/>
      <c r="BV127" s="18"/>
      <c r="BW127" s="18"/>
      <c r="BX127" s="18"/>
      <c r="BY127" s="18"/>
      <c r="BZ127" s="18"/>
      <c r="CA127" s="18"/>
      <c r="CB127" s="18"/>
      <c r="CC127" s="18"/>
      <c r="CD127" s="18"/>
      <c r="CE127" s="18"/>
      <c r="CF127" s="18"/>
      <c r="CG127" s="18"/>
      <c r="CH127" s="18"/>
      <c r="CI127" s="18"/>
      <c r="CJ127" s="18"/>
      <c r="CK127" s="18"/>
      <c r="CL127" s="18"/>
      <c r="CM127" s="18"/>
      <c r="CN127" s="18"/>
      <c r="CO127" s="18"/>
      <c r="CP127" s="18"/>
      <c r="CQ127" s="18"/>
      <c r="CR127" s="18"/>
      <c r="CS127" s="18"/>
      <c r="CT127" s="18"/>
      <c r="CU127" s="18"/>
      <c r="CV127" s="18"/>
      <c r="CW127" s="18"/>
      <c r="CX127" s="18"/>
      <c r="CY127" s="18"/>
      <c r="CZ127" s="18"/>
      <c r="DA127" s="18"/>
      <c r="DB127" s="18"/>
      <c r="DC127" s="18"/>
      <c r="DD127" s="18"/>
      <c r="DE127" s="18"/>
      <c r="DF127" s="18"/>
      <c r="DG127" s="18"/>
      <c r="DH127" s="18"/>
      <c r="DI127" s="18"/>
      <c r="DJ127" s="18"/>
      <c r="DK127" s="18"/>
      <c r="DL127" s="18"/>
      <c r="DM127" s="18"/>
      <c r="DN127" s="18"/>
      <c r="DO127" s="18"/>
      <c r="DP127" s="18"/>
      <c r="DQ127" s="18"/>
      <c r="DR127" s="18"/>
      <c r="DS127" s="18"/>
      <c r="DT127" s="18"/>
      <c r="DU127" s="18"/>
      <c r="DV127" s="18"/>
      <c r="DW127" s="18"/>
      <c r="DX127" s="18"/>
      <c r="DY127" s="18"/>
      <c r="DZ127" s="18"/>
      <c r="EA127" s="18"/>
      <c r="EB127" s="18"/>
      <c r="EC127" s="18"/>
      <c r="ED127" s="18"/>
      <c r="EE127" s="18"/>
      <c r="EF127" s="18"/>
      <c r="EG127" s="18"/>
      <c r="EH127" s="18"/>
      <c r="EI127" s="18"/>
      <c r="EJ127" s="18"/>
      <c r="EK127" s="18"/>
      <c r="EL127" s="18"/>
      <c r="EM127" s="18"/>
      <c r="EN127" s="18"/>
      <c r="EO127" s="18"/>
      <c r="EP127" s="18"/>
      <c r="EQ127" s="18"/>
      <c r="ER127" s="18"/>
      <c r="ES127" s="18"/>
      <c r="ET127" s="18"/>
      <c r="EU127" s="18"/>
      <c r="EV127" s="18"/>
      <c r="EW127" s="18"/>
      <c r="EX127" s="18"/>
      <c r="EY127" s="18"/>
      <c r="EZ127" s="18"/>
      <c r="FA127" s="18"/>
      <c r="FB127" s="18"/>
      <c r="FC127" s="18"/>
      <c r="FD127" s="18"/>
      <c r="FE127" s="18"/>
      <c r="FF127" s="18"/>
      <c r="FG127" s="18"/>
      <c r="FH127" s="18"/>
      <c r="FI127" s="18"/>
      <c r="FJ127" s="18"/>
      <c r="FK127" s="18"/>
      <c r="FL127" s="18"/>
      <c r="FM127" s="18"/>
      <c r="FN127" s="18"/>
      <c r="FO127" s="18"/>
      <c r="FP127" s="18"/>
      <c r="FQ127" s="18"/>
      <c r="FR127" s="18"/>
      <c r="FS127" s="18"/>
      <c r="FT127" s="18"/>
      <c r="FU127" s="18"/>
      <c r="FV127" s="18"/>
      <c r="FW127" s="18"/>
      <c r="FX127" s="18"/>
      <c r="FY127" s="18"/>
      <c r="FZ127" s="18"/>
      <c r="GA127" s="18"/>
      <c r="GB127" s="18"/>
      <c r="GC127" s="18"/>
      <c r="GD127" s="18"/>
      <c r="GE127" s="18"/>
      <c r="GF127" s="18"/>
      <c r="GG127" s="18"/>
      <c r="GH127" s="18"/>
      <c r="GI127" s="18"/>
      <c r="GJ127" s="18"/>
      <c r="GK127" s="18"/>
      <c r="GL127" s="18"/>
      <c r="GM127" s="18"/>
      <c r="GN127" s="18"/>
      <c r="GO127" s="18"/>
      <c r="GP127" s="18"/>
      <c r="GQ127" s="18"/>
      <c r="GR127" s="18"/>
      <c r="GS127" s="18"/>
      <c r="GT127" s="18"/>
      <c r="GU127" s="18"/>
      <c r="GV127" s="18"/>
      <c r="GW127" s="18"/>
      <c r="GX127" s="18"/>
      <c r="GY127" s="18"/>
      <c r="GZ127" s="18"/>
      <c r="HA127" s="18"/>
      <c r="HB127" s="18"/>
      <c r="HC127" s="18"/>
      <c r="HD127" s="18"/>
      <c r="HE127" s="18"/>
      <c r="HF127" s="18"/>
      <c r="HG127" s="18"/>
      <c r="HH127" s="18"/>
      <c r="HI127" s="18"/>
      <c r="HJ127" s="18"/>
      <c r="HK127" s="18"/>
      <c r="HL127" s="18"/>
      <c r="HM127" s="18"/>
      <c r="HN127" s="18"/>
      <c r="HO127" s="18"/>
      <c r="HP127" s="18"/>
      <c r="HQ127" s="18"/>
      <c r="HR127" s="18"/>
      <c r="HS127" s="18"/>
      <c r="HT127" s="18"/>
      <c r="HU127" s="18"/>
      <c r="HV127" s="18"/>
      <c r="HW127" s="18"/>
      <c r="HX127" s="18"/>
      <c r="HY127" s="18"/>
      <c r="HZ127" s="18"/>
      <c r="IA127" s="18"/>
      <c r="IB127" s="18"/>
      <c r="IC127" s="18"/>
      <c r="ID127" s="18"/>
      <c r="IE127" s="18"/>
      <c r="IF127" s="18"/>
      <c r="IG127" s="18"/>
      <c r="IH127" s="18"/>
      <c r="II127" s="18"/>
      <c r="IJ127" s="18"/>
      <c r="IK127" s="18"/>
      <c r="IL127" s="18"/>
      <c r="IM127" s="18"/>
      <c r="IN127" s="18"/>
      <c r="IO127" s="18"/>
      <c r="IP127" s="18"/>
      <c r="IQ127" s="18"/>
      <c r="IR127" s="18"/>
      <c r="IS127" s="18"/>
      <c r="IT127" s="18"/>
      <c r="IU127" s="18"/>
      <c r="IV127" s="18"/>
    </row>
    <row r="128" spans="1:256" s="192" customFormat="1" ht="17.25" customHeight="1" x14ac:dyDescent="0.3">
      <c r="A128" s="172">
        <v>111</v>
      </c>
      <c r="B128" s="58" t="s">
        <v>101</v>
      </c>
      <c r="C128" s="58" t="s">
        <v>132</v>
      </c>
      <c r="D128" s="20">
        <v>524340438.97000003</v>
      </c>
      <c r="E128" s="20"/>
      <c r="F128" s="20">
        <v>232057295.27000001</v>
      </c>
      <c r="G128" s="20">
        <v>302451546.07999998</v>
      </c>
      <c r="H128" s="21"/>
      <c r="I128" s="28"/>
      <c r="J128" s="28">
        <v>1084038906.9300001</v>
      </c>
      <c r="K128" s="28">
        <v>13121777.939999999</v>
      </c>
      <c r="L128" s="20">
        <v>2275160.67</v>
      </c>
      <c r="M128" s="152">
        <v>54925858</v>
      </c>
      <c r="N128" s="20">
        <v>1099244317.72</v>
      </c>
      <c r="O128" s="20">
        <v>64335244.990000002</v>
      </c>
      <c r="P128" s="81">
        <v>979883214.72000003</v>
      </c>
      <c r="Q128" s="23">
        <f t="shared" si="89"/>
        <v>6.9360837815933584E-4</v>
      </c>
      <c r="R128" s="81">
        <v>1034909072.72</v>
      </c>
      <c r="S128" s="23">
        <f t="shared" si="90"/>
        <v>3.3514644833472419E-2</v>
      </c>
      <c r="T128" s="24">
        <f t="shared" si="91"/>
        <v>5.6155526672353039E-2</v>
      </c>
      <c r="U128" s="59">
        <f t="shared" si="92"/>
        <v>2.1984160057852311E-3</v>
      </c>
      <c r="V128" s="25">
        <f t="shared" si="93"/>
        <v>5.3073124439465102E-2</v>
      </c>
      <c r="W128" s="26">
        <f t="shared" si="94"/>
        <v>2.3957878384858189</v>
      </c>
      <c r="X128" s="26">
        <f t="shared" si="95"/>
        <v>0.12715194608251498</v>
      </c>
      <c r="Y128" s="20">
        <v>2.3571</v>
      </c>
      <c r="Z128" s="20">
        <v>2.4100999999999999</v>
      </c>
      <c r="AA128" s="27">
        <v>2777</v>
      </c>
      <c r="AB128" s="27">
        <v>431927100.54350001</v>
      </c>
      <c r="AC128" s="27">
        <v>43149.95</v>
      </c>
      <c r="AD128" s="27">
        <v>0</v>
      </c>
      <c r="AE128" s="111">
        <v>431970250.49349999</v>
      </c>
      <c r="AF128" s="190"/>
      <c r="AG128" s="190"/>
      <c r="AH128" s="190"/>
      <c r="AI128" s="190"/>
      <c r="AJ128" s="191"/>
      <c r="AK128" s="189"/>
      <c r="AL128" s="190"/>
      <c r="AM128" s="190"/>
      <c r="AN128" s="190"/>
      <c r="AO128" s="191"/>
      <c r="AP128" s="189"/>
      <c r="AQ128" s="190"/>
      <c r="AR128" s="190"/>
      <c r="AS128" s="190"/>
      <c r="AT128" s="191"/>
      <c r="AU128" s="75"/>
      <c r="AV128" s="75"/>
      <c r="AW128" s="75"/>
      <c r="AX128" s="75"/>
      <c r="AY128" s="75"/>
      <c r="AZ128" s="75"/>
      <c r="BA128" s="75"/>
      <c r="BB128" s="75"/>
      <c r="BC128" s="75"/>
      <c r="BD128" s="75"/>
      <c r="BE128" s="75"/>
      <c r="BF128" s="75"/>
      <c r="BG128" s="75"/>
      <c r="BH128" s="75"/>
      <c r="BI128" s="75"/>
      <c r="BJ128" s="75"/>
      <c r="BK128" s="75"/>
      <c r="BL128" s="75"/>
      <c r="BM128" s="75"/>
      <c r="BN128" s="75"/>
      <c r="BO128" s="75"/>
      <c r="BP128" s="75"/>
      <c r="BQ128" s="75"/>
      <c r="BR128" s="75"/>
      <c r="BS128" s="75"/>
      <c r="BT128" s="75"/>
      <c r="BU128" s="75"/>
      <c r="BV128" s="75"/>
      <c r="BW128" s="75"/>
      <c r="BX128" s="75"/>
      <c r="BY128" s="75"/>
      <c r="BZ128" s="75"/>
      <c r="CA128" s="75"/>
      <c r="CB128" s="75"/>
      <c r="CC128" s="75"/>
      <c r="CD128" s="75"/>
      <c r="CE128" s="75"/>
      <c r="CF128" s="75"/>
      <c r="CG128" s="75"/>
      <c r="CH128" s="75"/>
      <c r="CI128" s="75"/>
      <c r="CJ128" s="75"/>
      <c r="CK128" s="75"/>
      <c r="CL128" s="75"/>
      <c r="CM128" s="75"/>
      <c r="CN128" s="75"/>
      <c r="CO128" s="75"/>
      <c r="CP128" s="75"/>
      <c r="CQ128" s="75"/>
      <c r="CR128" s="75"/>
      <c r="CS128" s="75"/>
      <c r="CT128" s="75"/>
      <c r="CU128" s="75"/>
      <c r="CV128" s="75"/>
      <c r="CW128" s="75"/>
      <c r="CX128" s="75"/>
      <c r="CY128" s="75"/>
      <c r="CZ128" s="75"/>
      <c r="DA128" s="75"/>
      <c r="DB128" s="75"/>
      <c r="DC128" s="75"/>
      <c r="DD128" s="75"/>
      <c r="DE128" s="75"/>
      <c r="DF128" s="75"/>
      <c r="DG128" s="75"/>
      <c r="DH128" s="75"/>
      <c r="DI128" s="75"/>
      <c r="DJ128" s="75"/>
      <c r="DK128" s="75"/>
      <c r="DL128" s="75"/>
      <c r="DM128" s="75"/>
      <c r="DN128" s="75"/>
      <c r="DO128" s="75"/>
      <c r="DP128" s="75"/>
      <c r="DQ128" s="75"/>
      <c r="DR128" s="75"/>
      <c r="DS128" s="75"/>
      <c r="DT128" s="75"/>
      <c r="DU128" s="75"/>
      <c r="DV128" s="75"/>
      <c r="DW128" s="75"/>
      <c r="DX128" s="75"/>
      <c r="DY128" s="75"/>
      <c r="DZ128" s="75"/>
      <c r="EA128" s="75"/>
      <c r="EB128" s="75"/>
      <c r="EC128" s="75"/>
      <c r="ED128" s="75"/>
      <c r="EE128" s="75"/>
      <c r="EF128" s="75"/>
      <c r="EG128" s="75"/>
      <c r="EH128" s="75"/>
      <c r="EI128" s="75"/>
      <c r="EJ128" s="75"/>
      <c r="EK128" s="75"/>
      <c r="EL128" s="75"/>
      <c r="EM128" s="75"/>
      <c r="EN128" s="75"/>
      <c r="EO128" s="75"/>
      <c r="EP128" s="75"/>
      <c r="EQ128" s="75"/>
      <c r="ER128" s="75"/>
      <c r="ES128" s="75"/>
      <c r="ET128" s="75"/>
      <c r="EU128" s="75"/>
      <c r="EV128" s="75"/>
      <c r="EW128" s="75"/>
      <c r="EX128" s="75"/>
      <c r="EY128" s="75"/>
      <c r="EZ128" s="75"/>
      <c r="FA128" s="75"/>
      <c r="FB128" s="75"/>
      <c r="FC128" s="75"/>
      <c r="FD128" s="75"/>
      <c r="FE128" s="75"/>
      <c r="FF128" s="75"/>
      <c r="FG128" s="75"/>
      <c r="FH128" s="75"/>
      <c r="FI128" s="75"/>
      <c r="FJ128" s="75"/>
      <c r="FK128" s="75"/>
      <c r="FL128" s="75"/>
      <c r="FM128" s="75"/>
      <c r="FN128" s="75"/>
      <c r="FO128" s="75"/>
      <c r="FP128" s="75"/>
      <c r="FQ128" s="75"/>
      <c r="FR128" s="75"/>
      <c r="FS128" s="75"/>
      <c r="FT128" s="75"/>
      <c r="FU128" s="75"/>
      <c r="FV128" s="75"/>
      <c r="FW128" s="75"/>
      <c r="FX128" s="75"/>
      <c r="FY128" s="75"/>
      <c r="FZ128" s="75"/>
      <c r="GA128" s="75"/>
      <c r="GB128" s="75"/>
      <c r="GC128" s="75"/>
      <c r="GD128" s="75"/>
      <c r="GE128" s="75"/>
      <c r="GF128" s="75"/>
      <c r="GG128" s="75"/>
      <c r="GH128" s="75"/>
      <c r="GI128" s="75"/>
      <c r="GJ128" s="75"/>
      <c r="GK128" s="75"/>
      <c r="GL128" s="75"/>
      <c r="GM128" s="75"/>
      <c r="GN128" s="75"/>
      <c r="GO128" s="75"/>
      <c r="GP128" s="75"/>
      <c r="GQ128" s="75"/>
      <c r="GR128" s="75"/>
      <c r="GS128" s="75"/>
      <c r="GT128" s="75"/>
      <c r="GU128" s="75"/>
      <c r="GV128" s="75"/>
      <c r="GW128" s="75"/>
      <c r="GX128" s="75"/>
      <c r="GY128" s="75"/>
      <c r="GZ128" s="75"/>
      <c r="HA128" s="75"/>
      <c r="HB128" s="75"/>
      <c r="HC128" s="75"/>
      <c r="HD128" s="75"/>
      <c r="HE128" s="75"/>
      <c r="HF128" s="75"/>
      <c r="HG128" s="75"/>
      <c r="HH128" s="75"/>
      <c r="HI128" s="75"/>
      <c r="HJ128" s="75"/>
      <c r="HK128" s="75"/>
      <c r="HL128" s="75"/>
      <c r="HM128" s="75"/>
      <c r="HN128" s="75"/>
      <c r="HO128" s="75"/>
      <c r="HP128" s="75"/>
      <c r="HQ128" s="75"/>
      <c r="HR128" s="75"/>
      <c r="HS128" s="75"/>
      <c r="HT128" s="75"/>
      <c r="HU128" s="75"/>
      <c r="HV128" s="75"/>
      <c r="HW128" s="75"/>
      <c r="HX128" s="75"/>
      <c r="HY128" s="75"/>
      <c r="HZ128" s="75"/>
      <c r="IA128" s="75"/>
      <c r="IB128" s="75"/>
      <c r="IC128" s="75"/>
      <c r="ID128" s="75"/>
      <c r="IE128" s="75"/>
      <c r="IF128" s="75"/>
      <c r="IG128" s="75"/>
      <c r="IH128" s="75"/>
      <c r="II128" s="75"/>
      <c r="IJ128" s="75"/>
      <c r="IK128" s="75"/>
      <c r="IL128" s="75"/>
      <c r="IM128" s="75"/>
      <c r="IN128" s="75"/>
      <c r="IO128" s="75"/>
      <c r="IP128" s="75"/>
      <c r="IQ128" s="75"/>
      <c r="IR128" s="75"/>
      <c r="IS128" s="75"/>
      <c r="IT128" s="75"/>
      <c r="IU128" s="75"/>
      <c r="IV128" s="75"/>
    </row>
    <row r="129" spans="1:256" ht="15.75" customHeight="1" x14ac:dyDescent="0.3">
      <c r="A129" s="172">
        <v>112</v>
      </c>
      <c r="B129" s="57" t="s">
        <v>89</v>
      </c>
      <c r="C129" s="58" t="s">
        <v>192</v>
      </c>
      <c r="D129" s="20">
        <v>8421576.6300000008</v>
      </c>
      <c r="E129" s="20"/>
      <c r="F129" s="20">
        <v>5269968.87</v>
      </c>
      <c r="G129" s="20">
        <v>3703658.56</v>
      </c>
      <c r="H129" s="29"/>
      <c r="I129" s="188"/>
      <c r="J129" s="28">
        <f>SUM(D129:G129)</f>
        <v>17395204.059999999</v>
      </c>
      <c r="K129" s="28">
        <v>571702.38</v>
      </c>
      <c r="L129" s="20">
        <v>7981.39</v>
      </c>
      <c r="M129" s="152">
        <v>658503.82999999996</v>
      </c>
      <c r="N129" s="20">
        <v>19060914.25</v>
      </c>
      <c r="O129" s="20">
        <v>335298.78000000003</v>
      </c>
      <c r="P129" s="81">
        <v>17831901.219999999</v>
      </c>
      <c r="Q129" s="23">
        <f t="shared" si="89"/>
        <v>1.2622275694594807E-5</v>
      </c>
      <c r="R129" s="81">
        <v>18446706.899999999</v>
      </c>
      <c r="S129" s="23">
        <f t="shared" si="90"/>
        <v>5.9738081962678051E-4</v>
      </c>
      <c r="T129" s="24">
        <f>((R129-P129)/P129)</f>
        <v>3.4477853618347924E-2</v>
      </c>
      <c r="U129" s="59">
        <f>(L129/R129)</f>
        <v>4.3267289079114717E-4</v>
      </c>
      <c r="V129" s="25">
        <f>M129/R129</f>
        <v>3.5697636091350265E-2</v>
      </c>
      <c r="W129" s="26">
        <f>R129/AE129</f>
        <v>1.1931799706498418</v>
      </c>
      <c r="X129" s="26">
        <f>M129/AE129</f>
        <v>4.2593704383746045E-2</v>
      </c>
      <c r="Y129" s="20">
        <v>1.1932</v>
      </c>
      <c r="Z129" s="20">
        <v>1.1932</v>
      </c>
      <c r="AA129" s="27">
        <v>7</v>
      </c>
      <c r="AB129" s="27">
        <v>15460121.15</v>
      </c>
      <c r="AC129" s="27">
        <v>0</v>
      </c>
      <c r="AD129" s="27">
        <v>0</v>
      </c>
      <c r="AE129" s="111">
        <v>15460121.15</v>
      </c>
      <c r="AF129" s="211"/>
    </row>
    <row r="130" spans="1:256" ht="15.75" customHeight="1" x14ac:dyDescent="0.3">
      <c r="A130" s="172">
        <v>113</v>
      </c>
      <c r="B130" s="57" t="s">
        <v>159</v>
      </c>
      <c r="C130" s="58" t="s">
        <v>193</v>
      </c>
      <c r="D130" s="20">
        <v>92363035.640000001</v>
      </c>
      <c r="E130" s="20"/>
      <c r="F130" s="20"/>
      <c r="G130" s="20">
        <v>73635458.590000004</v>
      </c>
      <c r="H130" s="29"/>
      <c r="I130" s="28"/>
      <c r="J130" s="28">
        <v>165998494.22999999</v>
      </c>
      <c r="K130" s="28">
        <v>3645709.05</v>
      </c>
      <c r="L130" s="20">
        <v>661148.53</v>
      </c>
      <c r="M130" s="152">
        <v>3284958.33</v>
      </c>
      <c r="N130" s="20">
        <v>209131835.34</v>
      </c>
      <c r="O130" s="20">
        <v>198854483.18000001</v>
      </c>
      <c r="P130" s="81">
        <v>201273766.06</v>
      </c>
      <c r="Q130" s="23">
        <f t="shared" si="89"/>
        <v>1.4247123365899284E-4</v>
      </c>
      <c r="R130" s="81">
        <v>205413740.69999999</v>
      </c>
      <c r="S130" s="23">
        <f t="shared" si="90"/>
        <v>6.652148236928346E-3</v>
      </c>
      <c r="T130" s="24">
        <f>((R130-P130)/P130)</f>
        <v>2.0568873534993395E-2</v>
      </c>
      <c r="U130" s="59">
        <f>(L130/R130)</f>
        <v>3.2186188117063973E-3</v>
      </c>
      <c r="V130" s="25">
        <f>M130/R130</f>
        <v>1.5991911343445974E-2</v>
      </c>
      <c r="W130" s="26">
        <f>R130/AE130</f>
        <v>1.0411276407163599</v>
      </c>
      <c r="X130" s="26">
        <f>M130/AE130</f>
        <v>1.6649620927547102E-2</v>
      </c>
      <c r="Y130" s="20">
        <v>1.04</v>
      </c>
      <c r="Z130" s="20">
        <v>1.04</v>
      </c>
      <c r="AA130" s="27">
        <v>82</v>
      </c>
      <c r="AB130" s="27">
        <v>198122333.38</v>
      </c>
      <c r="AC130" s="27">
        <v>3766894.28</v>
      </c>
      <c r="AD130" s="27">
        <v>4589941.13</v>
      </c>
      <c r="AE130" s="111">
        <v>197299286.53</v>
      </c>
      <c r="AF130" s="211"/>
    </row>
    <row r="131" spans="1:256" ht="15.75" customHeight="1" x14ac:dyDescent="0.3">
      <c r="A131" s="172">
        <v>114</v>
      </c>
      <c r="B131" s="57" t="s">
        <v>155</v>
      </c>
      <c r="C131" s="58" t="s">
        <v>157</v>
      </c>
      <c r="D131" s="20">
        <v>590006.80000000005</v>
      </c>
      <c r="E131" s="20"/>
      <c r="F131" s="20">
        <v>2674257.5299999998</v>
      </c>
      <c r="G131" s="20">
        <v>950778.43</v>
      </c>
      <c r="H131" s="187"/>
      <c r="I131" s="188"/>
      <c r="J131" s="28">
        <v>4215042.76</v>
      </c>
      <c r="K131" s="28">
        <v>13682.3</v>
      </c>
      <c r="L131" s="28">
        <v>8355.09</v>
      </c>
      <c r="M131" s="152">
        <v>5327.21</v>
      </c>
      <c r="N131" s="20">
        <v>4398055.0999999996</v>
      </c>
      <c r="O131" s="20">
        <v>215348.39</v>
      </c>
      <c r="P131" s="81">
        <v>4257398.3499999996</v>
      </c>
      <c r="Q131" s="23">
        <f t="shared" si="89"/>
        <v>3.0135909263080271E-6</v>
      </c>
      <c r="R131" s="81">
        <v>4182706.71</v>
      </c>
      <c r="S131" s="23">
        <f t="shared" si="90"/>
        <v>1.3545337800527609E-4</v>
      </c>
      <c r="T131" s="24">
        <f t="shared" si="91"/>
        <v>-1.7543963204664573E-2</v>
      </c>
      <c r="U131" s="59">
        <f>(L131/R131)</f>
        <v>1.9975318804985017E-3</v>
      </c>
      <c r="V131" s="25">
        <f t="shared" si="93"/>
        <v>1.2736274305974469E-3</v>
      </c>
      <c r="W131" s="26">
        <f t="shared" si="94"/>
        <v>107.60204543115867</v>
      </c>
      <c r="X131" s="26">
        <f t="shared" si="95"/>
        <v>0.13704491664951637</v>
      </c>
      <c r="Y131" s="20">
        <v>102.46</v>
      </c>
      <c r="Z131" s="20">
        <v>102.24</v>
      </c>
      <c r="AA131" s="27">
        <v>87</v>
      </c>
      <c r="AB131" s="27">
        <v>40592</v>
      </c>
      <c r="AC131" s="27">
        <v>0</v>
      </c>
      <c r="AD131" s="27">
        <v>1720</v>
      </c>
      <c r="AE131" s="111">
        <f>(AB131+AC131)-AD131</f>
        <v>38872</v>
      </c>
      <c r="AF131" s="213"/>
    </row>
    <row r="132" spans="1:256" ht="15.75" customHeight="1" x14ac:dyDescent="0.3">
      <c r="A132" s="118"/>
      <c r="B132" s="56"/>
      <c r="C132" s="79" t="s">
        <v>52</v>
      </c>
      <c r="D132" s="36">
        <f>SUM(D110:D131)</f>
        <v>15763494888.419998</v>
      </c>
      <c r="E132" s="36"/>
      <c r="F132" s="36">
        <f t="shared" ref="F132:J132" si="105">SUM(F110:F131)</f>
        <v>4754984549.5200005</v>
      </c>
      <c r="G132" s="36">
        <f t="shared" si="105"/>
        <v>6653687496.3700018</v>
      </c>
      <c r="H132" s="36">
        <f t="shared" si="105"/>
        <v>62482855.299999997</v>
      </c>
      <c r="I132" s="36"/>
      <c r="J132" s="36">
        <f t="shared" si="105"/>
        <v>28126187779.399998</v>
      </c>
      <c r="K132" s="36">
        <f>SUM(K110:K131)</f>
        <v>405182617.09000009</v>
      </c>
      <c r="L132" s="36">
        <f t="shared" ref="L132" si="106">SUM(L110:L131)</f>
        <v>79942041.470000014</v>
      </c>
      <c r="M132" s="36">
        <f t="shared" ref="M132" si="107">SUM(M110:M131)</f>
        <v>1036976758.7100002</v>
      </c>
      <c r="N132" s="36">
        <f t="shared" ref="N132" si="108">SUM(N110:N131)</f>
        <v>31543617621.290001</v>
      </c>
      <c r="O132" s="36">
        <f t="shared" ref="O132:P132" si="109">SUM(O110:O131)</f>
        <v>873067902.95999992</v>
      </c>
      <c r="P132" s="160">
        <f t="shared" si="109"/>
        <v>29795577887.810005</v>
      </c>
      <c r="Q132" s="88">
        <f t="shared" si="89"/>
        <v>2.1090740350103328E-2</v>
      </c>
      <c r="R132" s="160">
        <f t="shared" ref="R132" si="110">SUM(R110:R131)</f>
        <v>30879308966.640007</v>
      </c>
      <c r="S132" s="88">
        <f>(R132/$R$150)</f>
        <v>2.1935404681657326E-2</v>
      </c>
      <c r="T132" s="38">
        <f t="shared" si="91"/>
        <v>3.6372212108474626E-2</v>
      </c>
      <c r="U132" s="51"/>
      <c r="V132" s="39"/>
      <c r="W132" s="40"/>
      <c r="X132" s="40"/>
      <c r="Y132" s="36"/>
      <c r="Z132" s="36"/>
      <c r="AA132" s="41">
        <f>SUM(AA110:AA131)</f>
        <v>47202</v>
      </c>
      <c r="AB132" s="41"/>
      <c r="AC132" s="41"/>
      <c r="AD132" s="41"/>
      <c r="AE132" s="120"/>
      <c r="AF132" s="211"/>
    </row>
    <row r="133" spans="1:256" ht="15.75" customHeight="1" x14ac:dyDescent="0.3">
      <c r="A133" s="203" t="s">
        <v>143</v>
      </c>
      <c r="B133" s="201"/>
      <c r="C133" s="201"/>
      <c r="D133" s="45"/>
      <c r="E133" s="45"/>
      <c r="F133" s="45"/>
      <c r="G133" s="45"/>
      <c r="H133" s="45"/>
      <c r="I133" s="45"/>
      <c r="J133" s="45"/>
      <c r="K133" s="45"/>
      <c r="L133" s="45"/>
      <c r="M133" s="166"/>
      <c r="N133" s="45"/>
      <c r="O133" s="45"/>
      <c r="P133" s="45"/>
      <c r="Q133" s="24"/>
      <c r="R133" s="45"/>
      <c r="S133" s="24"/>
      <c r="T133" s="24"/>
      <c r="U133" s="24"/>
      <c r="V133" s="46"/>
      <c r="W133" s="47"/>
      <c r="X133" s="47"/>
      <c r="Y133" s="45"/>
      <c r="Z133" s="45"/>
      <c r="AA133" s="45"/>
      <c r="AB133" s="45"/>
      <c r="AC133" s="45"/>
      <c r="AD133" s="45"/>
      <c r="AE133" s="116"/>
      <c r="AF133" s="211"/>
    </row>
    <row r="134" spans="1:256" ht="15.75" customHeight="1" x14ac:dyDescent="0.3">
      <c r="A134" s="172">
        <v>115</v>
      </c>
      <c r="B134" s="58" t="s">
        <v>74</v>
      </c>
      <c r="C134" s="57" t="s">
        <v>211</v>
      </c>
      <c r="D134" s="20">
        <v>317982713.30000001</v>
      </c>
      <c r="E134" s="20"/>
      <c r="F134" s="20">
        <v>42689149.57</v>
      </c>
      <c r="G134" s="20">
        <v>242710212.06</v>
      </c>
      <c r="H134" s="29"/>
      <c r="I134" s="20"/>
      <c r="J134" s="20">
        <v>603382074.92999995</v>
      </c>
      <c r="K134" s="20">
        <v>2590366.7799999998</v>
      </c>
      <c r="L134" s="21">
        <v>4864190.83</v>
      </c>
      <c r="M134" s="152">
        <v>11863784.449999999</v>
      </c>
      <c r="N134" s="20">
        <v>603722373.84000003</v>
      </c>
      <c r="O134" s="20">
        <v>4864190.84</v>
      </c>
      <c r="P134" s="30">
        <v>579066206.09000003</v>
      </c>
      <c r="Q134" s="23">
        <f>(P134/$P$137)</f>
        <v>0.21528091196700341</v>
      </c>
      <c r="R134" s="30">
        <v>598858183</v>
      </c>
      <c r="S134" s="23">
        <f>(R134/$R$137)</f>
        <v>0.2091963378523613</v>
      </c>
      <c r="T134" s="24">
        <f t="shared" ref="T134:T149" si="111">((R134-P134)/P134)</f>
        <v>3.4179126154918187E-2</v>
      </c>
      <c r="U134" s="59">
        <f t="shared" ref="U134:U149" si="112">(L134/R134)</f>
        <v>8.1224419538406811E-3</v>
      </c>
      <c r="V134" s="25">
        <f t="shared" ref="V134:V148" si="113">M134/R134</f>
        <v>1.9810674357938929E-2</v>
      </c>
      <c r="W134" s="26">
        <f t="shared" ref="W134:W148" si="114">R134/AE134</f>
        <v>16.006992906179111</v>
      </c>
      <c r="X134" s="26">
        <f t="shared" ref="X134:X148" si="115">M134/AE134</f>
        <v>0.31710932391415281</v>
      </c>
      <c r="Y134" s="20">
        <v>16.007100000000001</v>
      </c>
      <c r="Z134" s="20">
        <v>16.185099999999998</v>
      </c>
      <c r="AA134" s="27">
        <v>1531</v>
      </c>
      <c r="AB134" s="27">
        <v>37412285.149999999</v>
      </c>
      <c r="AC134" s="27">
        <v>0</v>
      </c>
      <c r="AD134" s="27">
        <v>0</v>
      </c>
      <c r="AE134" s="111">
        <v>37412285.149999999</v>
      </c>
      <c r="AF134" s="211"/>
    </row>
    <row r="135" spans="1:256" ht="15.75" customHeight="1" x14ac:dyDescent="0.3">
      <c r="A135" s="172">
        <v>116</v>
      </c>
      <c r="B135" s="58" t="s">
        <v>23</v>
      </c>
      <c r="C135" s="57" t="s">
        <v>144</v>
      </c>
      <c r="D135" s="20">
        <v>1393502003.9000001</v>
      </c>
      <c r="E135" s="20"/>
      <c r="F135" s="20">
        <v>338859405.89999998</v>
      </c>
      <c r="G135" s="20">
        <v>12219795.49</v>
      </c>
      <c r="H135" s="29"/>
      <c r="I135" s="20"/>
      <c r="J135" s="20">
        <v>1756845745.55</v>
      </c>
      <c r="K135" s="20">
        <v>24567470.559999999</v>
      </c>
      <c r="L135" s="20">
        <v>8069533.0899999999</v>
      </c>
      <c r="M135" s="152">
        <v>94227426.590000004</v>
      </c>
      <c r="N135" s="20">
        <v>1784662489.9300001</v>
      </c>
      <c r="O135" s="20">
        <v>6846064.2599999998</v>
      </c>
      <c r="P135" s="30">
        <v>1672376677.4300001</v>
      </c>
      <c r="Q135" s="23">
        <f t="shared" ref="Q135:Q136" si="116">(P135/$P$137)</f>
        <v>0.62174371856457555</v>
      </c>
      <c r="R135" s="30">
        <v>1777816425.6700001</v>
      </c>
      <c r="S135" s="23">
        <f>(R135/$R$137)</f>
        <v>0.6210363257638557</v>
      </c>
      <c r="T135" s="24">
        <f>((R135-P135)/P135)</f>
        <v>6.3047846614336295E-2</v>
      </c>
      <c r="U135" s="59">
        <f t="shared" si="112"/>
        <v>4.5390136875121181E-3</v>
      </c>
      <c r="V135" s="25">
        <f t="shared" si="113"/>
        <v>5.3001775227995665E-2</v>
      </c>
      <c r="W135" s="26">
        <f t="shared" si="114"/>
        <v>1.4569864020320031</v>
      </c>
      <c r="X135" s="26">
        <f>M135/AE135</f>
        <v>7.7222865790746359E-2</v>
      </c>
      <c r="Y135" s="20">
        <v>1.44</v>
      </c>
      <c r="Z135" s="20">
        <v>1.47</v>
      </c>
      <c r="AA135" s="27">
        <v>9479</v>
      </c>
      <c r="AB135" s="27">
        <v>1219961997.52</v>
      </c>
      <c r="AC135" s="27">
        <v>8260652.5599999996</v>
      </c>
      <c r="AD135" s="27">
        <v>8021539.6299999999</v>
      </c>
      <c r="AE135" s="150">
        <f>(AB135+AC135)-AD135</f>
        <v>1220201110.4499998</v>
      </c>
      <c r="AF135" s="211"/>
    </row>
    <row r="136" spans="1:256" ht="15.75" customHeight="1" x14ac:dyDescent="0.3">
      <c r="A136" s="172">
        <v>117</v>
      </c>
      <c r="B136" s="57" t="s">
        <v>35</v>
      </c>
      <c r="C136" s="57" t="s">
        <v>145</v>
      </c>
      <c r="D136" s="20">
        <v>173091268.55000001</v>
      </c>
      <c r="E136" s="20"/>
      <c r="F136" s="20">
        <v>9831683.2400000002</v>
      </c>
      <c r="G136" s="20"/>
      <c r="H136" s="21"/>
      <c r="I136" s="20"/>
      <c r="J136" s="20">
        <v>334502983.87</v>
      </c>
      <c r="K136" s="20">
        <v>3391361.01</v>
      </c>
      <c r="L136" s="21">
        <v>1294137.95</v>
      </c>
      <c r="M136" s="152">
        <v>7022922.5199999996</v>
      </c>
      <c r="N136" s="20">
        <v>492118128</v>
      </c>
      <c r="O136" s="20">
        <v>6131807</v>
      </c>
      <c r="P136" s="30">
        <v>438373881</v>
      </c>
      <c r="Q136" s="23">
        <f t="shared" si="116"/>
        <v>0.16297536946842109</v>
      </c>
      <c r="R136" s="30">
        <v>485986321</v>
      </c>
      <c r="S136" s="23">
        <f t="shared" ref="S136" si="117">(R136/$R$137)</f>
        <v>0.16976733638378305</v>
      </c>
      <c r="T136" s="24">
        <f t="shared" si="111"/>
        <v>0.10861148910466224</v>
      </c>
      <c r="U136" s="59">
        <f t="shared" si="112"/>
        <v>2.6629102385785051E-3</v>
      </c>
      <c r="V136" s="25">
        <f t="shared" si="113"/>
        <v>1.4450864595425515E-2</v>
      </c>
      <c r="W136" s="26">
        <f t="shared" si="114"/>
        <v>42.047388307832229</v>
      </c>
      <c r="X136" s="26">
        <f t="shared" si="115"/>
        <v>0.6076211150277615</v>
      </c>
      <c r="Y136" s="20">
        <v>41.837200000000003</v>
      </c>
      <c r="Z136" s="20">
        <v>43.098599999999998</v>
      </c>
      <c r="AA136" s="27">
        <v>187</v>
      </c>
      <c r="AB136" s="27">
        <v>10932117</v>
      </c>
      <c r="AC136" s="27">
        <v>893535</v>
      </c>
      <c r="AD136" s="27">
        <v>267590</v>
      </c>
      <c r="AE136" s="111">
        <v>11558062</v>
      </c>
      <c r="AF136" s="211"/>
    </row>
    <row r="137" spans="1:256" ht="15" customHeight="1" x14ac:dyDescent="0.3">
      <c r="A137" s="109"/>
      <c r="B137" s="87"/>
      <c r="C137" s="79" t="s">
        <v>52</v>
      </c>
      <c r="D137" s="36">
        <f>SUM(D134:D136)</f>
        <v>1884575985.75</v>
      </c>
      <c r="E137" s="36"/>
      <c r="F137" s="36">
        <f t="shared" ref="F137:H137" si="118">SUM(F134:F136)</f>
        <v>391380238.70999998</v>
      </c>
      <c r="G137" s="36">
        <f t="shared" si="118"/>
        <v>254930007.55000001</v>
      </c>
      <c r="H137" s="36">
        <f t="shared" si="118"/>
        <v>0</v>
      </c>
      <c r="I137" s="36"/>
      <c r="J137" s="36">
        <f t="shared" ref="J137" si="119">SUM(J134:J136)</f>
        <v>2694730804.3499999</v>
      </c>
      <c r="K137" s="36">
        <f t="shared" ref="K137" si="120">SUM(K134:K136)</f>
        <v>30549198.350000001</v>
      </c>
      <c r="L137" s="36">
        <f t="shared" ref="L137" si="121">SUM(L134:L136)</f>
        <v>14227861.869999999</v>
      </c>
      <c r="M137" s="36">
        <f t="shared" ref="M137:N137" si="122">SUM(M134:M136)</f>
        <v>113114133.56</v>
      </c>
      <c r="N137" s="36">
        <f t="shared" si="122"/>
        <v>2880502991.77</v>
      </c>
      <c r="O137" s="36">
        <f t="shared" ref="O137" si="123">SUM(O134:O136)</f>
        <v>17842062.100000001</v>
      </c>
      <c r="P137" s="37">
        <f>SUM(P134:P136)</f>
        <v>2689816764.52</v>
      </c>
      <c r="Q137" s="88">
        <f>(P137/$P$150)</f>
        <v>1.9039814291722755E-3</v>
      </c>
      <c r="R137" s="37">
        <f>SUM(R134:R136)</f>
        <v>2862660929.6700001</v>
      </c>
      <c r="S137" s="88">
        <f>(R137/$R$150)</f>
        <v>2.0335178493313751E-3</v>
      </c>
      <c r="T137" s="38">
        <f t="shared" si="111"/>
        <v>6.4258713615700236E-2</v>
      </c>
      <c r="U137" s="51"/>
      <c r="V137" s="39"/>
      <c r="W137" s="40"/>
      <c r="X137" s="40"/>
      <c r="Y137" s="36"/>
      <c r="Z137" s="36"/>
      <c r="AA137" s="41">
        <f>SUM(AA134:AA136)</f>
        <v>11197</v>
      </c>
      <c r="AB137" s="41"/>
      <c r="AC137" s="41"/>
      <c r="AD137" s="41"/>
      <c r="AE137" s="120"/>
      <c r="AF137" s="211"/>
      <c r="AG137" s="18"/>
      <c r="AH137" s="18"/>
      <c r="AI137" s="18"/>
      <c r="AJ137" s="18"/>
      <c r="AK137" s="18"/>
      <c r="AL137" s="18"/>
      <c r="AM137" s="18"/>
      <c r="AN137" s="18"/>
      <c r="AO137" s="18"/>
      <c r="AP137" s="18"/>
      <c r="AQ137" s="18"/>
      <c r="AR137" s="18"/>
      <c r="AS137" s="18"/>
      <c r="AT137" s="18"/>
      <c r="AU137" s="18"/>
      <c r="AV137" s="18"/>
      <c r="AW137" s="18"/>
      <c r="AX137" s="18"/>
      <c r="AY137" s="18"/>
      <c r="AZ137" s="18"/>
      <c r="BA137" s="18"/>
      <c r="BB137" s="18"/>
      <c r="BC137" s="18"/>
      <c r="BD137" s="18"/>
      <c r="BE137" s="18"/>
      <c r="BF137" s="18"/>
      <c r="BG137" s="18"/>
      <c r="BH137" s="18"/>
      <c r="BI137" s="18"/>
      <c r="BJ137" s="18"/>
      <c r="BK137" s="18"/>
      <c r="BL137" s="18"/>
      <c r="BM137" s="18"/>
      <c r="BN137" s="18"/>
      <c r="BO137" s="18"/>
      <c r="BP137" s="18"/>
      <c r="BQ137" s="18"/>
      <c r="BR137" s="18"/>
      <c r="BS137" s="18"/>
      <c r="BT137" s="18"/>
      <c r="BU137" s="18"/>
      <c r="BV137" s="18"/>
      <c r="BW137" s="18"/>
      <c r="BX137" s="18"/>
      <c r="BY137" s="18"/>
      <c r="BZ137" s="18"/>
      <c r="CA137" s="18"/>
      <c r="CB137" s="18"/>
      <c r="CC137" s="18"/>
      <c r="CD137" s="18"/>
      <c r="CE137" s="18"/>
      <c r="CF137" s="18"/>
      <c r="CG137" s="18"/>
      <c r="CH137" s="18"/>
      <c r="CI137" s="18"/>
      <c r="CJ137" s="18"/>
      <c r="CK137" s="18"/>
      <c r="CL137" s="18"/>
      <c r="CM137" s="18"/>
      <c r="CN137" s="18"/>
      <c r="CO137" s="18"/>
      <c r="CP137" s="18"/>
      <c r="CQ137" s="18"/>
      <c r="CR137" s="18"/>
      <c r="CS137" s="18"/>
      <c r="CT137" s="18"/>
      <c r="CU137" s="18"/>
      <c r="CV137" s="18"/>
      <c r="CW137" s="18"/>
      <c r="CX137" s="18"/>
      <c r="CY137" s="18"/>
      <c r="CZ137" s="18"/>
      <c r="DA137" s="18"/>
      <c r="DB137" s="18"/>
      <c r="DC137" s="18"/>
      <c r="DD137" s="18"/>
      <c r="DE137" s="18"/>
      <c r="DF137" s="18"/>
      <c r="DG137" s="18"/>
      <c r="DH137" s="18"/>
      <c r="DI137" s="18"/>
      <c r="DJ137" s="18"/>
      <c r="DK137" s="18"/>
      <c r="DL137" s="18"/>
      <c r="DM137" s="18"/>
      <c r="DN137" s="18"/>
      <c r="DO137" s="18"/>
      <c r="DP137" s="18"/>
      <c r="DQ137" s="18"/>
      <c r="DR137" s="18"/>
      <c r="DS137" s="18"/>
      <c r="DT137" s="18"/>
      <c r="DU137" s="18"/>
      <c r="DV137" s="18"/>
      <c r="DW137" s="18"/>
      <c r="DX137" s="18"/>
      <c r="DY137" s="18"/>
      <c r="DZ137" s="18"/>
      <c r="EA137" s="18"/>
      <c r="EB137" s="18"/>
      <c r="EC137" s="18"/>
      <c r="ED137" s="18"/>
      <c r="EE137" s="18"/>
      <c r="EF137" s="18"/>
      <c r="EG137" s="18"/>
      <c r="EH137" s="18"/>
      <c r="EI137" s="18"/>
      <c r="EJ137" s="18"/>
      <c r="EK137" s="18"/>
      <c r="EL137" s="18"/>
      <c r="EM137" s="18"/>
      <c r="EN137" s="18"/>
      <c r="EO137" s="18"/>
      <c r="EP137" s="18"/>
      <c r="EQ137" s="18"/>
      <c r="ER137" s="18"/>
      <c r="ES137" s="18"/>
      <c r="ET137" s="18"/>
      <c r="EU137" s="18"/>
      <c r="EV137" s="18"/>
      <c r="EW137" s="18"/>
      <c r="EX137" s="18"/>
      <c r="EY137" s="18"/>
      <c r="EZ137" s="18"/>
      <c r="FA137" s="18"/>
      <c r="FB137" s="18"/>
      <c r="FC137" s="18"/>
      <c r="FD137" s="18"/>
      <c r="FE137" s="18"/>
      <c r="FF137" s="18"/>
      <c r="FG137" s="18"/>
      <c r="FH137" s="18"/>
      <c r="FI137" s="18"/>
      <c r="FJ137" s="18"/>
      <c r="FK137" s="18"/>
      <c r="FL137" s="18"/>
      <c r="FM137" s="18"/>
      <c r="FN137" s="18"/>
      <c r="FO137" s="18"/>
      <c r="FP137" s="18"/>
      <c r="FQ137" s="18"/>
      <c r="FR137" s="18"/>
      <c r="FS137" s="18"/>
      <c r="FT137" s="18"/>
      <c r="FU137" s="18"/>
      <c r="FV137" s="18"/>
      <c r="FW137" s="18"/>
      <c r="FX137" s="18"/>
      <c r="FY137" s="18"/>
      <c r="FZ137" s="18"/>
      <c r="GA137" s="18"/>
      <c r="GB137" s="18"/>
      <c r="GC137" s="18"/>
      <c r="GD137" s="18"/>
      <c r="GE137" s="18"/>
      <c r="GF137" s="18"/>
      <c r="GG137" s="18"/>
      <c r="GH137" s="18"/>
      <c r="GI137" s="18"/>
      <c r="GJ137" s="18"/>
      <c r="GK137" s="18"/>
      <c r="GL137" s="18"/>
      <c r="GM137" s="18"/>
      <c r="GN137" s="18"/>
      <c r="GO137" s="18"/>
      <c r="GP137" s="18"/>
      <c r="GQ137" s="18"/>
      <c r="GR137" s="18"/>
      <c r="GS137" s="18"/>
      <c r="GT137" s="18"/>
      <c r="GU137" s="18"/>
      <c r="GV137" s="18"/>
      <c r="GW137" s="18"/>
      <c r="GX137" s="18"/>
      <c r="GY137" s="18"/>
      <c r="GZ137" s="18"/>
      <c r="HA137" s="18"/>
      <c r="HB137" s="18"/>
      <c r="HC137" s="18"/>
      <c r="HD137" s="18"/>
      <c r="HE137" s="18"/>
      <c r="HF137" s="18"/>
      <c r="HG137" s="18"/>
      <c r="HH137" s="18"/>
      <c r="HI137" s="18"/>
      <c r="HJ137" s="18"/>
      <c r="HK137" s="18"/>
      <c r="HL137" s="18"/>
      <c r="HM137" s="18"/>
      <c r="HN137" s="18"/>
      <c r="HO137" s="18"/>
      <c r="HP137" s="18"/>
      <c r="HQ137" s="18"/>
      <c r="HR137" s="18"/>
      <c r="HS137" s="18"/>
      <c r="HT137" s="18"/>
      <c r="HU137" s="18"/>
      <c r="HV137" s="18"/>
      <c r="HW137" s="18"/>
      <c r="HX137" s="18"/>
      <c r="HY137" s="18"/>
      <c r="HZ137" s="18"/>
      <c r="IA137" s="18"/>
      <c r="IB137" s="18"/>
      <c r="IC137" s="18"/>
      <c r="ID137" s="18"/>
      <c r="IE137" s="18"/>
      <c r="IF137" s="18"/>
      <c r="IG137" s="18"/>
      <c r="IH137" s="18"/>
      <c r="II137" s="18"/>
      <c r="IJ137" s="18"/>
      <c r="IK137" s="18"/>
      <c r="IL137" s="18"/>
      <c r="IM137" s="18"/>
      <c r="IN137" s="18"/>
      <c r="IO137" s="18"/>
      <c r="IP137" s="18"/>
      <c r="IQ137" s="18"/>
      <c r="IR137" s="18"/>
      <c r="IS137" s="18"/>
      <c r="IT137" s="18"/>
      <c r="IU137" s="18"/>
      <c r="IV137" s="18"/>
    </row>
    <row r="138" spans="1:256" ht="15.75" customHeight="1" x14ac:dyDescent="0.3">
      <c r="A138" s="203" t="s">
        <v>184</v>
      </c>
      <c r="B138" s="201"/>
      <c r="C138" s="201"/>
      <c r="D138" s="201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4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2"/>
      <c r="AF138" s="211"/>
      <c r="AG138" s="18"/>
      <c r="AH138" s="18"/>
      <c r="AI138" s="18"/>
      <c r="AJ138" s="18"/>
      <c r="AK138" s="18"/>
      <c r="AL138" s="18"/>
      <c r="AM138" s="18"/>
      <c r="AN138" s="18"/>
      <c r="AO138" s="18"/>
      <c r="AP138" s="18"/>
      <c r="AQ138" s="18"/>
      <c r="AR138" s="18"/>
      <c r="AS138" s="18"/>
      <c r="AT138" s="18"/>
      <c r="AU138" s="18"/>
      <c r="AV138" s="18"/>
      <c r="AW138" s="18"/>
      <c r="AX138" s="18"/>
      <c r="AY138" s="18"/>
      <c r="AZ138" s="18"/>
      <c r="BA138" s="18"/>
      <c r="BB138" s="18"/>
      <c r="BC138" s="18"/>
      <c r="BD138" s="18"/>
      <c r="BE138" s="18"/>
      <c r="BF138" s="18"/>
      <c r="BG138" s="18"/>
      <c r="BH138" s="18"/>
      <c r="BI138" s="18"/>
      <c r="BJ138" s="18"/>
      <c r="BK138" s="18"/>
      <c r="BL138" s="18"/>
      <c r="BM138" s="18"/>
      <c r="BN138" s="18"/>
      <c r="BO138" s="18"/>
      <c r="BP138" s="18"/>
      <c r="BQ138" s="18"/>
      <c r="BR138" s="18"/>
      <c r="BS138" s="18"/>
      <c r="BT138" s="18"/>
      <c r="BU138" s="18"/>
      <c r="BV138" s="18"/>
      <c r="BW138" s="18"/>
      <c r="BX138" s="18"/>
      <c r="BY138" s="18"/>
      <c r="BZ138" s="18"/>
      <c r="CA138" s="18"/>
      <c r="CB138" s="18"/>
      <c r="CC138" s="18"/>
      <c r="CD138" s="18"/>
      <c r="CE138" s="18"/>
      <c r="CF138" s="18"/>
      <c r="CG138" s="18"/>
      <c r="CH138" s="18"/>
      <c r="CI138" s="18"/>
      <c r="CJ138" s="18"/>
      <c r="CK138" s="18"/>
      <c r="CL138" s="18"/>
      <c r="CM138" s="18"/>
      <c r="CN138" s="18"/>
      <c r="CO138" s="18"/>
      <c r="CP138" s="18"/>
      <c r="CQ138" s="18"/>
      <c r="CR138" s="18"/>
      <c r="CS138" s="18"/>
      <c r="CT138" s="18"/>
      <c r="CU138" s="18"/>
      <c r="CV138" s="18"/>
      <c r="CW138" s="18"/>
      <c r="CX138" s="18"/>
      <c r="CY138" s="18"/>
      <c r="CZ138" s="18"/>
      <c r="DA138" s="18"/>
      <c r="DB138" s="18"/>
      <c r="DC138" s="18"/>
      <c r="DD138" s="18"/>
      <c r="DE138" s="18"/>
      <c r="DF138" s="18"/>
      <c r="DG138" s="18"/>
      <c r="DH138" s="18"/>
      <c r="DI138" s="18"/>
      <c r="DJ138" s="18"/>
      <c r="DK138" s="18"/>
      <c r="DL138" s="18"/>
      <c r="DM138" s="18"/>
      <c r="DN138" s="18"/>
      <c r="DO138" s="18"/>
      <c r="DP138" s="18"/>
      <c r="DQ138" s="18"/>
      <c r="DR138" s="18"/>
      <c r="DS138" s="18"/>
      <c r="DT138" s="18"/>
      <c r="DU138" s="18"/>
      <c r="DV138" s="18"/>
      <c r="DW138" s="18"/>
      <c r="DX138" s="18"/>
      <c r="DY138" s="18"/>
      <c r="DZ138" s="18"/>
      <c r="EA138" s="18"/>
      <c r="EB138" s="18"/>
      <c r="EC138" s="18"/>
      <c r="ED138" s="18"/>
      <c r="EE138" s="18"/>
      <c r="EF138" s="18"/>
      <c r="EG138" s="18"/>
      <c r="EH138" s="18"/>
      <c r="EI138" s="18"/>
      <c r="EJ138" s="18"/>
      <c r="EK138" s="18"/>
      <c r="EL138" s="18"/>
      <c r="EM138" s="18"/>
      <c r="EN138" s="18"/>
      <c r="EO138" s="18"/>
      <c r="EP138" s="18"/>
      <c r="EQ138" s="18"/>
      <c r="ER138" s="18"/>
      <c r="ES138" s="18"/>
      <c r="ET138" s="18"/>
      <c r="EU138" s="18"/>
      <c r="EV138" s="18"/>
      <c r="EW138" s="18"/>
      <c r="EX138" s="18"/>
      <c r="EY138" s="18"/>
      <c r="EZ138" s="18"/>
      <c r="FA138" s="18"/>
      <c r="FB138" s="18"/>
      <c r="FC138" s="18"/>
      <c r="FD138" s="18"/>
      <c r="FE138" s="18"/>
      <c r="FF138" s="18"/>
      <c r="FG138" s="18"/>
      <c r="FH138" s="18"/>
      <c r="FI138" s="18"/>
      <c r="FJ138" s="18"/>
      <c r="FK138" s="18"/>
      <c r="FL138" s="18"/>
      <c r="FM138" s="18"/>
      <c r="FN138" s="18"/>
      <c r="FO138" s="18"/>
      <c r="FP138" s="18"/>
      <c r="FQ138" s="18"/>
      <c r="FR138" s="18"/>
      <c r="FS138" s="18"/>
      <c r="FT138" s="18"/>
      <c r="FU138" s="18"/>
      <c r="FV138" s="18"/>
      <c r="FW138" s="18"/>
      <c r="FX138" s="18"/>
      <c r="FY138" s="18"/>
      <c r="FZ138" s="18"/>
      <c r="GA138" s="18"/>
      <c r="GB138" s="18"/>
      <c r="GC138" s="18"/>
      <c r="GD138" s="18"/>
      <c r="GE138" s="18"/>
      <c r="GF138" s="18"/>
      <c r="GG138" s="18"/>
      <c r="GH138" s="18"/>
      <c r="GI138" s="18"/>
      <c r="GJ138" s="18"/>
      <c r="GK138" s="18"/>
      <c r="GL138" s="18"/>
      <c r="GM138" s="18"/>
      <c r="GN138" s="18"/>
      <c r="GO138" s="18"/>
      <c r="GP138" s="18"/>
      <c r="GQ138" s="18"/>
      <c r="GR138" s="18"/>
      <c r="GS138" s="18"/>
      <c r="GT138" s="18"/>
      <c r="GU138" s="18"/>
      <c r="GV138" s="18"/>
      <c r="GW138" s="18"/>
      <c r="GX138" s="18"/>
      <c r="GY138" s="18"/>
      <c r="GZ138" s="18"/>
      <c r="HA138" s="18"/>
      <c r="HB138" s="18"/>
      <c r="HC138" s="18"/>
      <c r="HD138" s="18"/>
      <c r="HE138" s="18"/>
      <c r="HF138" s="18"/>
      <c r="HG138" s="18"/>
      <c r="HH138" s="18"/>
      <c r="HI138" s="18"/>
      <c r="HJ138" s="18"/>
      <c r="HK138" s="18"/>
      <c r="HL138" s="18"/>
      <c r="HM138" s="18"/>
      <c r="HN138" s="18"/>
      <c r="HO138" s="18"/>
      <c r="HP138" s="18"/>
      <c r="HQ138" s="18"/>
      <c r="HR138" s="18"/>
      <c r="HS138" s="18"/>
      <c r="HT138" s="18"/>
      <c r="HU138" s="18"/>
      <c r="HV138" s="18"/>
      <c r="HW138" s="18"/>
      <c r="HX138" s="18"/>
      <c r="HY138" s="18"/>
      <c r="HZ138" s="18"/>
      <c r="IA138" s="18"/>
      <c r="IB138" s="18"/>
      <c r="IC138" s="18"/>
      <c r="ID138" s="18"/>
      <c r="IE138" s="18"/>
      <c r="IF138" s="18"/>
      <c r="IG138" s="18"/>
      <c r="IH138" s="18"/>
      <c r="II138" s="18"/>
      <c r="IJ138" s="18"/>
      <c r="IK138" s="18"/>
      <c r="IL138" s="18"/>
      <c r="IM138" s="18"/>
      <c r="IN138" s="18"/>
      <c r="IO138" s="18"/>
      <c r="IP138" s="18"/>
      <c r="IQ138" s="18"/>
      <c r="IR138" s="18"/>
      <c r="IS138" s="18"/>
      <c r="IT138" s="18"/>
      <c r="IU138" s="18"/>
      <c r="IV138" s="18"/>
    </row>
    <row r="139" spans="1:256" ht="15.75" customHeight="1" x14ac:dyDescent="0.3">
      <c r="A139" s="199" t="s">
        <v>185</v>
      </c>
      <c r="B139" s="200"/>
      <c r="C139" s="200"/>
      <c r="D139" s="105"/>
      <c r="E139" s="105"/>
      <c r="F139" s="105"/>
      <c r="G139" s="105"/>
      <c r="H139" s="105"/>
      <c r="I139" s="105"/>
      <c r="J139" s="105"/>
      <c r="K139" s="105"/>
      <c r="L139" s="91"/>
      <c r="M139" s="167"/>
      <c r="N139" s="91"/>
      <c r="O139" s="96"/>
      <c r="P139" s="91"/>
      <c r="Q139" s="92"/>
      <c r="R139" s="91"/>
      <c r="S139" s="92"/>
      <c r="T139" s="92"/>
      <c r="U139" s="97"/>
      <c r="V139" s="94"/>
      <c r="W139" s="95"/>
      <c r="X139" s="95"/>
      <c r="Y139" s="91"/>
      <c r="Z139" s="91"/>
      <c r="AA139" s="98"/>
      <c r="AB139" s="98"/>
      <c r="AC139" s="98"/>
      <c r="AD139" s="98"/>
      <c r="AE139" s="117"/>
      <c r="AF139" s="211"/>
      <c r="AG139" s="18"/>
      <c r="AH139" s="18"/>
      <c r="AI139" s="18"/>
      <c r="AJ139" s="18"/>
      <c r="AK139" s="18"/>
      <c r="AL139" s="18"/>
      <c r="AM139" s="18"/>
      <c r="AN139" s="18"/>
      <c r="AO139" s="18"/>
      <c r="AP139" s="18"/>
      <c r="AQ139" s="18"/>
      <c r="AR139" s="18"/>
      <c r="AS139" s="18"/>
      <c r="AT139" s="18"/>
      <c r="AU139" s="18"/>
      <c r="AV139" s="18"/>
      <c r="AW139" s="18"/>
      <c r="AX139" s="18"/>
      <c r="AY139" s="18"/>
      <c r="AZ139" s="18"/>
      <c r="BA139" s="18"/>
      <c r="BB139" s="18"/>
      <c r="BC139" s="18"/>
      <c r="BD139" s="18"/>
      <c r="BE139" s="18"/>
      <c r="BF139" s="18"/>
      <c r="BG139" s="18"/>
      <c r="BH139" s="18"/>
      <c r="BI139" s="18"/>
      <c r="BJ139" s="18"/>
      <c r="BK139" s="18"/>
      <c r="BL139" s="18"/>
      <c r="BM139" s="18"/>
      <c r="BN139" s="18"/>
      <c r="BO139" s="18"/>
      <c r="BP139" s="18"/>
      <c r="BQ139" s="18"/>
      <c r="BR139" s="18"/>
      <c r="BS139" s="18"/>
      <c r="BT139" s="18"/>
      <c r="BU139" s="18"/>
      <c r="BV139" s="18"/>
      <c r="BW139" s="18"/>
      <c r="BX139" s="18"/>
      <c r="BY139" s="18"/>
      <c r="BZ139" s="18"/>
      <c r="CA139" s="18"/>
      <c r="CB139" s="18"/>
      <c r="CC139" s="18"/>
      <c r="CD139" s="18"/>
      <c r="CE139" s="18"/>
      <c r="CF139" s="18"/>
      <c r="CG139" s="18"/>
      <c r="CH139" s="18"/>
      <c r="CI139" s="18"/>
      <c r="CJ139" s="18"/>
      <c r="CK139" s="18"/>
      <c r="CL139" s="18"/>
      <c r="CM139" s="18"/>
      <c r="CN139" s="18"/>
      <c r="CO139" s="18"/>
      <c r="CP139" s="18"/>
      <c r="CQ139" s="18"/>
      <c r="CR139" s="18"/>
      <c r="CS139" s="18"/>
      <c r="CT139" s="18"/>
      <c r="CU139" s="18"/>
      <c r="CV139" s="18"/>
      <c r="CW139" s="18"/>
      <c r="CX139" s="18"/>
      <c r="CY139" s="18"/>
      <c r="CZ139" s="18"/>
      <c r="DA139" s="18"/>
      <c r="DB139" s="18"/>
      <c r="DC139" s="18"/>
      <c r="DD139" s="18"/>
      <c r="DE139" s="18"/>
      <c r="DF139" s="18"/>
      <c r="DG139" s="18"/>
      <c r="DH139" s="18"/>
      <c r="DI139" s="18"/>
      <c r="DJ139" s="18"/>
      <c r="DK139" s="18"/>
      <c r="DL139" s="18"/>
      <c r="DM139" s="18"/>
      <c r="DN139" s="18"/>
      <c r="DO139" s="18"/>
      <c r="DP139" s="18"/>
      <c r="DQ139" s="18"/>
      <c r="DR139" s="18"/>
      <c r="DS139" s="18"/>
      <c r="DT139" s="18"/>
      <c r="DU139" s="18"/>
      <c r="DV139" s="18"/>
      <c r="DW139" s="18"/>
      <c r="DX139" s="18"/>
      <c r="DY139" s="18"/>
      <c r="DZ139" s="18"/>
      <c r="EA139" s="18"/>
      <c r="EB139" s="18"/>
      <c r="EC139" s="18"/>
      <c r="ED139" s="18"/>
      <c r="EE139" s="18"/>
      <c r="EF139" s="18"/>
      <c r="EG139" s="18"/>
      <c r="EH139" s="18"/>
      <c r="EI139" s="18"/>
      <c r="EJ139" s="18"/>
      <c r="EK139" s="18"/>
      <c r="EL139" s="18"/>
      <c r="EM139" s="18"/>
      <c r="EN139" s="18"/>
      <c r="EO139" s="18"/>
      <c r="EP139" s="18"/>
      <c r="EQ139" s="18"/>
      <c r="ER139" s="18"/>
      <c r="ES139" s="18"/>
      <c r="ET139" s="18"/>
      <c r="EU139" s="18"/>
      <c r="EV139" s="18"/>
      <c r="EW139" s="18"/>
      <c r="EX139" s="18"/>
      <c r="EY139" s="18"/>
      <c r="EZ139" s="18"/>
      <c r="FA139" s="18"/>
      <c r="FB139" s="18"/>
      <c r="FC139" s="18"/>
      <c r="FD139" s="18"/>
      <c r="FE139" s="18"/>
      <c r="FF139" s="18"/>
      <c r="FG139" s="18"/>
      <c r="FH139" s="18"/>
      <c r="FI139" s="18"/>
      <c r="FJ139" s="18"/>
      <c r="FK139" s="18"/>
      <c r="FL139" s="18"/>
      <c r="FM139" s="18"/>
      <c r="FN139" s="18"/>
      <c r="FO139" s="18"/>
      <c r="FP139" s="18"/>
      <c r="FQ139" s="18"/>
      <c r="FR139" s="18"/>
      <c r="FS139" s="18"/>
      <c r="FT139" s="18"/>
      <c r="FU139" s="18"/>
      <c r="FV139" s="18"/>
      <c r="FW139" s="18"/>
      <c r="FX139" s="18"/>
      <c r="FY139" s="18"/>
      <c r="FZ139" s="18"/>
      <c r="GA139" s="18"/>
      <c r="GB139" s="18"/>
      <c r="GC139" s="18"/>
      <c r="GD139" s="18"/>
      <c r="GE139" s="18"/>
      <c r="GF139" s="18"/>
      <c r="GG139" s="18"/>
      <c r="GH139" s="18"/>
      <c r="GI139" s="18"/>
      <c r="GJ139" s="18"/>
      <c r="GK139" s="18"/>
      <c r="GL139" s="18"/>
      <c r="GM139" s="18"/>
      <c r="GN139" s="18"/>
      <c r="GO139" s="18"/>
      <c r="GP139" s="18"/>
      <c r="GQ139" s="18"/>
      <c r="GR139" s="18"/>
      <c r="GS139" s="18"/>
      <c r="GT139" s="18"/>
      <c r="GU139" s="18"/>
      <c r="GV139" s="18"/>
      <c r="GW139" s="18"/>
      <c r="GX139" s="18"/>
      <c r="GY139" s="18"/>
      <c r="GZ139" s="18"/>
      <c r="HA139" s="18"/>
      <c r="HB139" s="18"/>
      <c r="HC139" s="18"/>
      <c r="HD139" s="18"/>
      <c r="HE139" s="18"/>
      <c r="HF139" s="18"/>
      <c r="HG139" s="18"/>
      <c r="HH139" s="18"/>
      <c r="HI139" s="18"/>
      <c r="HJ139" s="18"/>
      <c r="HK139" s="18"/>
      <c r="HL139" s="18"/>
      <c r="HM139" s="18"/>
      <c r="HN139" s="18"/>
      <c r="HO139" s="18"/>
      <c r="HP139" s="18"/>
      <c r="HQ139" s="18"/>
      <c r="HR139" s="18"/>
      <c r="HS139" s="18"/>
      <c r="HT139" s="18"/>
      <c r="HU139" s="18"/>
      <c r="HV139" s="18"/>
      <c r="HW139" s="18"/>
      <c r="HX139" s="18"/>
      <c r="HY139" s="18"/>
      <c r="HZ139" s="18"/>
      <c r="IA139" s="18"/>
      <c r="IB139" s="18"/>
      <c r="IC139" s="18"/>
      <c r="ID139" s="18"/>
      <c r="IE139" s="18"/>
      <c r="IF139" s="18"/>
      <c r="IG139" s="18"/>
      <c r="IH139" s="18"/>
      <c r="II139" s="18"/>
      <c r="IJ139" s="18"/>
      <c r="IK139" s="18"/>
      <c r="IL139" s="18"/>
      <c r="IM139" s="18"/>
      <c r="IN139" s="18"/>
      <c r="IO139" s="18"/>
      <c r="IP139" s="18"/>
      <c r="IQ139" s="18"/>
      <c r="IR139" s="18"/>
      <c r="IS139" s="18"/>
      <c r="IT139" s="18"/>
      <c r="IU139" s="18"/>
      <c r="IV139" s="18"/>
    </row>
    <row r="140" spans="1:256" ht="15.75" customHeight="1" x14ac:dyDescent="0.3">
      <c r="A140" s="172">
        <v>118</v>
      </c>
      <c r="B140" s="58" t="s">
        <v>108</v>
      </c>
      <c r="C140" s="57" t="s">
        <v>167</v>
      </c>
      <c r="D140" s="21">
        <v>1423011290.95</v>
      </c>
      <c r="E140" s="138"/>
      <c r="F140" s="21"/>
      <c r="G140" s="20">
        <v>819515726.73000002</v>
      </c>
      <c r="H140" s="20"/>
      <c r="I140" s="21"/>
      <c r="J140" s="179">
        <v>3280932177.3499999</v>
      </c>
      <c r="K140" s="28">
        <v>66140628.57</v>
      </c>
      <c r="L140" s="21">
        <v>51779497.689999998</v>
      </c>
      <c r="M140" s="152">
        <v>74101284.680000007</v>
      </c>
      <c r="N140" s="21">
        <v>3374814061.02</v>
      </c>
      <c r="O140" s="21">
        <v>354070519</v>
      </c>
      <c r="P140" s="22">
        <v>2976417800.5</v>
      </c>
      <c r="Q140" s="23">
        <f>(P140/$P$149)</f>
        <v>0.16056063998321898</v>
      </c>
      <c r="R140" s="22">
        <v>3020743542.02</v>
      </c>
      <c r="S140" s="23">
        <f>(R140/$R$149)</f>
        <v>0.16121989472358411</v>
      </c>
      <c r="T140" s="24">
        <f>((R140-P140)/P140)</f>
        <v>1.4892311661539528E-2</v>
      </c>
      <c r="U140" s="59">
        <f>(L140/R140)</f>
        <v>1.7141308743930824E-2</v>
      </c>
      <c r="V140" s="25">
        <f>M140/R140</f>
        <v>2.4530809600091959E-2</v>
      </c>
      <c r="W140" s="26">
        <f>R140/AE140</f>
        <v>1.517047651393215</v>
      </c>
      <c r="X140" s="26">
        <f>M140/AE140</f>
        <v>3.7214407090593642E-2</v>
      </c>
      <c r="Y140" s="28">
        <v>1.5</v>
      </c>
      <c r="Z140" s="28">
        <v>1.53</v>
      </c>
      <c r="AA140" s="31">
        <v>15183</v>
      </c>
      <c r="AB140" s="28">
        <v>1981134639.0899999</v>
      </c>
      <c r="AC140" s="28">
        <v>12001436</v>
      </c>
      <c r="AD140" s="28">
        <v>1937223</v>
      </c>
      <c r="AE140" s="150">
        <f>(AB140+AC140)-AD140</f>
        <v>1991198852.0899999</v>
      </c>
      <c r="AF140" s="211"/>
      <c r="AG140" s="18"/>
      <c r="AH140" s="18"/>
      <c r="AI140" s="18"/>
      <c r="AJ140" s="18"/>
      <c r="AK140" s="18"/>
      <c r="AL140" s="18"/>
      <c r="AM140" s="18"/>
      <c r="AN140" s="18"/>
      <c r="AO140" s="18"/>
      <c r="AP140" s="18"/>
      <c r="AQ140" s="18"/>
      <c r="AR140" s="18"/>
      <c r="AS140" s="18"/>
      <c r="AT140" s="18"/>
      <c r="AU140" s="18"/>
      <c r="AV140" s="18"/>
      <c r="AW140" s="18"/>
      <c r="AX140" s="18"/>
      <c r="AY140" s="18"/>
      <c r="AZ140" s="18"/>
      <c r="BA140" s="18"/>
      <c r="BB140" s="18"/>
      <c r="BC140" s="18"/>
      <c r="BD140" s="18"/>
      <c r="BE140" s="18"/>
      <c r="BF140" s="18"/>
      <c r="BG140" s="18"/>
      <c r="BH140" s="18"/>
      <c r="BI140" s="18"/>
      <c r="BJ140" s="18"/>
      <c r="BK140" s="18"/>
      <c r="BL140" s="18"/>
      <c r="BM140" s="18"/>
      <c r="BN140" s="18"/>
      <c r="BO140" s="18"/>
      <c r="BP140" s="18"/>
      <c r="BQ140" s="18"/>
      <c r="BR140" s="18"/>
      <c r="BS140" s="18"/>
      <c r="BT140" s="18"/>
      <c r="BU140" s="18"/>
      <c r="BV140" s="18"/>
      <c r="BW140" s="18"/>
      <c r="BX140" s="18"/>
      <c r="BY140" s="18"/>
      <c r="BZ140" s="18"/>
      <c r="CA140" s="18"/>
      <c r="CB140" s="18"/>
      <c r="CC140" s="18"/>
      <c r="CD140" s="18"/>
      <c r="CE140" s="18"/>
      <c r="CF140" s="18"/>
      <c r="CG140" s="18"/>
      <c r="CH140" s="18"/>
      <c r="CI140" s="18"/>
      <c r="CJ140" s="18"/>
      <c r="CK140" s="18"/>
      <c r="CL140" s="18"/>
      <c r="CM140" s="18"/>
      <c r="CN140" s="18"/>
      <c r="CO140" s="18"/>
      <c r="CP140" s="18"/>
      <c r="CQ140" s="18"/>
      <c r="CR140" s="18"/>
      <c r="CS140" s="18"/>
      <c r="CT140" s="18"/>
      <c r="CU140" s="18"/>
      <c r="CV140" s="18"/>
      <c r="CW140" s="18"/>
      <c r="CX140" s="18"/>
      <c r="CY140" s="18"/>
      <c r="CZ140" s="18"/>
      <c r="DA140" s="18"/>
      <c r="DB140" s="18"/>
      <c r="DC140" s="18"/>
      <c r="DD140" s="18"/>
      <c r="DE140" s="18"/>
      <c r="DF140" s="18"/>
      <c r="DG140" s="18"/>
      <c r="DH140" s="18"/>
      <c r="DI140" s="18"/>
      <c r="DJ140" s="18"/>
      <c r="DK140" s="18"/>
      <c r="DL140" s="18"/>
      <c r="DM140" s="18"/>
      <c r="DN140" s="18"/>
      <c r="DO140" s="18"/>
      <c r="DP140" s="18"/>
      <c r="DQ140" s="18"/>
      <c r="DR140" s="18"/>
      <c r="DS140" s="18"/>
      <c r="DT140" s="18"/>
      <c r="DU140" s="18"/>
      <c r="DV140" s="18"/>
      <c r="DW140" s="18"/>
      <c r="DX140" s="18"/>
      <c r="DY140" s="18"/>
      <c r="DZ140" s="18"/>
      <c r="EA140" s="18"/>
      <c r="EB140" s="18"/>
      <c r="EC140" s="18"/>
      <c r="ED140" s="18"/>
      <c r="EE140" s="18"/>
      <c r="EF140" s="18"/>
      <c r="EG140" s="18"/>
      <c r="EH140" s="18"/>
      <c r="EI140" s="18"/>
      <c r="EJ140" s="18"/>
      <c r="EK140" s="18"/>
      <c r="EL140" s="18"/>
      <c r="EM140" s="18"/>
      <c r="EN140" s="18"/>
      <c r="EO140" s="18"/>
      <c r="EP140" s="18"/>
      <c r="EQ140" s="18"/>
      <c r="ER140" s="18"/>
      <c r="ES140" s="18"/>
      <c r="ET140" s="18"/>
      <c r="EU140" s="18"/>
      <c r="EV140" s="18"/>
      <c r="EW140" s="18"/>
      <c r="EX140" s="18"/>
      <c r="EY140" s="18"/>
      <c r="EZ140" s="18"/>
      <c r="FA140" s="18"/>
      <c r="FB140" s="18"/>
      <c r="FC140" s="18"/>
      <c r="FD140" s="18"/>
      <c r="FE140" s="18"/>
      <c r="FF140" s="18"/>
      <c r="FG140" s="18"/>
      <c r="FH140" s="18"/>
      <c r="FI140" s="18"/>
      <c r="FJ140" s="18"/>
      <c r="FK140" s="18"/>
      <c r="FL140" s="18"/>
      <c r="FM140" s="18"/>
      <c r="FN140" s="18"/>
      <c r="FO140" s="18"/>
      <c r="FP140" s="18"/>
      <c r="FQ140" s="18"/>
      <c r="FR140" s="18"/>
      <c r="FS140" s="18"/>
      <c r="FT140" s="18"/>
      <c r="FU140" s="18"/>
      <c r="FV140" s="18"/>
      <c r="FW140" s="18"/>
      <c r="FX140" s="18"/>
      <c r="FY140" s="18"/>
      <c r="FZ140" s="18"/>
      <c r="GA140" s="18"/>
      <c r="GB140" s="18"/>
      <c r="GC140" s="18"/>
      <c r="GD140" s="18"/>
      <c r="GE140" s="18"/>
      <c r="GF140" s="18"/>
      <c r="GG140" s="18"/>
      <c r="GH140" s="18"/>
      <c r="GI140" s="18"/>
      <c r="GJ140" s="18"/>
      <c r="GK140" s="18"/>
      <c r="GL140" s="18"/>
      <c r="GM140" s="18"/>
      <c r="GN140" s="18"/>
      <c r="GO140" s="18"/>
      <c r="GP140" s="18"/>
      <c r="GQ140" s="18"/>
      <c r="GR140" s="18"/>
      <c r="GS140" s="18"/>
      <c r="GT140" s="18"/>
      <c r="GU140" s="18"/>
      <c r="GV140" s="18"/>
      <c r="GW140" s="18"/>
      <c r="GX140" s="18"/>
      <c r="GY140" s="18"/>
      <c r="GZ140" s="18"/>
      <c r="HA140" s="18"/>
      <c r="HB140" s="18"/>
      <c r="HC140" s="18"/>
      <c r="HD140" s="18"/>
      <c r="HE140" s="18"/>
      <c r="HF140" s="18"/>
      <c r="HG140" s="18"/>
      <c r="HH140" s="18"/>
      <c r="HI140" s="18"/>
      <c r="HJ140" s="18"/>
      <c r="HK140" s="18"/>
      <c r="HL140" s="18"/>
      <c r="HM140" s="18"/>
      <c r="HN140" s="18"/>
      <c r="HO140" s="18"/>
      <c r="HP140" s="18"/>
      <c r="HQ140" s="18"/>
      <c r="HR140" s="18"/>
      <c r="HS140" s="18"/>
      <c r="HT140" s="18"/>
      <c r="HU140" s="18"/>
      <c r="HV140" s="18"/>
      <c r="HW140" s="18"/>
      <c r="HX140" s="18"/>
      <c r="HY140" s="18"/>
      <c r="HZ140" s="18"/>
      <c r="IA140" s="18"/>
      <c r="IB140" s="18"/>
      <c r="IC140" s="18"/>
      <c r="ID140" s="18"/>
      <c r="IE140" s="18"/>
      <c r="IF140" s="18"/>
      <c r="IG140" s="18"/>
      <c r="IH140" s="18"/>
      <c r="II140" s="18"/>
      <c r="IJ140" s="18"/>
      <c r="IK140" s="18"/>
      <c r="IL140" s="18"/>
      <c r="IM140" s="18"/>
      <c r="IN140" s="18"/>
      <c r="IO140" s="18"/>
      <c r="IP140" s="18"/>
      <c r="IQ140" s="18"/>
      <c r="IR140" s="18"/>
      <c r="IS140" s="18"/>
      <c r="IT140" s="18"/>
      <c r="IU140" s="18"/>
      <c r="IV140" s="18"/>
    </row>
    <row r="141" spans="1:256" ht="15.75" customHeight="1" x14ac:dyDescent="0.3">
      <c r="A141" s="172">
        <v>119</v>
      </c>
      <c r="B141" s="58" t="s">
        <v>23</v>
      </c>
      <c r="C141" s="58" t="s">
        <v>146</v>
      </c>
      <c r="D141" s="53">
        <v>225428374.69999999</v>
      </c>
      <c r="E141" s="53"/>
      <c r="F141" s="53">
        <v>50178894.579999998</v>
      </c>
      <c r="G141" s="53">
        <v>23493288.039999999</v>
      </c>
      <c r="H141" s="53"/>
      <c r="I141" s="53"/>
      <c r="J141" s="53">
        <v>301412233.43000001</v>
      </c>
      <c r="K141" s="53">
        <v>4452807.2300000004</v>
      </c>
      <c r="L141" s="53">
        <v>2959621.26</v>
      </c>
      <c r="M141" s="152">
        <v>8715954.8699999992</v>
      </c>
      <c r="N141" s="20">
        <v>311713983.19</v>
      </c>
      <c r="O141" s="20">
        <v>5069142.1500000004</v>
      </c>
      <c r="P141" s="30">
        <v>296098804.31</v>
      </c>
      <c r="Q141" s="23">
        <f>(P141/$P$149)</f>
        <v>1.5972829321976606E-2</v>
      </c>
      <c r="R141" s="30">
        <v>306644841.04000002</v>
      </c>
      <c r="S141" s="23">
        <f>(R141/$R$149)</f>
        <v>1.6365920609380771E-2</v>
      </c>
      <c r="T141" s="24">
        <f t="shared" si="111"/>
        <v>3.5616613699523313E-2</v>
      </c>
      <c r="U141" s="59">
        <f t="shared" si="112"/>
        <v>9.6516258025483442E-3</v>
      </c>
      <c r="V141" s="25">
        <f t="shared" si="113"/>
        <v>2.8423614890892797E-2</v>
      </c>
      <c r="W141" s="26">
        <f t="shared" si="114"/>
        <v>262.84673662807626</v>
      </c>
      <c r="X141" s="26">
        <f t="shared" si="115"/>
        <v>7.4710544172443649</v>
      </c>
      <c r="Y141" s="20">
        <v>260.29000000000002</v>
      </c>
      <c r="Z141" s="20">
        <v>264.25</v>
      </c>
      <c r="AA141" s="27">
        <v>473</v>
      </c>
      <c r="AB141" s="27">
        <v>1160539.97</v>
      </c>
      <c r="AC141" s="27">
        <v>18634.57</v>
      </c>
      <c r="AD141" s="27">
        <v>12544.72</v>
      </c>
      <c r="AE141" s="150">
        <f>(AB141+AC141)-AD141</f>
        <v>1166629.82</v>
      </c>
      <c r="AF141" s="211"/>
    </row>
    <row r="142" spans="1:256" ht="4.5" customHeight="1" x14ac:dyDescent="0.3">
      <c r="A142" s="172"/>
      <c r="B142" s="58"/>
      <c r="C142" s="58"/>
      <c r="D142" s="53"/>
      <c r="E142" s="53"/>
      <c r="F142" s="53"/>
      <c r="G142" s="53"/>
      <c r="H142" s="53"/>
      <c r="I142" s="53"/>
      <c r="J142" s="53"/>
      <c r="K142" s="53"/>
      <c r="L142" s="53"/>
      <c r="M142" s="152"/>
      <c r="N142" s="20"/>
      <c r="O142" s="20"/>
      <c r="P142" s="30"/>
      <c r="Q142" s="23"/>
      <c r="R142" s="30"/>
      <c r="S142" s="23"/>
      <c r="T142" s="24"/>
      <c r="U142" s="59"/>
      <c r="V142" s="25"/>
      <c r="W142" s="26"/>
      <c r="X142" s="26"/>
      <c r="Y142" s="20"/>
      <c r="Z142" s="20"/>
      <c r="AA142" s="27"/>
      <c r="AB142" s="27"/>
      <c r="AC142" s="27"/>
      <c r="AD142" s="27"/>
      <c r="AE142" s="111"/>
      <c r="AF142" s="211"/>
      <c r="AG142" s="18"/>
      <c r="AH142" s="18"/>
      <c r="AI142" s="18"/>
      <c r="AJ142" s="18"/>
      <c r="AK142" s="18"/>
      <c r="AL142" s="18"/>
      <c r="AM142" s="18"/>
      <c r="AN142" s="18"/>
      <c r="AO142" s="18"/>
      <c r="AP142" s="18"/>
      <c r="AQ142" s="18"/>
      <c r="AR142" s="18"/>
      <c r="AS142" s="18"/>
      <c r="AT142" s="18"/>
      <c r="AU142" s="18"/>
      <c r="AV142" s="18"/>
      <c r="AW142" s="18"/>
      <c r="AX142" s="18"/>
      <c r="AY142" s="18"/>
      <c r="AZ142" s="18"/>
      <c r="BA142" s="18"/>
      <c r="BB142" s="18"/>
      <c r="BC142" s="18"/>
      <c r="BD142" s="18"/>
      <c r="BE142" s="18"/>
      <c r="BF142" s="18"/>
      <c r="BG142" s="18"/>
      <c r="BH142" s="18"/>
      <c r="BI142" s="18"/>
      <c r="BJ142" s="18"/>
      <c r="BK142" s="18"/>
      <c r="BL142" s="18"/>
      <c r="BM142" s="18"/>
      <c r="BN142" s="18"/>
      <c r="BO142" s="18"/>
      <c r="BP142" s="18"/>
      <c r="BQ142" s="18"/>
      <c r="BR142" s="18"/>
      <c r="BS142" s="18"/>
      <c r="BT142" s="18"/>
      <c r="BU142" s="18"/>
      <c r="BV142" s="18"/>
      <c r="BW142" s="18"/>
      <c r="BX142" s="18"/>
      <c r="BY142" s="18"/>
      <c r="BZ142" s="18"/>
      <c r="CA142" s="18"/>
      <c r="CB142" s="18"/>
      <c r="CC142" s="18"/>
      <c r="CD142" s="18"/>
      <c r="CE142" s="18"/>
      <c r="CF142" s="18"/>
      <c r="CG142" s="18"/>
      <c r="CH142" s="18"/>
      <c r="CI142" s="18"/>
      <c r="CJ142" s="18"/>
      <c r="CK142" s="18"/>
      <c r="CL142" s="18"/>
      <c r="CM142" s="18"/>
      <c r="CN142" s="18"/>
      <c r="CO142" s="18"/>
      <c r="CP142" s="18"/>
      <c r="CQ142" s="18"/>
      <c r="CR142" s="18"/>
      <c r="CS142" s="18"/>
      <c r="CT142" s="18"/>
      <c r="CU142" s="18"/>
      <c r="CV142" s="18"/>
      <c r="CW142" s="18"/>
      <c r="CX142" s="18"/>
      <c r="CY142" s="18"/>
      <c r="CZ142" s="18"/>
      <c r="DA142" s="18"/>
      <c r="DB142" s="18"/>
      <c r="DC142" s="18"/>
      <c r="DD142" s="18"/>
      <c r="DE142" s="18"/>
      <c r="DF142" s="18"/>
      <c r="DG142" s="18"/>
      <c r="DH142" s="18"/>
      <c r="DI142" s="18"/>
      <c r="DJ142" s="18"/>
      <c r="DK142" s="18"/>
      <c r="DL142" s="18"/>
      <c r="DM142" s="18"/>
      <c r="DN142" s="18"/>
      <c r="DO142" s="18"/>
      <c r="DP142" s="18"/>
      <c r="DQ142" s="18"/>
      <c r="DR142" s="18"/>
      <c r="DS142" s="18"/>
      <c r="DT142" s="18"/>
      <c r="DU142" s="18"/>
      <c r="DV142" s="18"/>
      <c r="DW142" s="18"/>
      <c r="DX142" s="18"/>
      <c r="DY142" s="18"/>
      <c r="DZ142" s="18"/>
      <c r="EA142" s="18"/>
      <c r="EB142" s="18"/>
      <c r="EC142" s="18"/>
      <c r="ED142" s="18"/>
      <c r="EE142" s="18"/>
      <c r="EF142" s="18"/>
      <c r="EG142" s="18"/>
      <c r="EH142" s="18"/>
      <c r="EI142" s="18"/>
      <c r="EJ142" s="18"/>
      <c r="EK142" s="18"/>
      <c r="EL142" s="18"/>
      <c r="EM142" s="18"/>
      <c r="EN142" s="18"/>
      <c r="EO142" s="18"/>
      <c r="EP142" s="18"/>
      <c r="EQ142" s="18"/>
      <c r="ER142" s="18"/>
      <c r="ES142" s="18"/>
      <c r="ET142" s="18"/>
      <c r="EU142" s="18"/>
      <c r="EV142" s="18"/>
      <c r="EW142" s="18"/>
      <c r="EX142" s="18"/>
      <c r="EY142" s="18"/>
      <c r="EZ142" s="18"/>
      <c r="FA142" s="18"/>
      <c r="FB142" s="18"/>
      <c r="FC142" s="18"/>
      <c r="FD142" s="18"/>
      <c r="FE142" s="18"/>
      <c r="FF142" s="18"/>
      <c r="FG142" s="18"/>
      <c r="FH142" s="18"/>
      <c r="FI142" s="18"/>
      <c r="FJ142" s="18"/>
      <c r="FK142" s="18"/>
      <c r="FL142" s="18"/>
      <c r="FM142" s="18"/>
      <c r="FN142" s="18"/>
      <c r="FO142" s="18"/>
      <c r="FP142" s="18"/>
      <c r="FQ142" s="18"/>
      <c r="FR142" s="18"/>
      <c r="FS142" s="18"/>
      <c r="FT142" s="18"/>
      <c r="FU142" s="18"/>
      <c r="FV142" s="18"/>
      <c r="FW142" s="18"/>
      <c r="FX142" s="18"/>
      <c r="FY142" s="18"/>
      <c r="FZ142" s="18"/>
      <c r="GA142" s="18"/>
      <c r="GB142" s="18"/>
      <c r="GC142" s="18"/>
      <c r="GD142" s="18"/>
      <c r="GE142" s="18"/>
      <c r="GF142" s="18"/>
      <c r="GG142" s="18"/>
      <c r="GH142" s="18"/>
      <c r="GI142" s="18"/>
      <c r="GJ142" s="18"/>
      <c r="GK142" s="18"/>
      <c r="GL142" s="18"/>
      <c r="GM142" s="18"/>
      <c r="GN142" s="18"/>
      <c r="GO142" s="18"/>
      <c r="GP142" s="18"/>
      <c r="GQ142" s="18"/>
      <c r="GR142" s="18"/>
      <c r="GS142" s="18"/>
      <c r="GT142" s="18"/>
      <c r="GU142" s="18"/>
      <c r="GV142" s="18"/>
      <c r="GW142" s="18"/>
      <c r="GX142" s="18"/>
      <c r="GY142" s="18"/>
      <c r="GZ142" s="18"/>
      <c r="HA142" s="18"/>
      <c r="HB142" s="18"/>
      <c r="HC142" s="18"/>
      <c r="HD142" s="18"/>
      <c r="HE142" s="18"/>
      <c r="HF142" s="18"/>
      <c r="HG142" s="18"/>
      <c r="HH142" s="18"/>
      <c r="HI142" s="18"/>
      <c r="HJ142" s="18"/>
      <c r="HK142" s="18"/>
      <c r="HL142" s="18"/>
      <c r="HM142" s="18"/>
      <c r="HN142" s="18"/>
      <c r="HO142" s="18"/>
      <c r="HP142" s="18"/>
      <c r="HQ142" s="18"/>
      <c r="HR142" s="18"/>
      <c r="HS142" s="18"/>
      <c r="HT142" s="18"/>
      <c r="HU142" s="18"/>
      <c r="HV142" s="18"/>
      <c r="HW142" s="18"/>
      <c r="HX142" s="18"/>
      <c r="HY142" s="18"/>
      <c r="HZ142" s="18"/>
      <c r="IA142" s="18"/>
      <c r="IB142" s="18"/>
      <c r="IC142" s="18"/>
      <c r="ID142" s="18"/>
      <c r="IE142" s="18"/>
      <c r="IF142" s="18"/>
      <c r="IG142" s="18"/>
      <c r="IH142" s="18"/>
      <c r="II142" s="18"/>
      <c r="IJ142" s="18"/>
      <c r="IK142" s="18"/>
      <c r="IL142" s="18"/>
      <c r="IM142" s="18"/>
      <c r="IN142" s="18"/>
      <c r="IO142" s="18"/>
      <c r="IP142" s="18"/>
      <c r="IQ142" s="18"/>
      <c r="IR142" s="18"/>
      <c r="IS142" s="18"/>
      <c r="IT142" s="18"/>
      <c r="IU142" s="18"/>
      <c r="IV142" s="18"/>
    </row>
    <row r="143" spans="1:256" ht="15.75" customHeight="1" x14ac:dyDescent="0.3">
      <c r="A143" s="199" t="s">
        <v>186</v>
      </c>
      <c r="B143" s="200"/>
      <c r="C143" s="200"/>
      <c r="D143" s="105"/>
      <c r="E143" s="105"/>
      <c r="F143" s="105"/>
      <c r="G143" s="105"/>
      <c r="H143" s="105"/>
      <c r="I143" s="105"/>
      <c r="J143" s="105"/>
      <c r="K143" s="105"/>
      <c r="L143" s="91"/>
      <c r="M143" s="167"/>
      <c r="N143" s="91"/>
      <c r="O143" s="91"/>
      <c r="P143" s="91"/>
      <c r="Q143" s="92"/>
      <c r="R143" s="91"/>
      <c r="S143" s="92"/>
      <c r="T143" s="92"/>
      <c r="U143" s="97"/>
      <c r="V143" s="94"/>
      <c r="W143" s="95"/>
      <c r="X143" s="95"/>
      <c r="Y143" s="91"/>
      <c r="Z143" s="91"/>
      <c r="AA143" s="98"/>
      <c r="AB143" s="98"/>
      <c r="AC143" s="98"/>
      <c r="AD143" s="98"/>
      <c r="AE143" s="117"/>
      <c r="AF143" s="211"/>
      <c r="AG143" s="18"/>
      <c r="AH143" s="18"/>
      <c r="AI143" s="18"/>
      <c r="AJ143" s="18"/>
      <c r="AK143" s="18"/>
      <c r="AL143" s="18"/>
      <c r="AM143" s="18"/>
      <c r="AN143" s="18"/>
      <c r="AO143" s="18"/>
      <c r="AP143" s="18"/>
      <c r="AQ143" s="18"/>
      <c r="AR143" s="18"/>
      <c r="AS143" s="18"/>
      <c r="AT143" s="18"/>
      <c r="AU143" s="18"/>
      <c r="AV143" s="18"/>
      <c r="AW143" s="18"/>
      <c r="AX143" s="18"/>
      <c r="AY143" s="18"/>
      <c r="AZ143" s="18"/>
      <c r="BA143" s="18"/>
      <c r="BB143" s="18"/>
      <c r="BC143" s="18"/>
      <c r="BD143" s="18"/>
      <c r="BE143" s="18"/>
      <c r="BF143" s="18"/>
      <c r="BG143" s="18"/>
      <c r="BH143" s="18"/>
      <c r="BI143" s="18"/>
      <c r="BJ143" s="18"/>
      <c r="BK143" s="18"/>
      <c r="BL143" s="18"/>
      <c r="BM143" s="18"/>
      <c r="BN143" s="18"/>
      <c r="BO143" s="18"/>
      <c r="BP143" s="18"/>
      <c r="BQ143" s="18"/>
      <c r="BR143" s="18"/>
      <c r="BS143" s="18"/>
      <c r="BT143" s="18"/>
      <c r="BU143" s="18"/>
      <c r="BV143" s="18"/>
      <c r="BW143" s="18"/>
      <c r="BX143" s="18"/>
      <c r="BY143" s="18"/>
      <c r="BZ143" s="18"/>
      <c r="CA143" s="18"/>
      <c r="CB143" s="18"/>
      <c r="CC143" s="18"/>
      <c r="CD143" s="18"/>
      <c r="CE143" s="18"/>
      <c r="CF143" s="18"/>
      <c r="CG143" s="18"/>
      <c r="CH143" s="18"/>
      <c r="CI143" s="18"/>
      <c r="CJ143" s="18"/>
      <c r="CK143" s="18"/>
      <c r="CL143" s="18"/>
      <c r="CM143" s="18"/>
      <c r="CN143" s="18"/>
      <c r="CO143" s="18"/>
      <c r="CP143" s="18"/>
      <c r="CQ143" s="18"/>
      <c r="CR143" s="18"/>
      <c r="CS143" s="18"/>
      <c r="CT143" s="18"/>
      <c r="CU143" s="18"/>
      <c r="CV143" s="18"/>
      <c r="CW143" s="18"/>
      <c r="CX143" s="18"/>
      <c r="CY143" s="18"/>
      <c r="CZ143" s="18"/>
      <c r="DA143" s="18"/>
      <c r="DB143" s="18"/>
      <c r="DC143" s="18"/>
      <c r="DD143" s="18"/>
      <c r="DE143" s="18"/>
      <c r="DF143" s="18"/>
      <c r="DG143" s="18"/>
      <c r="DH143" s="18"/>
      <c r="DI143" s="18"/>
      <c r="DJ143" s="18"/>
      <c r="DK143" s="18"/>
      <c r="DL143" s="18"/>
      <c r="DM143" s="18"/>
      <c r="DN143" s="18"/>
      <c r="DO143" s="18"/>
      <c r="DP143" s="18"/>
      <c r="DQ143" s="18"/>
      <c r="DR143" s="18"/>
      <c r="DS143" s="18"/>
      <c r="DT143" s="18"/>
      <c r="DU143" s="18"/>
      <c r="DV143" s="18"/>
      <c r="DW143" s="18"/>
      <c r="DX143" s="18"/>
      <c r="DY143" s="18"/>
      <c r="DZ143" s="18"/>
      <c r="EA143" s="18"/>
      <c r="EB143" s="18"/>
      <c r="EC143" s="18"/>
      <c r="ED143" s="18"/>
      <c r="EE143" s="18"/>
      <c r="EF143" s="18"/>
      <c r="EG143" s="18"/>
      <c r="EH143" s="18"/>
      <c r="EI143" s="18"/>
      <c r="EJ143" s="18"/>
      <c r="EK143" s="18"/>
      <c r="EL143" s="18"/>
      <c r="EM143" s="18"/>
      <c r="EN143" s="18"/>
      <c r="EO143" s="18"/>
      <c r="EP143" s="18"/>
      <c r="EQ143" s="18"/>
      <c r="ER143" s="18"/>
      <c r="ES143" s="18"/>
      <c r="ET143" s="18"/>
      <c r="EU143" s="18"/>
      <c r="EV143" s="18"/>
      <c r="EW143" s="18"/>
      <c r="EX143" s="18"/>
      <c r="EY143" s="18"/>
      <c r="EZ143" s="18"/>
      <c r="FA143" s="18"/>
      <c r="FB143" s="18"/>
      <c r="FC143" s="18"/>
      <c r="FD143" s="18"/>
      <c r="FE143" s="18"/>
      <c r="FF143" s="18"/>
      <c r="FG143" s="18"/>
      <c r="FH143" s="18"/>
      <c r="FI143" s="18"/>
      <c r="FJ143" s="18"/>
      <c r="FK143" s="18"/>
      <c r="FL143" s="18"/>
      <c r="FM143" s="18"/>
      <c r="FN143" s="18"/>
      <c r="FO143" s="18"/>
      <c r="FP143" s="18"/>
      <c r="FQ143" s="18"/>
      <c r="FR143" s="18"/>
      <c r="FS143" s="18"/>
      <c r="FT143" s="18"/>
      <c r="FU143" s="18"/>
      <c r="FV143" s="18"/>
      <c r="FW143" s="18"/>
      <c r="FX143" s="18"/>
      <c r="FY143" s="18"/>
      <c r="FZ143" s="18"/>
      <c r="GA143" s="18"/>
      <c r="GB143" s="18"/>
      <c r="GC143" s="18"/>
      <c r="GD143" s="18"/>
      <c r="GE143" s="18"/>
      <c r="GF143" s="18"/>
      <c r="GG143" s="18"/>
      <c r="GH143" s="18"/>
      <c r="GI143" s="18"/>
      <c r="GJ143" s="18"/>
      <c r="GK143" s="18"/>
      <c r="GL143" s="18"/>
      <c r="GM143" s="18"/>
      <c r="GN143" s="18"/>
      <c r="GO143" s="18"/>
      <c r="GP143" s="18"/>
      <c r="GQ143" s="18"/>
      <c r="GR143" s="18"/>
      <c r="GS143" s="18"/>
      <c r="GT143" s="18"/>
      <c r="GU143" s="18"/>
      <c r="GV143" s="18"/>
      <c r="GW143" s="18"/>
      <c r="GX143" s="18"/>
      <c r="GY143" s="18"/>
      <c r="GZ143" s="18"/>
      <c r="HA143" s="18"/>
      <c r="HB143" s="18"/>
      <c r="HC143" s="18"/>
      <c r="HD143" s="18"/>
      <c r="HE143" s="18"/>
      <c r="HF143" s="18"/>
      <c r="HG143" s="18"/>
      <c r="HH143" s="18"/>
      <c r="HI143" s="18"/>
      <c r="HJ143" s="18"/>
      <c r="HK143" s="18"/>
      <c r="HL143" s="18"/>
      <c r="HM143" s="18"/>
      <c r="HN143" s="18"/>
      <c r="HO143" s="18"/>
      <c r="HP143" s="18"/>
      <c r="HQ143" s="18"/>
      <c r="HR143" s="18"/>
      <c r="HS143" s="18"/>
      <c r="HT143" s="18"/>
      <c r="HU143" s="18"/>
      <c r="HV143" s="18"/>
      <c r="HW143" s="18"/>
      <c r="HX143" s="18"/>
      <c r="HY143" s="18"/>
      <c r="HZ143" s="18"/>
      <c r="IA143" s="18"/>
      <c r="IB143" s="18"/>
      <c r="IC143" s="18"/>
      <c r="ID143" s="18"/>
      <c r="IE143" s="18"/>
      <c r="IF143" s="18"/>
      <c r="IG143" s="18"/>
      <c r="IH143" s="18"/>
      <c r="II143" s="18"/>
      <c r="IJ143" s="18"/>
      <c r="IK143" s="18"/>
      <c r="IL143" s="18"/>
      <c r="IM143" s="18"/>
      <c r="IN143" s="18"/>
      <c r="IO143" s="18"/>
      <c r="IP143" s="18"/>
      <c r="IQ143" s="18"/>
      <c r="IR143" s="18"/>
      <c r="IS143" s="18"/>
      <c r="IT143" s="18"/>
      <c r="IU143" s="18"/>
      <c r="IV143" s="18"/>
    </row>
    <row r="144" spans="1:256" ht="15.75" customHeight="1" x14ac:dyDescent="0.3">
      <c r="A144" s="172">
        <v>120</v>
      </c>
      <c r="B144" s="57" t="s">
        <v>23</v>
      </c>
      <c r="C144" s="57" t="s">
        <v>117</v>
      </c>
      <c r="D144" s="74"/>
      <c r="E144" s="74"/>
      <c r="F144" s="74">
        <v>460921384.47000003</v>
      </c>
      <c r="G144" s="74">
        <v>6636371370.29</v>
      </c>
      <c r="H144" s="74"/>
      <c r="I144" s="53"/>
      <c r="J144" s="53">
        <v>7097292754.7600002</v>
      </c>
      <c r="K144" s="53">
        <v>32130783</v>
      </c>
      <c r="L144" s="53">
        <v>13778285.58</v>
      </c>
      <c r="M144" s="152">
        <v>18352497.420000002</v>
      </c>
      <c r="N144" s="20">
        <v>7185704861.6000004</v>
      </c>
      <c r="O144" s="20">
        <v>50088229.729999997</v>
      </c>
      <c r="P144" s="30">
        <v>7238796822.5</v>
      </c>
      <c r="Q144" s="23">
        <f>(P144/$P$149)</f>
        <v>0.39049149965903518</v>
      </c>
      <c r="R144" s="30">
        <v>7135616631.8699999</v>
      </c>
      <c r="S144" s="23">
        <f>(R144/$R$149)</f>
        <v>0.38083450189507034</v>
      </c>
      <c r="T144" s="24">
        <f>((R144-P144)/P144)</f>
        <v>-1.425377630565485E-2</v>
      </c>
      <c r="U144" s="59">
        <f>(L144/R144)</f>
        <v>1.9309172971066952E-3</v>
      </c>
      <c r="V144" s="25">
        <f>M144/R144</f>
        <v>2.5719567581632317E-3</v>
      </c>
      <c r="W144" s="26">
        <f>R144/AE144</f>
        <v>118.17243989724483</v>
      </c>
      <c r="X144" s="26">
        <f>M144/AE144</f>
        <v>0.30393440542235711</v>
      </c>
      <c r="Y144" s="20">
        <v>118.17</v>
      </c>
      <c r="Z144" s="20">
        <v>118.17</v>
      </c>
      <c r="AA144" s="27">
        <v>964</v>
      </c>
      <c r="AB144" s="27">
        <v>61397331.289999999</v>
      </c>
      <c r="AC144" s="27">
        <v>475158.99</v>
      </c>
      <c r="AD144" s="27">
        <v>1489404.02</v>
      </c>
      <c r="AE144" s="150">
        <v>60383086.259999998</v>
      </c>
      <c r="AF144" s="211"/>
      <c r="AG144" s="18"/>
      <c r="AH144" s="18"/>
      <c r="AI144" s="18"/>
      <c r="AJ144" s="18"/>
      <c r="AK144" s="18"/>
      <c r="AL144" s="18"/>
      <c r="AM144" s="18"/>
      <c r="AN144" s="18"/>
      <c r="AO144" s="18"/>
      <c r="AP144" s="18"/>
      <c r="AQ144" s="18"/>
      <c r="AR144" s="18"/>
      <c r="AS144" s="18"/>
      <c r="AT144" s="18"/>
      <c r="AU144" s="18"/>
      <c r="AV144" s="18"/>
      <c r="AW144" s="18"/>
      <c r="AX144" s="18"/>
      <c r="AY144" s="18"/>
      <c r="AZ144" s="18"/>
      <c r="BA144" s="18"/>
      <c r="BB144" s="18"/>
      <c r="BC144" s="18"/>
      <c r="BD144" s="18"/>
      <c r="BE144" s="18"/>
      <c r="BF144" s="18"/>
      <c r="BG144" s="18"/>
      <c r="BH144" s="18"/>
      <c r="BI144" s="18"/>
      <c r="BJ144" s="18"/>
      <c r="BK144" s="18"/>
      <c r="BL144" s="18"/>
      <c r="BM144" s="18"/>
      <c r="BN144" s="18"/>
      <c r="BO144" s="18"/>
      <c r="BP144" s="18"/>
      <c r="BQ144" s="18"/>
      <c r="BR144" s="18"/>
      <c r="BS144" s="18"/>
      <c r="BT144" s="18"/>
      <c r="BU144" s="18"/>
      <c r="BV144" s="18"/>
      <c r="BW144" s="18"/>
      <c r="BX144" s="18"/>
      <c r="BY144" s="18"/>
      <c r="BZ144" s="18"/>
      <c r="CA144" s="18"/>
      <c r="CB144" s="18"/>
      <c r="CC144" s="18"/>
      <c r="CD144" s="18"/>
      <c r="CE144" s="18"/>
      <c r="CF144" s="18"/>
      <c r="CG144" s="18"/>
      <c r="CH144" s="18"/>
      <c r="CI144" s="18"/>
      <c r="CJ144" s="18"/>
      <c r="CK144" s="18"/>
      <c r="CL144" s="18"/>
      <c r="CM144" s="18"/>
      <c r="CN144" s="18"/>
      <c r="CO144" s="18"/>
      <c r="CP144" s="18"/>
      <c r="CQ144" s="18"/>
      <c r="CR144" s="18"/>
      <c r="CS144" s="18"/>
      <c r="CT144" s="18"/>
      <c r="CU144" s="18"/>
      <c r="CV144" s="18"/>
      <c r="CW144" s="18"/>
      <c r="CX144" s="18"/>
      <c r="CY144" s="18"/>
      <c r="CZ144" s="18"/>
      <c r="DA144" s="18"/>
      <c r="DB144" s="18"/>
      <c r="DC144" s="18"/>
      <c r="DD144" s="18"/>
      <c r="DE144" s="18"/>
      <c r="DF144" s="18"/>
      <c r="DG144" s="18"/>
      <c r="DH144" s="18"/>
      <c r="DI144" s="18"/>
      <c r="DJ144" s="18"/>
      <c r="DK144" s="18"/>
      <c r="DL144" s="18"/>
      <c r="DM144" s="18"/>
      <c r="DN144" s="18"/>
      <c r="DO144" s="18"/>
      <c r="DP144" s="18"/>
      <c r="DQ144" s="18"/>
      <c r="DR144" s="18"/>
      <c r="DS144" s="18"/>
      <c r="DT144" s="18"/>
      <c r="DU144" s="18"/>
      <c r="DV144" s="18"/>
      <c r="DW144" s="18"/>
      <c r="DX144" s="18"/>
      <c r="DY144" s="18"/>
      <c r="DZ144" s="18"/>
      <c r="EA144" s="18"/>
      <c r="EB144" s="18"/>
      <c r="EC144" s="18"/>
      <c r="ED144" s="18"/>
      <c r="EE144" s="18"/>
      <c r="EF144" s="18"/>
      <c r="EG144" s="18"/>
      <c r="EH144" s="18"/>
      <c r="EI144" s="18"/>
      <c r="EJ144" s="18"/>
      <c r="EK144" s="18"/>
      <c r="EL144" s="18"/>
      <c r="EM144" s="18"/>
      <c r="EN144" s="18"/>
      <c r="EO144" s="18"/>
      <c r="EP144" s="18"/>
      <c r="EQ144" s="18"/>
      <c r="ER144" s="18"/>
      <c r="ES144" s="18"/>
      <c r="ET144" s="18"/>
      <c r="EU144" s="18"/>
      <c r="EV144" s="18"/>
      <c r="EW144" s="18"/>
      <c r="EX144" s="18"/>
      <c r="EY144" s="18"/>
      <c r="EZ144" s="18"/>
      <c r="FA144" s="18"/>
      <c r="FB144" s="18"/>
      <c r="FC144" s="18"/>
      <c r="FD144" s="18"/>
      <c r="FE144" s="18"/>
      <c r="FF144" s="18"/>
      <c r="FG144" s="18"/>
      <c r="FH144" s="18"/>
      <c r="FI144" s="18"/>
      <c r="FJ144" s="18"/>
      <c r="FK144" s="18"/>
      <c r="FL144" s="18"/>
      <c r="FM144" s="18"/>
      <c r="FN144" s="18"/>
      <c r="FO144" s="18"/>
      <c r="FP144" s="18"/>
      <c r="FQ144" s="18"/>
      <c r="FR144" s="18"/>
      <c r="FS144" s="18"/>
      <c r="FT144" s="18"/>
      <c r="FU144" s="18"/>
      <c r="FV144" s="18"/>
      <c r="FW144" s="18"/>
      <c r="FX144" s="18"/>
      <c r="FY144" s="18"/>
      <c r="FZ144" s="18"/>
      <c r="GA144" s="18"/>
      <c r="GB144" s="18"/>
      <c r="GC144" s="18"/>
      <c r="GD144" s="18"/>
      <c r="GE144" s="18"/>
      <c r="GF144" s="18"/>
      <c r="GG144" s="18"/>
      <c r="GH144" s="18"/>
      <c r="GI144" s="18"/>
      <c r="GJ144" s="18"/>
      <c r="GK144" s="18"/>
      <c r="GL144" s="18"/>
      <c r="GM144" s="18"/>
      <c r="GN144" s="18"/>
      <c r="GO144" s="18"/>
      <c r="GP144" s="18"/>
      <c r="GQ144" s="18"/>
      <c r="GR144" s="18"/>
      <c r="GS144" s="18"/>
      <c r="GT144" s="18"/>
      <c r="GU144" s="18"/>
      <c r="GV144" s="18"/>
      <c r="GW144" s="18"/>
      <c r="GX144" s="18"/>
      <c r="GY144" s="18"/>
      <c r="GZ144" s="18"/>
      <c r="HA144" s="18"/>
      <c r="HB144" s="18"/>
      <c r="HC144" s="18"/>
      <c r="HD144" s="18"/>
      <c r="HE144" s="18"/>
      <c r="HF144" s="18"/>
      <c r="HG144" s="18"/>
      <c r="HH144" s="18"/>
      <c r="HI144" s="18"/>
      <c r="HJ144" s="18"/>
      <c r="HK144" s="18"/>
      <c r="HL144" s="18"/>
      <c r="HM144" s="18"/>
      <c r="HN144" s="18"/>
      <c r="HO144" s="18"/>
      <c r="HP144" s="18"/>
      <c r="HQ144" s="18"/>
      <c r="HR144" s="18"/>
      <c r="HS144" s="18"/>
      <c r="HT144" s="18"/>
      <c r="HU144" s="18"/>
      <c r="HV144" s="18"/>
      <c r="HW144" s="18"/>
      <c r="HX144" s="18"/>
      <c r="HY144" s="18"/>
      <c r="HZ144" s="18"/>
      <c r="IA144" s="18"/>
      <c r="IB144" s="18"/>
      <c r="IC144" s="18"/>
      <c r="ID144" s="18"/>
      <c r="IE144" s="18"/>
      <c r="IF144" s="18"/>
      <c r="IG144" s="18"/>
      <c r="IH144" s="18"/>
      <c r="II144" s="18"/>
      <c r="IJ144" s="18"/>
      <c r="IK144" s="18"/>
      <c r="IL144" s="18"/>
      <c r="IM144" s="18"/>
      <c r="IN144" s="18"/>
      <c r="IO144" s="18"/>
      <c r="IP144" s="18"/>
      <c r="IQ144" s="18"/>
      <c r="IR144" s="18"/>
      <c r="IS144" s="18"/>
      <c r="IT144" s="18"/>
      <c r="IU144" s="18"/>
      <c r="IV144" s="18"/>
    </row>
    <row r="145" spans="1:256" ht="15.75" customHeight="1" x14ac:dyDescent="0.3">
      <c r="A145" s="172">
        <v>121</v>
      </c>
      <c r="B145" s="58" t="s">
        <v>55</v>
      </c>
      <c r="C145" s="58" t="s">
        <v>187</v>
      </c>
      <c r="D145" s="74"/>
      <c r="E145" s="74"/>
      <c r="F145" s="74">
        <v>540211786</v>
      </c>
      <c r="G145" s="74">
        <v>5039874199.6300001</v>
      </c>
      <c r="H145" s="74"/>
      <c r="I145" s="53"/>
      <c r="J145" s="53">
        <v>5566677926.79</v>
      </c>
      <c r="K145" s="53">
        <v>60270990.119999997</v>
      </c>
      <c r="L145" s="53">
        <v>8840073.4100000001</v>
      </c>
      <c r="M145" s="152">
        <v>51430916.719999999</v>
      </c>
      <c r="N145" s="20">
        <v>5578606814.4300003</v>
      </c>
      <c r="O145" s="20">
        <v>11928887.640000001</v>
      </c>
      <c r="P145" s="30">
        <v>5349697050.8999996</v>
      </c>
      <c r="Q145" s="23">
        <f t="shared" ref="Q145:Q147" si="124">(P145/$P$149)</f>
        <v>0.28858542038841134</v>
      </c>
      <c r="R145" s="30">
        <v>5566677926.79</v>
      </c>
      <c r="S145" s="23">
        <f t="shared" ref="S145:S147" si="125">(R145/$R$149)</f>
        <v>0.29709878274441121</v>
      </c>
      <c r="T145" s="24">
        <f>((R145-P145)/P145)</f>
        <v>4.0559469784087462E-2</v>
      </c>
      <c r="U145" s="59">
        <f t="shared" si="112"/>
        <v>1.5880339272830158E-3</v>
      </c>
      <c r="V145" s="25">
        <f>M145/R145</f>
        <v>9.2390681473568572E-3</v>
      </c>
      <c r="W145" s="26">
        <f>R145/AE145</f>
        <v>115.632141778858</v>
      </c>
      <c r="X145" s="26">
        <f>M145/AE145</f>
        <v>1.068333237919699</v>
      </c>
      <c r="Y145" s="20">
        <v>119.08</v>
      </c>
      <c r="Z145" s="20">
        <v>119.08</v>
      </c>
      <c r="AA145" s="27">
        <v>382</v>
      </c>
      <c r="AB145" s="27">
        <v>46187383</v>
      </c>
      <c r="AC145" s="27">
        <v>2333593</v>
      </c>
      <c r="AD145" s="27">
        <v>379708</v>
      </c>
      <c r="AE145" s="150">
        <v>48141268</v>
      </c>
      <c r="AF145" s="211"/>
    </row>
    <row r="146" spans="1:256" ht="15.75" customHeight="1" x14ac:dyDescent="0.3">
      <c r="A146" s="172">
        <v>122</v>
      </c>
      <c r="B146" s="58" t="s">
        <v>33</v>
      </c>
      <c r="C146" s="58" t="s">
        <v>158</v>
      </c>
      <c r="D146" s="74"/>
      <c r="E146" s="74"/>
      <c r="F146" s="74"/>
      <c r="G146" s="74">
        <v>1465431463</v>
      </c>
      <c r="H146" s="74"/>
      <c r="I146" s="53"/>
      <c r="J146" s="53">
        <v>1465431463</v>
      </c>
      <c r="K146" s="53">
        <v>13812909</v>
      </c>
      <c r="L146" s="53">
        <v>3147290</v>
      </c>
      <c r="M146" s="152">
        <v>10665619</v>
      </c>
      <c r="N146" s="20">
        <v>1887268982</v>
      </c>
      <c r="O146" s="20">
        <v>19564743.43</v>
      </c>
      <c r="P146" s="30">
        <v>1867114170</v>
      </c>
      <c r="Q146" s="23">
        <f t="shared" si="124"/>
        <v>0.10072008237774169</v>
      </c>
      <c r="R146" s="30">
        <v>1867704239</v>
      </c>
      <c r="S146" s="23">
        <f t="shared" si="125"/>
        <v>9.9681113804522409E-2</v>
      </c>
      <c r="T146" s="24">
        <f>((R146-P146)/P146)</f>
        <v>3.1603262911340872E-4</v>
      </c>
      <c r="U146" s="59">
        <f t="shared" si="112"/>
        <v>1.6851115579654687E-3</v>
      </c>
      <c r="V146" s="25">
        <f>M146/R146</f>
        <v>5.7105502987510222E-3</v>
      </c>
      <c r="W146" s="26">
        <f>R146/AE146</f>
        <v>1.0981448359427961</v>
      </c>
      <c r="X146" s="26">
        <f>M146/AE146</f>
        <v>6.2710113209650262E-3</v>
      </c>
      <c r="Y146" s="20">
        <v>1.1000000000000001</v>
      </c>
      <c r="Z146" s="20">
        <v>1.1000000000000001</v>
      </c>
      <c r="AA146" s="27">
        <v>114</v>
      </c>
      <c r="AB146" s="27">
        <v>1706748506</v>
      </c>
      <c r="AC146" s="27">
        <v>68695437</v>
      </c>
      <c r="AD146" s="27">
        <v>74662609</v>
      </c>
      <c r="AE146" s="150">
        <v>1700781334</v>
      </c>
      <c r="AF146" s="211"/>
    </row>
    <row r="147" spans="1:256" ht="15.75" customHeight="1" x14ac:dyDescent="0.3">
      <c r="A147" s="172">
        <v>123</v>
      </c>
      <c r="B147" s="58" t="s">
        <v>188</v>
      </c>
      <c r="C147" s="58" t="s">
        <v>154</v>
      </c>
      <c r="D147" s="74"/>
      <c r="E147" s="74"/>
      <c r="F147" s="74"/>
      <c r="G147" s="74">
        <v>260942841.75</v>
      </c>
      <c r="H147" s="74"/>
      <c r="I147" s="53"/>
      <c r="J147" s="53">
        <v>304624514.60000002</v>
      </c>
      <c r="K147" s="53">
        <v>2803735.94</v>
      </c>
      <c r="L147" s="53">
        <v>914542.5</v>
      </c>
      <c r="M147" s="152">
        <v>1889193.44</v>
      </c>
      <c r="N147" s="20">
        <v>313495349.86000001</v>
      </c>
      <c r="O147" s="20">
        <v>787913.23</v>
      </c>
      <c r="P147" s="30">
        <v>287068864.64999998</v>
      </c>
      <c r="Q147" s="23">
        <f t="shared" si="124"/>
        <v>1.5485715956851625E-2</v>
      </c>
      <c r="R147" s="30">
        <v>312707436.63</v>
      </c>
      <c r="S147" s="23">
        <f t="shared" si="125"/>
        <v>1.6689486979440064E-2</v>
      </c>
      <c r="T147" s="24">
        <f>((R147-P147)/P147)</f>
        <v>8.9311573413783735E-2</v>
      </c>
      <c r="U147" s="59">
        <f t="shared" si="112"/>
        <v>2.9245946622052997E-3</v>
      </c>
      <c r="V147" s="25">
        <f t="shared" si="113"/>
        <v>6.0414087376991967E-3</v>
      </c>
      <c r="W147" s="26">
        <f t="shared" si="114"/>
        <v>101.16877949095229</v>
      </c>
      <c r="X147" s="26">
        <f t="shared" si="115"/>
        <v>0.61120194839900244</v>
      </c>
      <c r="Y147" s="20">
        <v>101.17</v>
      </c>
      <c r="Z147" s="20">
        <v>101.17</v>
      </c>
      <c r="AA147" s="27">
        <v>212</v>
      </c>
      <c r="AB147" s="27">
        <v>2804718</v>
      </c>
      <c r="AC147" s="27">
        <v>451071</v>
      </c>
      <c r="AD147" s="27">
        <v>164841</v>
      </c>
      <c r="AE147" s="150">
        <v>3090948</v>
      </c>
      <c r="AF147" s="211"/>
    </row>
    <row r="148" spans="1:256" ht="16.5" customHeight="1" x14ac:dyDescent="0.3">
      <c r="A148" s="172">
        <v>124</v>
      </c>
      <c r="B148" s="58" t="s">
        <v>203</v>
      </c>
      <c r="C148" s="57" t="s">
        <v>208</v>
      </c>
      <c r="D148" s="20"/>
      <c r="E148" s="20"/>
      <c r="F148" s="20">
        <v>100001182</v>
      </c>
      <c r="G148" s="20">
        <v>248422682</v>
      </c>
      <c r="H148" s="20"/>
      <c r="I148" s="20"/>
      <c r="J148" s="20">
        <v>348423864</v>
      </c>
      <c r="K148" s="20">
        <v>3349118</v>
      </c>
      <c r="L148" s="20">
        <v>750652</v>
      </c>
      <c r="M148" s="152">
        <v>2598465</v>
      </c>
      <c r="N148" s="20">
        <v>514102556.73000002</v>
      </c>
      <c r="O148" s="20">
        <v>12594257.17</v>
      </c>
      <c r="P148" s="30">
        <v>522461798</v>
      </c>
      <c r="Q148" s="23">
        <f>(P148/$P$81)</f>
        <v>1.2554452954496151E-3</v>
      </c>
      <c r="R148" s="30">
        <v>526696814</v>
      </c>
      <c r="S148" s="23">
        <f>(R148/$R$149)</f>
        <v>2.8110299243590983E-2</v>
      </c>
      <c r="T148" s="24">
        <f t="shared" ref="T148" si="126">((R148-P148)/P148)</f>
        <v>8.1058864326765574E-3</v>
      </c>
      <c r="U148" s="59">
        <f t="shared" si="112"/>
        <v>1.4252070262190727E-3</v>
      </c>
      <c r="V148" s="25">
        <f t="shared" si="113"/>
        <v>4.9335119008333322E-3</v>
      </c>
      <c r="W148" s="26">
        <f t="shared" si="114"/>
        <v>1028.1785765877617</v>
      </c>
      <c r="X148" s="26">
        <f t="shared" si="115"/>
        <v>5.0725312437775978</v>
      </c>
      <c r="Y148" s="74">
        <v>1028.18</v>
      </c>
      <c r="Z148" s="74">
        <v>1028.18</v>
      </c>
      <c r="AA148" s="27">
        <v>19</v>
      </c>
      <c r="AB148" s="149">
        <v>500834</v>
      </c>
      <c r="AC148" s="149">
        <v>11428</v>
      </c>
      <c r="AD148" s="149">
        <v>0</v>
      </c>
      <c r="AE148" s="195">
        <v>512262</v>
      </c>
      <c r="AF148" s="5"/>
      <c r="AG148" s="5"/>
      <c r="AH148" s="5"/>
      <c r="AI148" s="5"/>
      <c r="AJ148" s="6"/>
      <c r="AK148" s="4"/>
      <c r="AL148" s="5"/>
      <c r="AM148" s="5"/>
      <c r="AN148" s="5"/>
      <c r="AO148" s="6"/>
      <c r="AP148" s="4"/>
      <c r="AQ148" s="5"/>
      <c r="AR148" s="5"/>
      <c r="AS148" s="5"/>
      <c r="AT148" s="6"/>
      <c r="AU148" s="18"/>
      <c r="AV148" s="18"/>
      <c r="AW148" s="18"/>
      <c r="AX148" s="18"/>
      <c r="AY148" s="18"/>
      <c r="AZ148" s="18"/>
      <c r="BA148" s="18"/>
      <c r="BB148" s="18"/>
      <c r="BC148" s="18"/>
      <c r="BD148" s="18"/>
      <c r="BE148" s="18"/>
      <c r="BF148" s="18"/>
      <c r="BG148" s="18"/>
      <c r="BH148" s="18"/>
      <c r="BI148" s="18"/>
      <c r="BJ148" s="18"/>
      <c r="BK148" s="18"/>
      <c r="BL148" s="18"/>
      <c r="BM148" s="18"/>
      <c r="BN148" s="18"/>
      <c r="BO148" s="18"/>
      <c r="BP148" s="18"/>
      <c r="BQ148" s="18"/>
      <c r="BR148" s="18"/>
      <c r="BS148" s="18"/>
      <c r="BT148" s="18"/>
      <c r="BU148" s="18"/>
      <c r="BV148" s="18"/>
      <c r="BW148" s="18"/>
      <c r="BX148" s="18"/>
      <c r="BY148" s="18"/>
      <c r="BZ148" s="18"/>
      <c r="CA148" s="18"/>
      <c r="CB148" s="18"/>
      <c r="CC148" s="18"/>
      <c r="CD148" s="18"/>
      <c r="CE148" s="18"/>
      <c r="CF148" s="18"/>
      <c r="CG148" s="18"/>
      <c r="CH148" s="18"/>
      <c r="CI148" s="18"/>
      <c r="CJ148" s="18"/>
      <c r="CK148" s="18"/>
      <c r="CL148" s="18"/>
      <c r="CM148" s="18"/>
      <c r="CN148" s="18"/>
      <c r="CO148" s="18"/>
      <c r="CP148" s="18"/>
      <c r="CQ148" s="18"/>
      <c r="CR148" s="18"/>
      <c r="CS148" s="18"/>
      <c r="CT148" s="18"/>
      <c r="CU148" s="18"/>
      <c r="CV148" s="18"/>
      <c r="CW148" s="18"/>
      <c r="CX148" s="18"/>
      <c r="CY148" s="18"/>
      <c r="CZ148" s="18"/>
      <c r="DA148" s="18"/>
      <c r="DB148" s="18"/>
      <c r="DC148" s="18"/>
      <c r="DD148" s="18"/>
      <c r="DE148" s="18"/>
      <c r="DF148" s="18"/>
      <c r="DG148" s="18"/>
      <c r="DH148" s="18"/>
      <c r="DI148" s="18"/>
      <c r="DJ148" s="18"/>
      <c r="DK148" s="18"/>
      <c r="DL148" s="18"/>
      <c r="DM148" s="18"/>
      <c r="DN148" s="18"/>
      <c r="DO148" s="18"/>
      <c r="DP148" s="18"/>
      <c r="DQ148" s="18"/>
      <c r="DR148" s="18"/>
      <c r="DS148" s="18"/>
      <c r="DT148" s="18"/>
      <c r="DU148" s="18"/>
      <c r="DV148" s="18"/>
      <c r="DW148" s="18"/>
      <c r="DX148" s="18"/>
      <c r="DY148" s="18"/>
      <c r="DZ148" s="18"/>
      <c r="EA148" s="18"/>
      <c r="EB148" s="18"/>
      <c r="EC148" s="18"/>
      <c r="ED148" s="18"/>
      <c r="EE148" s="18"/>
      <c r="EF148" s="18"/>
      <c r="EG148" s="18"/>
      <c r="EH148" s="18"/>
      <c r="EI148" s="18"/>
      <c r="EJ148" s="18"/>
      <c r="EK148" s="18"/>
      <c r="EL148" s="18"/>
      <c r="EM148" s="18"/>
      <c r="EN148" s="18"/>
      <c r="EO148" s="18"/>
      <c r="EP148" s="18"/>
      <c r="EQ148" s="18"/>
      <c r="ER148" s="18"/>
      <c r="ES148" s="18"/>
      <c r="ET148" s="18"/>
      <c r="EU148" s="18"/>
      <c r="EV148" s="18"/>
      <c r="EW148" s="18"/>
      <c r="EX148" s="18"/>
      <c r="EY148" s="18"/>
      <c r="EZ148" s="18"/>
      <c r="FA148" s="18"/>
      <c r="FB148" s="18"/>
      <c r="FC148" s="18"/>
      <c r="FD148" s="18"/>
      <c r="FE148" s="18"/>
      <c r="FF148" s="18"/>
      <c r="FG148" s="18"/>
      <c r="FH148" s="18"/>
      <c r="FI148" s="18"/>
      <c r="FJ148" s="18"/>
      <c r="FK148" s="18"/>
      <c r="FL148" s="18"/>
      <c r="FM148" s="18"/>
      <c r="FN148" s="18"/>
      <c r="FO148" s="18"/>
      <c r="FP148" s="18"/>
      <c r="FQ148" s="18"/>
      <c r="FR148" s="18"/>
      <c r="FS148" s="18"/>
      <c r="FT148" s="18"/>
      <c r="FU148" s="18"/>
      <c r="FV148" s="18"/>
      <c r="FW148" s="18"/>
      <c r="FX148" s="18"/>
      <c r="FY148" s="18"/>
      <c r="FZ148" s="18"/>
      <c r="GA148" s="18"/>
      <c r="GB148" s="18"/>
      <c r="GC148" s="18"/>
      <c r="GD148" s="18"/>
      <c r="GE148" s="18"/>
      <c r="GF148" s="18"/>
      <c r="GG148" s="18"/>
      <c r="GH148" s="18"/>
      <c r="GI148" s="18"/>
      <c r="GJ148" s="18"/>
      <c r="GK148" s="18"/>
      <c r="GL148" s="18"/>
      <c r="GM148" s="18"/>
      <c r="GN148" s="18"/>
      <c r="GO148" s="18"/>
      <c r="GP148" s="18"/>
      <c r="GQ148" s="18"/>
      <c r="GR148" s="18"/>
      <c r="GS148" s="18"/>
      <c r="GT148" s="18"/>
      <c r="GU148" s="18"/>
      <c r="GV148" s="18"/>
      <c r="GW148" s="18"/>
      <c r="GX148" s="18"/>
      <c r="GY148" s="18"/>
      <c r="GZ148" s="18"/>
      <c r="HA148" s="18"/>
      <c r="HB148" s="18"/>
      <c r="HC148" s="18"/>
      <c r="HD148" s="18"/>
      <c r="HE148" s="18"/>
      <c r="HF148" s="18"/>
      <c r="HG148" s="18"/>
      <c r="HH148" s="18"/>
      <c r="HI148" s="18"/>
      <c r="HJ148" s="18"/>
      <c r="HK148" s="18"/>
      <c r="HL148" s="18"/>
      <c r="HM148" s="18"/>
      <c r="HN148" s="18"/>
      <c r="HO148" s="18"/>
      <c r="HP148" s="18"/>
      <c r="HQ148" s="18"/>
      <c r="HR148" s="18"/>
      <c r="HS148" s="18"/>
      <c r="HT148" s="18"/>
      <c r="HU148" s="18"/>
      <c r="HV148" s="18"/>
      <c r="HW148" s="18"/>
      <c r="HX148" s="18"/>
      <c r="HY148" s="18"/>
      <c r="HZ148" s="18"/>
      <c r="IA148" s="18"/>
      <c r="IB148" s="18"/>
      <c r="IC148" s="18"/>
      <c r="ID148" s="18"/>
      <c r="IE148" s="18"/>
      <c r="IF148" s="18"/>
      <c r="IG148" s="18"/>
      <c r="IH148" s="18"/>
      <c r="II148" s="18"/>
      <c r="IJ148" s="18"/>
      <c r="IK148" s="18"/>
      <c r="IL148" s="18"/>
      <c r="IM148" s="18"/>
      <c r="IN148" s="18"/>
      <c r="IO148" s="18"/>
      <c r="IP148" s="18"/>
      <c r="IQ148" s="18"/>
      <c r="IR148" s="18"/>
      <c r="IS148" s="18"/>
      <c r="IT148" s="18"/>
      <c r="IU148" s="18"/>
      <c r="IV148" s="18"/>
    </row>
    <row r="149" spans="1:256" ht="15.75" customHeight="1" x14ac:dyDescent="0.3">
      <c r="A149" s="121"/>
      <c r="B149" s="53"/>
      <c r="C149" s="79" t="s">
        <v>52</v>
      </c>
      <c r="D149" s="36">
        <f>SUM(D140:D148)</f>
        <v>1648439665.6500001</v>
      </c>
      <c r="E149" s="36"/>
      <c r="F149" s="36">
        <f t="shared" ref="F149" si="127">SUM(F140:F148)</f>
        <v>1151313247.05</v>
      </c>
      <c r="G149" s="36">
        <f>SUM(G140:G148)</f>
        <v>14494051571.439999</v>
      </c>
      <c r="H149" s="36"/>
      <c r="I149" s="36">
        <f t="shared" ref="I149:L149" si="128">SUM(I140:I148)</f>
        <v>0</v>
      </c>
      <c r="J149" s="36">
        <f t="shared" si="128"/>
        <v>18364794933.93</v>
      </c>
      <c r="K149" s="36">
        <f t="shared" si="128"/>
        <v>182960971.85999998</v>
      </c>
      <c r="L149" s="36">
        <f t="shared" si="128"/>
        <v>82169962.439999998</v>
      </c>
      <c r="M149" s="36">
        <f t="shared" ref="M149" si="129">SUM(M140:M148)</f>
        <v>167753931.13</v>
      </c>
      <c r="N149" s="36">
        <f t="shared" ref="N149" si="130">SUM(N140:N148)</f>
        <v>19165706608.830002</v>
      </c>
      <c r="O149" s="36">
        <f t="shared" ref="O149" si="131">SUM(O140:O148)</f>
        <v>454103692.35000002</v>
      </c>
      <c r="P149" s="37">
        <f>SUM(P140:P148)</f>
        <v>18537655310.860001</v>
      </c>
      <c r="Q149" s="88">
        <f>(P149/$P$150)</f>
        <v>1.3121842319461018E-2</v>
      </c>
      <c r="R149" s="37">
        <f>SUM(R140:R148)</f>
        <v>18736791431.350002</v>
      </c>
      <c r="S149" s="88">
        <f>(R149/$R$150)</f>
        <v>1.3309854275770496E-2</v>
      </c>
      <c r="T149" s="38">
        <f t="shared" si="111"/>
        <v>1.0742249607658896E-2</v>
      </c>
      <c r="U149" s="59">
        <f t="shared" si="112"/>
        <v>4.3854873840627247E-3</v>
      </c>
      <c r="V149" s="39"/>
      <c r="W149" s="40"/>
      <c r="X149" s="40"/>
      <c r="Y149" s="36"/>
      <c r="Z149" s="36"/>
      <c r="AA149" s="41">
        <f>SUM(AA140:AA148)</f>
        <v>17347</v>
      </c>
      <c r="AB149" s="41"/>
      <c r="AC149" s="41"/>
      <c r="AD149" s="41"/>
      <c r="AE149" s="113"/>
      <c r="AF149" s="211"/>
    </row>
    <row r="150" spans="1:256" ht="15.75" customHeight="1" thickBot="1" x14ac:dyDescent="0.35">
      <c r="A150" s="122"/>
      <c r="B150" s="123"/>
      <c r="C150" s="124" t="s">
        <v>147</v>
      </c>
      <c r="D150" s="125">
        <f>SUM(D149,D137,D132,D108,D102,D81,D51,D20)</f>
        <v>31931934891</v>
      </c>
      <c r="E150" s="125"/>
      <c r="F150" s="125">
        <f t="shared" ref="F150:O150" si="132">SUM(F149,F137,F132,F108,F102,F81,F51,F20)</f>
        <v>682007734451.8374</v>
      </c>
      <c r="G150" s="125">
        <f t="shared" si="132"/>
        <v>510502020857.72247</v>
      </c>
      <c r="H150" s="125">
        <f t="shared" si="132"/>
        <v>33296305555.400002</v>
      </c>
      <c r="I150" s="125">
        <f t="shared" si="132"/>
        <v>8070871.4900000002</v>
      </c>
      <c r="J150" s="125">
        <f t="shared" si="132"/>
        <v>1278934824366.4304</v>
      </c>
      <c r="K150" s="125">
        <f t="shared" si="132"/>
        <v>9971681367.4892006</v>
      </c>
      <c r="L150" s="125">
        <f t="shared" si="132"/>
        <v>2252382631.3092999</v>
      </c>
      <c r="M150" s="125">
        <f t="shared" si="132"/>
        <v>9081568139.1774998</v>
      </c>
      <c r="N150" s="125">
        <f t="shared" si="132"/>
        <v>1420511148305.532</v>
      </c>
      <c r="O150" s="125">
        <f t="shared" si="132"/>
        <v>12650854704.794098</v>
      </c>
      <c r="P150" s="125">
        <f>SUM(P20,P51,P81,P102,P108,P132,P137,P149)</f>
        <v>1412732668138.1306</v>
      </c>
      <c r="Q150" s="126"/>
      <c r="R150" s="125">
        <f>SUM(R20,R51,R81,R102,R108,R132,R137,R149)</f>
        <v>1407738284968.2136</v>
      </c>
      <c r="S150" s="126"/>
      <c r="T150" s="127"/>
      <c r="U150" s="128"/>
      <c r="V150" s="129"/>
      <c r="W150" s="130"/>
      <c r="X150" s="130"/>
      <c r="Y150" s="125"/>
      <c r="Z150" s="125"/>
      <c r="AA150" s="132">
        <f>SUM(AA20,AA51,AA81,AA102,AA108,AA132,AA137,AA149)</f>
        <v>808195</v>
      </c>
      <c r="AB150" s="125">
        <f>SUM(AB4:AB148)</f>
        <v>260664224545.61523</v>
      </c>
      <c r="AC150" s="125">
        <f>SUM(AC4:AC148)</f>
        <v>30632383421.455505</v>
      </c>
      <c r="AD150" s="125">
        <f>SUM(AD4:AD148)</f>
        <v>29887818969.379108</v>
      </c>
      <c r="AE150" s="131">
        <f>SUM(AE4:AE148)</f>
        <v>261408609190.54178</v>
      </c>
      <c r="AF150" s="211"/>
    </row>
    <row r="151" spans="1:256" ht="6" customHeight="1" x14ac:dyDescent="0.25">
      <c r="A151" s="145"/>
      <c r="B151" s="145"/>
      <c r="C151" s="145"/>
      <c r="D151" s="5"/>
      <c r="E151" s="5"/>
      <c r="F151" s="5"/>
      <c r="G151" s="5"/>
      <c r="H151" s="5"/>
      <c r="I151" s="146"/>
      <c r="J151" s="5"/>
      <c r="K151" s="5"/>
      <c r="L151" s="5"/>
      <c r="M151" s="170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</row>
    <row r="152" spans="1:256" ht="15.75" customHeight="1" x14ac:dyDescent="0.3">
      <c r="A152" s="139" t="s">
        <v>164</v>
      </c>
      <c r="B152" s="140" t="s">
        <v>165</v>
      </c>
      <c r="C152" s="141"/>
      <c r="D152" s="5"/>
      <c r="E152" s="5"/>
      <c r="F152" s="5"/>
      <c r="G152" s="5"/>
      <c r="H152" s="142"/>
      <c r="I152" s="5"/>
      <c r="J152" s="5"/>
      <c r="K152" s="5"/>
      <c r="L152" s="5"/>
      <c r="M152" s="170"/>
      <c r="N152" s="5"/>
      <c r="O152" s="5"/>
      <c r="P152" s="143"/>
      <c r="Q152" s="5"/>
      <c r="R152" s="143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144"/>
    </row>
    <row r="155" spans="1:256" ht="15.75" customHeight="1" x14ac:dyDescent="0.25">
      <c r="E155" s="75"/>
    </row>
  </sheetData>
  <mergeCells count="24">
    <mergeCell ref="A83:C83"/>
    <mergeCell ref="A94:C94"/>
    <mergeCell ref="A103:C103"/>
    <mergeCell ref="A109:C109"/>
    <mergeCell ref="A133:C133"/>
    <mergeCell ref="A1:AE1"/>
    <mergeCell ref="A3:C3"/>
    <mergeCell ref="A21:C21"/>
    <mergeCell ref="A52:C52"/>
    <mergeCell ref="A82:C82"/>
    <mergeCell ref="AA138:AE138"/>
    <mergeCell ref="J138:K138"/>
    <mergeCell ref="A139:C139"/>
    <mergeCell ref="L138:M138"/>
    <mergeCell ref="N138:O138"/>
    <mergeCell ref="P138:Q138"/>
    <mergeCell ref="A138:C138"/>
    <mergeCell ref="D138:F138"/>
    <mergeCell ref="G138:I138"/>
    <mergeCell ref="A143:C143"/>
    <mergeCell ref="R138:S138"/>
    <mergeCell ref="U138:V138"/>
    <mergeCell ref="W138:X138"/>
    <mergeCell ref="Y138:Z138"/>
  </mergeCells>
  <phoneticPr fontId="15" type="noConversion"/>
  <pageMargins left="0.7" right="0.7" top="0.75" bottom="0.75" header="0.3" footer="0.3"/>
  <pageSetup orientation="landscape" r:id="rId1"/>
  <headerFooter>
    <oddFooter>&amp;C&amp;"Helvetica,Regular"&amp;12&amp;K000000&amp;P</oddFooter>
  </headerFooter>
  <rowBreaks count="3" manualBreakCount="3">
    <brk id="60" max="16383" man="1"/>
    <brk id="94" max="16383" man="1"/>
    <brk id="129" max="16383" man="1"/>
  </rowBreaks>
  <colBreaks count="1" manualBreakCount="1">
    <brk id="2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24"/>
  <sheetViews>
    <sheetView showGridLines="0" zoomScale="80" zoomScaleNormal="80" workbookViewId="0">
      <selection activeCell="N1" sqref="N1"/>
    </sheetView>
  </sheetViews>
  <sheetFormatPr defaultColWidth="10" defaultRowHeight="12.95" customHeight="1" x14ac:dyDescent="0.25"/>
  <cols>
    <col min="1" max="256" width="10" style="13" customWidth="1"/>
  </cols>
  <sheetData>
    <row r="1" spans="1:12" ht="12.95" customHeight="1" x14ac:dyDescent="0.25">
      <c r="A1" s="14"/>
      <c r="B1" s="2"/>
      <c r="C1" s="2"/>
      <c r="D1" s="2"/>
      <c r="E1" s="2"/>
      <c r="F1" s="2"/>
      <c r="G1" s="2"/>
      <c r="H1" s="2"/>
      <c r="I1" s="2"/>
      <c r="J1" s="2"/>
      <c r="K1" s="3"/>
      <c r="L1" s="7"/>
    </row>
    <row r="2" spans="1:12" ht="12.95" customHeight="1" x14ac:dyDescent="0.25">
      <c r="A2" s="4"/>
      <c r="B2" s="5"/>
      <c r="C2" s="5"/>
      <c r="D2" s="5"/>
      <c r="E2" s="5"/>
      <c r="F2" s="5"/>
      <c r="G2" s="5"/>
      <c r="H2" s="5"/>
      <c r="I2" s="5"/>
      <c r="J2" s="5"/>
      <c r="K2" s="6"/>
      <c r="L2" s="15"/>
    </row>
    <row r="3" spans="1:12" ht="12.95" customHeight="1" x14ac:dyDescent="0.25">
      <c r="A3" s="4"/>
      <c r="B3" s="5"/>
      <c r="C3" s="5"/>
      <c r="D3" s="5"/>
      <c r="E3" s="5"/>
      <c r="F3" s="5"/>
      <c r="G3" s="5"/>
      <c r="H3" s="5"/>
      <c r="I3" s="5"/>
      <c r="J3" s="5"/>
      <c r="K3" s="6"/>
      <c r="L3" s="15"/>
    </row>
    <row r="4" spans="1:12" ht="12.95" customHeight="1" x14ac:dyDescent="0.25">
      <c r="A4" s="4"/>
      <c r="B4" s="5"/>
      <c r="C4" s="5"/>
      <c r="D4" s="5"/>
      <c r="E4" s="5"/>
      <c r="F4" s="5"/>
      <c r="G4" s="5"/>
      <c r="H4" s="5"/>
      <c r="I4" s="5"/>
      <c r="J4" s="5"/>
      <c r="K4" s="6"/>
      <c r="L4" s="15"/>
    </row>
    <row r="5" spans="1:12" ht="12.95" customHeight="1" x14ac:dyDescent="0.25">
      <c r="A5" s="4"/>
      <c r="B5" s="5"/>
      <c r="C5" s="5"/>
      <c r="D5" s="5"/>
      <c r="E5" s="5"/>
      <c r="F5" s="5"/>
      <c r="G5" s="5"/>
      <c r="H5" s="5"/>
      <c r="I5" s="5"/>
      <c r="J5" s="5"/>
      <c r="K5" s="6"/>
      <c r="L5" s="15"/>
    </row>
    <row r="6" spans="1:12" ht="12.95" customHeight="1" x14ac:dyDescent="0.25">
      <c r="A6" s="4"/>
      <c r="B6" s="5"/>
      <c r="C6" s="5"/>
      <c r="D6" s="5"/>
      <c r="E6" s="5"/>
      <c r="F6" s="5"/>
      <c r="G6" s="5"/>
      <c r="H6" s="5"/>
      <c r="I6" s="5"/>
      <c r="J6" s="5"/>
      <c r="K6" s="6"/>
      <c r="L6" s="15"/>
    </row>
    <row r="7" spans="1:12" ht="12.95" customHeight="1" x14ac:dyDescent="0.25">
      <c r="A7" s="4"/>
      <c r="B7" s="5"/>
      <c r="C7" s="5"/>
      <c r="D7" s="5"/>
      <c r="E7" s="5"/>
      <c r="F7" s="5"/>
      <c r="G7" s="5"/>
      <c r="H7" s="5"/>
      <c r="I7" s="5"/>
      <c r="J7" s="5"/>
      <c r="K7" s="6"/>
      <c r="L7" s="15"/>
    </row>
    <row r="8" spans="1:12" ht="12.95" customHeight="1" x14ac:dyDescent="0.25">
      <c r="A8" s="4"/>
      <c r="B8" s="5"/>
      <c r="C8" s="5"/>
      <c r="D8" s="5"/>
      <c r="E8" s="5"/>
      <c r="F8" s="5"/>
      <c r="G8" s="5"/>
      <c r="H8" s="5"/>
      <c r="I8" s="5"/>
      <c r="J8" s="5"/>
      <c r="K8" s="6"/>
      <c r="L8" s="15"/>
    </row>
    <row r="9" spans="1:12" ht="12.95" customHeight="1" x14ac:dyDescent="0.25">
      <c r="A9" s="4"/>
      <c r="B9" s="5"/>
      <c r="C9" s="5"/>
      <c r="D9" s="5"/>
      <c r="E9" s="5"/>
      <c r="F9" s="5"/>
      <c r="G9" s="5"/>
      <c r="H9" s="5"/>
      <c r="I9" s="5"/>
      <c r="J9" s="5"/>
      <c r="K9" s="6"/>
      <c r="L9" s="15"/>
    </row>
    <row r="10" spans="1:12" ht="12.95" customHeight="1" x14ac:dyDescent="0.25">
      <c r="A10" s="4"/>
      <c r="B10" s="5"/>
      <c r="C10" s="5"/>
      <c r="D10" s="5"/>
      <c r="E10" s="5"/>
      <c r="F10" s="5"/>
      <c r="G10" s="5"/>
      <c r="H10" s="5"/>
      <c r="I10" s="5"/>
      <c r="J10" s="5"/>
      <c r="K10" s="6"/>
      <c r="L10" s="15"/>
    </row>
    <row r="11" spans="1:12" ht="12.95" customHeight="1" x14ac:dyDescent="0.25">
      <c r="A11" s="4"/>
      <c r="B11" s="5"/>
      <c r="C11" s="5"/>
      <c r="D11" s="5"/>
      <c r="E11" s="5"/>
      <c r="F11" s="5"/>
      <c r="G11" s="5"/>
      <c r="H11" s="5"/>
      <c r="I11" s="5"/>
      <c r="J11" s="5"/>
      <c r="K11" s="6"/>
      <c r="L11" s="15"/>
    </row>
    <row r="12" spans="1:12" ht="12.95" customHeight="1" x14ac:dyDescent="0.25">
      <c r="A12" s="4"/>
      <c r="B12" s="5"/>
      <c r="C12" s="5"/>
      <c r="D12" s="5"/>
      <c r="E12" s="5"/>
      <c r="F12" s="5"/>
      <c r="G12" s="5"/>
      <c r="H12" s="5"/>
      <c r="I12" s="5"/>
      <c r="J12" s="5"/>
      <c r="K12" s="6"/>
      <c r="L12" s="15"/>
    </row>
    <row r="13" spans="1:12" ht="12.95" customHeight="1" x14ac:dyDescent="0.25">
      <c r="A13" s="4"/>
      <c r="B13" s="5"/>
      <c r="C13" s="5"/>
      <c r="D13" s="5"/>
      <c r="E13" s="5"/>
      <c r="F13" s="5"/>
      <c r="G13" s="5"/>
      <c r="H13" s="5"/>
      <c r="I13" s="5"/>
      <c r="J13" s="5"/>
      <c r="K13" s="6"/>
      <c r="L13" s="15"/>
    </row>
    <row r="14" spans="1:12" ht="12.95" customHeight="1" x14ac:dyDescent="0.25">
      <c r="A14" s="4"/>
      <c r="B14" s="5"/>
      <c r="C14" s="5"/>
      <c r="D14" s="5"/>
      <c r="E14" s="5"/>
      <c r="F14" s="5"/>
      <c r="G14" s="5"/>
      <c r="H14" s="5"/>
      <c r="I14" s="5"/>
      <c r="J14" s="5"/>
      <c r="K14" s="6"/>
      <c r="L14" s="15"/>
    </row>
    <row r="15" spans="1:12" ht="12.95" customHeight="1" x14ac:dyDescent="0.25">
      <c r="A15" s="4"/>
      <c r="B15" s="5"/>
      <c r="C15" s="5"/>
      <c r="D15" s="5"/>
      <c r="E15" s="5"/>
      <c r="F15" s="5"/>
      <c r="G15" s="5"/>
      <c r="H15" s="5"/>
      <c r="I15" s="5"/>
      <c r="J15" s="5"/>
      <c r="K15" s="6"/>
      <c r="L15" s="15"/>
    </row>
    <row r="16" spans="1:12" ht="12.95" customHeight="1" x14ac:dyDescent="0.25">
      <c r="A16" s="4"/>
      <c r="B16" s="5"/>
      <c r="C16" s="5"/>
      <c r="D16" s="5"/>
      <c r="E16" s="5"/>
      <c r="F16" s="5"/>
      <c r="G16" s="5"/>
      <c r="H16" s="5"/>
      <c r="I16" s="5"/>
      <c r="J16" s="5"/>
      <c r="K16" s="6"/>
      <c r="L16" s="15"/>
    </row>
    <row r="17" spans="1:12" ht="12.95" customHeight="1" x14ac:dyDescent="0.25">
      <c r="A17" s="4"/>
      <c r="B17" s="5"/>
      <c r="C17" s="5"/>
      <c r="D17" s="5"/>
      <c r="E17" s="5"/>
      <c r="F17" s="5"/>
      <c r="G17" s="5"/>
      <c r="H17" s="5"/>
      <c r="I17" s="5"/>
      <c r="J17" s="5"/>
      <c r="K17" s="6"/>
      <c r="L17" s="15"/>
    </row>
    <row r="18" spans="1:12" ht="12.95" customHeight="1" x14ac:dyDescent="0.25">
      <c r="A18" s="4"/>
      <c r="B18" s="5"/>
      <c r="C18" s="5"/>
      <c r="D18" s="5"/>
      <c r="E18" s="5"/>
      <c r="F18" s="5"/>
      <c r="G18" s="5"/>
      <c r="H18" s="5"/>
      <c r="I18" s="5"/>
      <c r="J18" s="5"/>
      <c r="K18" s="6"/>
      <c r="L18" s="15"/>
    </row>
    <row r="19" spans="1:12" ht="12.95" customHeight="1" x14ac:dyDescent="0.25">
      <c r="A19" s="4"/>
      <c r="B19" s="5"/>
      <c r="C19" s="5"/>
      <c r="D19" s="5"/>
      <c r="E19" s="5"/>
      <c r="F19" s="5"/>
      <c r="G19" s="5"/>
      <c r="H19" s="5"/>
      <c r="I19" s="5"/>
      <c r="J19" s="5"/>
      <c r="K19" s="6"/>
      <c r="L19" s="15"/>
    </row>
    <row r="20" spans="1:12" ht="12.95" customHeight="1" x14ac:dyDescent="0.25">
      <c r="A20" s="4"/>
      <c r="B20" s="5"/>
      <c r="C20" s="5"/>
      <c r="D20" s="5"/>
      <c r="E20" s="5"/>
      <c r="F20" s="5"/>
      <c r="G20" s="5"/>
      <c r="H20" s="5"/>
      <c r="I20" s="5"/>
      <c r="J20" s="5"/>
      <c r="K20" s="6"/>
      <c r="L20" s="15"/>
    </row>
    <row r="21" spans="1:12" ht="12.95" customHeight="1" x14ac:dyDescent="0.25">
      <c r="A21" s="4"/>
      <c r="B21" s="5"/>
      <c r="C21" s="5"/>
      <c r="D21" s="5"/>
      <c r="E21" s="5"/>
      <c r="F21" s="5"/>
      <c r="G21" s="5"/>
      <c r="H21" s="5"/>
      <c r="I21" s="5"/>
      <c r="J21" s="5"/>
      <c r="K21" s="6"/>
      <c r="L21" s="15"/>
    </row>
    <row r="22" spans="1:12" ht="12.95" customHeight="1" x14ac:dyDescent="0.25">
      <c r="A22" s="4"/>
      <c r="B22" s="5"/>
      <c r="C22" s="5"/>
      <c r="D22" s="5"/>
      <c r="E22" s="5"/>
      <c r="F22" s="5"/>
      <c r="G22" s="5"/>
      <c r="H22" s="5"/>
      <c r="I22" s="5"/>
      <c r="J22" s="5"/>
      <c r="K22" s="6"/>
      <c r="L22" s="15"/>
    </row>
    <row r="23" spans="1:12" ht="12.95" customHeight="1" x14ac:dyDescent="0.25">
      <c r="A23" s="4"/>
      <c r="B23" s="5"/>
      <c r="C23" s="5"/>
      <c r="D23" s="5"/>
      <c r="E23" s="5"/>
      <c r="F23" s="5"/>
      <c r="G23" s="5"/>
      <c r="H23" s="5"/>
      <c r="I23" s="5"/>
      <c r="J23" s="5"/>
      <c r="K23" s="6"/>
      <c r="L23" s="15"/>
    </row>
    <row r="24" spans="1:12" ht="12.95" customHeight="1" x14ac:dyDescent="0.25">
      <c r="A24" s="10"/>
      <c r="B24" s="11"/>
      <c r="C24" s="11"/>
      <c r="D24" s="11"/>
      <c r="E24" s="11"/>
      <c r="F24" s="11"/>
      <c r="G24" s="11"/>
      <c r="H24" s="11"/>
      <c r="I24" s="11"/>
      <c r="J24" s="11"/>
      <c r="K24" s="12"/>
      <c r="L24" s="8"/>
    </row>
  </sheetData>
  <pageMargins left="0.7" right="0.7" top="0.75" bottom="0.75" header="0.3" footer="0.3"/>
  <pageSetup orientation="portrait"/>
  <headerFooter>
    <oddFooter>&amp;C&amp;"Helvetica,Regular"&amp;12&amp;K000000&amp;P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24"/>
  <sheetViews>
    <sheetView showGridLines="0" zoomScale="80" zoomScaleNormal="80" workbookViewId="0">
      <selection activeCell="P1" sqref="P1"/>
    </sheetView>
  </sheetViews>
  <sheetFormatPr defaultColWidth="10" defaultRowHeight="12.95" customHeight="1" x14ac:dyDescent="0.25"/>
  <cols>
    <col min="1" max="256" width="10" style="16" customWidth="1"/>
  </cols>
  <sheetData>
    <row r="1" spans="1:14" ht="12.95" customHeight="1" x14ac:dyDescent="0.25">
      <c r="A1" s="14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spans="1:14" ht="12.95" customHeight="1" x14ac:dyDescent="0.25">
      <c r="A2" s="4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6"/>
    </row>
    <row r="3" spans="1:14" ht="12.95" customHeight="1" x14ac:dyDescent="0.25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6"/>
    </row>
    <row r="4" spans="1:14" ht="12.95" customHeight="1" x14ac:dyDescent="0.25">
      <c r="A4" s="4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6"/>
    </row>
    <row r="5" spans="1:14" ht="12.95" customHeight="1" x14ac:dyDescent="0.25">
      <c r="A5" s="4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6"/>
    </row>
    <row r="6" spans="1:14" ht="12.95" customHeight="1" x14ac:dyDescent="0.25">
      <c r="A6" s="4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6"/>
    </row>
    <row r="7" spans="1:14" ht="12.95" customHeight="1" x14ac:dyDescent="0.25">
      <c r="A7" s="4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6"/>
    </row>
    <row r="8" spans="1:14" ht="12.95" customHeight="1" x14ac:dyDescent="0.25">
      <c r="A8" s="4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6"/>
    </row>
    <row r="9" spans="1:14" ht="12.95" customHeight="1" x14ac:dyDescent="0.25">
      <c r="A9" s="4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6"/>
    </row>
    <row r="10" spans="1:14" ht="12.95" customHeight="1" x14ac:dyDescent="0.25">
      <c r="A10" s="4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6"/>
    </row>
    <row r="11" spans="1:14" ht="12.95" customHeight="1" x14ac:dyDescent="0.25">
      <c r="A11" s="4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6"/>
    </row>
    <row r="12" spans="1:14" ht="12.95" customHeight="1" x14ac:dyDescent="0.25">
      <c r="A12" s="4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6"/>
    </row>
    <row r="13" spans="1:14" ht="12.95" customHeight="1" x14ac:dyDescent="0.25">
      <c r="A13" s="4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6"/>
    </row>
    <row r="14" spans="1:14" ht="12.95" customHeight="1" x14ac:dyDescent="0.25">
      <c r="A14" s="4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6"/>
    </row>
    <row r="15" spans="1:14" ht="12.95" customHeight="1" x14ac:dyDescent="0.25">
      <c r="A15" s="4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6"/>
    </row>
    <row r="16" spans="1:14" ht="12.95" customHeight="1" x14ac:dyDescent="0.25">
      <c r="A16" s="4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6"/>
    </row>
    <row r="17" spans="1:14" ht="12.95" customHeight="1" x14ac:dyDescent="0.25">
      <c r="A17" s="4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6"/>
    </row>
    <row r="18" spans="1:14" ht="12.95" customHeight="1" x14ac:dyDescent="0.25">
      <c r="A18" s="4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6"/>
    </row>
    <row r="19" spans="1:14" ht="12.95" customHeight="1" x14ac:dyDescent="0.25">
      <c r="A19" s="4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6"/>
    </row>
    <row r="20" spans="1:14" ht="12.95" customHeight="1" x14ac:dyDescent="0.25">
      <c r="A20" s="4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6"/>
    </row>
    <row r="21" spans="1:14" ht="12.95" customHeight="1" x14ac:dyDescent="0.25">
      <c r="A21" s="4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6"/>
    </row>
    <row r="22" spans="1:14" ht="12.95" customHeight="1" x14ac:dyDescent="0.25">
      <c r="A22" s="4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6"/>
    </row>
    <row r="23" spans="1:14" ht="12.95" customHeight="1" x14ac:dyDescent="0.25">
      <c r="A23" s="4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6"/>
    </row>
    <row r="24" spans="1:14" ht="12.95" customHeight="1" x14ac:dyDescent="0.25">
      <c r="A24" s="10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2"/>
    </row>
  </sheetData>
  <pageMargins left="0.7" right="0.7" top="0.75" bottom="0.75" header="0.3" footer="0.3"/>
  <pageSetup orientation="portrait"/>
  <headerFooter>
    <oddFooter>&amp;C&amp;"Helvetica,Regular"&amp;12&amp;K000000&amp;P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22"/>
  <sheetViews>
    <sheetView showGridLines="0" zoomScale="80" zoomScaleNormal="80" workbookViewId="0">
      <selection activeCell="R1" sqref="R1"/>
    </sheetView>
  </sheetViews>
  <sheetFormatPr defaultColWidth="8.85546875" defaultRowHeight="15" customHeight="1" x14ac:dyDescent="0.25"/>
  <cols>
    <col min="1" max="3" width="8.85546875" style="17" customWidth="1"/>
    <col min="4" max="4" width="10.42578125" style="17" customWidth="1"/>
    <col min="5" max="256" width="8.85546875" style="17" customWidth="1"/>
  </cols>
  <sheetData>
    <row r="1" spans="1:14" ht="15" customHeight="1" x14ac:dyDescent="0.25">
      <c r="A1" s="14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3"/>
      <c r="N1" s="7"/>
    </row>
    <row r="2" spans="1:14" ht="15" customHeight="1" x14ac:dyDescent="0.25">
      <c r="A2" s="4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6"/>
      <c r="N2" s="15"/>
    </row>
    <row r="3" spans="1:14" ht="15" customHeight="1" x14ac:dyDescent="0.25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6"/>
      <c r="N3" s="15"/>
    </row>
    <row r="4" spans="1:14" ht="15" customHeight="1" x14ac:dyDescent="0.25">
      <c r="A4" s="4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6"/>
      <c r="N4" s="15"/>
    </row>
    <row r="5" spans="1:14" ht="15" customHeight="1" x14ac:dyDescent="0.25">
      <c r="A5" s="4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6"/>
      <c r="N5" s="15"/>
    </row>
    <row r="6" spans="1:14" ht="15" customHeight="1" x14ac:dyDescent="0.25">
      <c r="A6" s="4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6"/>
      <c r="N6" s="15"/>
    </row>
    <row r="7" spans="1:14" ht="15" customHeight="1" x14ac:dyDescent="0.25">
      <c r="A7" s="4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6"/>
      <c r="N7" s="15"/>
    </row>
    <row r="8" spans="1:14" ht="15" customHeight="1" x14ac:dyDescent="0.25">
      <c r="A8" s="4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6"/>
      <c r="N8" s="15"/>
    </row>
    <row r="9" spans="1:14" ht="15" customHeight="1" x14ac:dyDescent="0.25">
      <c r="A9" s="4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6"/>
      <c r="N9" s="15"/>
    </row>
    <row r="10" spans="1:14" ht="15" customHeight="1" x14ac:dyDescent="0.25">
      <c r="A10" s="4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6"/>
      <c r="N10" s="15"/>
    </row>
    <row r="11" spans="1:14" ht="15" customHeight="1" x14ac:dyDescent="0.25">
      <c r="A11" s="4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6"/>
      <c r="N11" s="15"/>
    </row>
    <row r="12" spans="1:14" ht="15" customHeight="1" x14ac:dyDescent="0.25">
      <c r="A12" s="4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6"/>
      <c r="N12" s="15"/>
    </row>
    <row r="13" spans="1:14" ht="15" customHeight="1" x14ac:dyDescent="0.25">
      <c r="A13" s="4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6"/>
      <c r="N13" s="15"/>
    </row>
    <row r="14" spans="1:14" ht="15" customHeight="1" x14ac:dyDescent="0.25">
      <c r="A14" s="4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6"/>
      <c r="N14" s="15"/>
    </row>
    <row r="15" spans="1:14" ht="15" customHeight="1" x14ac:dyDescent="0.25">
      <c r="A15" s="4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6"/>
      <c r="N15" s="15"/>
    </row>
    <row r="16" spans="1:14" ht="15" customHeight="1" x14ac:dyDescent="0.25">
      <c r="A16" s="4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6"/>
      <c r="N16" s="15"/>
    </row>
    <row r="17" spans="1:14" ht="15" customHeight="1" x14ac:dyDescent="0.25">
      <c r="A17" s="4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6"/>
      <c r="N17" s="15"/>
    </row>
    <row r="18" spans="1:14" ht="15" customHeight="1" x14ac:dyDescent="0.25">
      <c r="A18" s="4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6"/>
      <c r="N18" s="15"/>
    </row>
    <row r="19" spans="1:14" ht="15" customHeight="1" x14ac:dyDescent="0.25">
      <c r="A19" s="4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6"/>
      <c r="N19" s="15"/>
    </row>
    <row r="20" spans="1:14" ht="15" customHeight="1" x14ac:dyDescent="0.25">
      <c r="A20" s="4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6"/>
      <c r="N20" s="15"/>
    </row>
    <row r="21" spans="1:14" ht="15" customHeight="1" x14ac:dyDescent="0.25">
      <c r="A21" s="4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6"/>
      <c r="N21" s="15"/>
    </row>
    <row r="22" spans="1:14" ht="15" customHeight="1" x14ac:dyDescent="0.25">
      <c r="A22" s="10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2"/>
      <c r="N22" s="8"/>
    </row>
  </sheetData>
  <pageMargins left="0.7" right="0.7" top="0.75" bottom="0.75" header="0.3" footer="0.3"/>
  <pageSetup orientation="portrait"/>
  <headerFooter>
    <oddFooter>&amp;C&amp;"Helvetica,Regular"&amp;12&amp;K000000&amp;P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APRIL 2022</vt:lpstr>
      <vt:lpstr>Market Share</vt:lpstr>
      <vt:lpstr>Unit Holders</vt:lpstr>
      <vt:lpstr>NAV Comparison Mar &amp; Apr '22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Isaac, Tunde</dc:creator>
  <cp:lastModifiedBy>Isaac, Tunde</cp:lastModifiedBy>
  <cp:lastPrinted>2021-12-13T00:24:01Z</cp:lastPrinted>
  <dcterms:created xsi:type="dcterms:W3CDTF">2021-07-14T13:16:57Z</dcterms:created>
  <dcterms:modified xsi:type="dcterms:W3CDTF">2022-05-29T21:59:43Z</dcterms:modified>
</cp:coreProperties>
</file>