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tisaac\Desktop\Monthly NAVs\2022\"/>
    </mc:Choice>
  </mc:AlternateContent>
  <bookViews>
    <workbookView xWindow="0" yWindow="465" windowWidth="28800" windowHeight="16515"/>
  </bookViews>
  <sheets>
    <sheet name="FEBRUARY 2022" sheetId="1" r:id="rId1"/>
    <sheet name="Market Share" sheetId="2" r:id="rId2"/>
    <sheet name="Unit Holders" sheetId="3" r:id="rId3"/>
    <sheet name="NAV Comparison Jan &amp; Feb '22" sheetId="4" r:id="rId4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A148" i="1" l="1"/>
  <c r="AA80" i="1"/>
  <c r="R149" i="1"/>
  <c r="R80" i="1"/>
  <c r="R148" i="1"/>
  <c r="Q148" i="1"/>
  <c r="P148" i="1"/>
  <c r="P80" i="1"/>
  <c r="X17" i="1"/>
  <c r="W17" i="1"/>
  <c r="V17" i="1"/>
  <c r="U17" i="1"/>
  <c r="T17" i="1"/>
  <c r="J76" i="1" l="1"/>
  <c r="J80" i="1" s="1"/>
  <c r="G107" i="1"/>
  <c r="O107" i="1"/>
  <c r="K107" i="1"/>
  <c r="L107" i="1"/>
  <c r="M107" i="1"/>
  <c r="N107" i="1"/>
  <c r="H107" i="1"/>
  <c r="I107" i="1"/>
  <c r="J107" i="1"/>
  <c r="F107" i="1"/>
  <c r="O80" i="1"/>
  <c r="L80" i="1"/>
  <c r="M80" i="1"/>
  <c r="N80" i="1"/>
  <c r="F80" i="1"/>
  <c r="G80" i="1"/>
  <c r="I80" i="1"/>
  <c r="K80" i="1"/>
  <c r="D80" i="1"/>
  <c r="O51" i="1"/>
  <c r="N51" i="1"/>
  <c r="I51" i="1"/>
  <c r="K51" i="1"/>
  <c r="L51" i="1"/>
  <c r="M51" i="1"/>
  <c r="F51" i="1"/>
  <c r="O20" i="1"/>
  <c r="K20" i="1"/>
  <c r="L20" i="1"/>
  <c r="M20" i="1"/>
  <c r="N20" i="1"/>
  <c r="F20" i="1"/>
  <c r="G20" i="1"/>
  <c r="H20" i="1"/>
  <c r="D20" i="1"/>
  <c r="L131" i="1"/>
  <c r="M131" i="1"/>
  <c r="N131" i="1"/>
  <c r="O131" i="1"/>
  <c r="F131" i="1"/>
  <c r="G131" i="1"/>
  <c r="H131" i="1"/>
  <c r="D131" i="1"/>
  <c r="J136" i="1"/>
  <c r="K136" i="1"/>
  <c r="L136" i="1"/>
  <c r="M136" i="1"/>
  <c r="N136" i="1"/>
  <c r="O136" i="1"/>
  <c r="F136" i="1"/>
  <c r="G136" i="1"/>
  <c r="H136" i="1"/>
  <c r="H149" i="1" s="1"/>
  <c r="D136" i="1"/>
  <c r="M148" i="1"/>
  <c r="N148" i="1"/>
  <c r="O148" i="1"/>
  <c r="J148" i="1"/>
  <c r="K148" i="1"/>
  <c r="L148" i="1"/>
  <c r="G148" i="1"/>
  <c r="F148" i="1"/>
  <c r="D148" i="1"/>
  <c r="Y98" i="1"/>
  <c r="Z98" i="1"/>
  <c r="R98" i="1"/>
  <c r="O98" i="1"/>
  <c r="N98" i="1"/>
  <c r="M99" i="1"/>
  <c r="N99" i="1"/>
  <c r="M98" i="1"/>
  <c r="L98" i="1"/>
  <c r="K98" i="1"/>
  <c r="F98" i="1"/>
  <c r="J98" i="1"/>
  <c r="G98" i="1"/>
  <c r="F100" i="1"/>
  <c r="J47" i="1" l="1"/>
  <c r="J51" i="1" s="1"/>
  <c r="J128" i="1"/>
  <c r="J131" i="1" s="1"/>
  <c r="R99" i="1"/>
  <c r="O99" i="1"/>
  <c r="L99" i="1"/>
  <c r="K99" i="1"/>
  <c r="J99" i="1"/>
  <c r="G99" i="1"/>
  <c r="D97" i="1" l="1"/>
  <c r="D101" i="1" s="1"/>
  <c r="D149" i="1" s="1"/>
  <c r="Z91" i="1"/>
  <c r="Y91" i="1"/>
  <c r="R91" i="1"/>
  <c r="W91" i="1" s="1"/>
  <c r="O91" i="1"/>
  <c r="N91" i="1"/>
  <c r="M91" i="1"/>
  <c r="X91" i="1" s="1"/>
  <c r="L91" i="1"/>
  <c r="K91" i="1"/>
  <c r="J91" i="1"/>
  <c r="G91" i="1"/>
  <c r="U91" i="1"/>
  <c r="J6" i="1"/>
  <c r="J20" i="1" s="1"/>
  <c r="K118" i="1"/>
  <c r="K131" i="1" s="1"/>
  <c r="Z89" i="1"/>
  <c r="Y89" i="1"/>
  <c r="R89" i="1"/>
  <c r="O89" i="1"/>
  <c r="N89" i="1"/>
  <c r="M89" i="1"/>
  <c r="L89" i="1"/>
  <c r="K89" i="1"/>
  <c r="J89" i="1"/>
  <c r="G89" i="1"/>
  <c r="Z95" i="1"/>
  <c r="Y95" i="1"/>
  <c r="R95" i="1"/>
  <c r="O95" i="1"/>
  <c r="N95" i="1"/>
  <c r="M95" i="1"/>
  <c r="L95" i="1"/>
  <c r="K95" i="1"/>
  <c r="J95" i="1"/>
  <c r="F95" i="1"/>
  <c r="G95" i="1"/>
  <c r="G94" i="1"/>
  <c r="G96" i="1"/>
  <c r="Z94" i="1"/>
  <c r="Y94" i="1"/>
  <c r="R94" i="1"/>
  <c r="O94" i="1"/>
  <c r="N94" i="1"/>
  <c r="M94" i="1"/>
  <c r="L94" i="1"/>
  <c r="K94" i="1"/>
  <c r="J94" i="1"/>
  <c r="F94" i="1"/>
  <c r="Z100" i="1"/>
  <c r="Y100" i="1"/>
  <c r="R100" i="1"/>
  <c r="O100" i="1"/>
  <c r="N100" i="1"/>
  <c r="M100" i="1"/>
  <c r="L100" i="1"/>
  <c r="K100" i="1"/>
  <c r="J100" i="1"/>
  <c r="G100" i="1"/>
  <c r="Z85" i="1"/>
  <c r="Y85" i="1"/>
  <c r="R85" i="1"/>
  <c r="O85" i="1"/>
  <c r="O101" i="1" s="1"/>
  <c r="O149" i="1" s="1"/>
  <c r="N85" i="1"/>
  <c r="M85" i="1"/>
  <c r="L85" i="1"/>
  <c r="K85" i="1"/>
  <c r="G85" i="1"/>
  <c r="Z86" i="1"/>
  <c r="Y86" i="1"/>
  <c r="R86" i="1"/>
  <c r="O86" i="1"/>
  <c r="N86" i="1"/>
  <c r="M86" i="1"/>
  <c r="L86" i="1"/>
  <c r="K86" i="1"/>
  <c r="J86" i="1"/>
  <c r="F86" i="1"/>
  <c r="F101" i="1" s="1"/>
  <c r="F149" i="1" s="1"/>
  <c r="G86" i="1"/>
  <c r="Z97" i="1"/>
  <c r="Y97" i="1"/>
  <c r="R97" i="1"/>
  <c r="O97" i="1"/>
  <c r="N97" i="1"/>
  <c r="M97" i="1"/>
  <c r="L97" i="1"/>
  <c r="K97" i="1"/>
  <c r="AA96" i="1"/>
  <c r="Z96" i="1"/>
  <c r="Y96" i="1"/>
  <c r="R96" i="1"/>
  <c r="O96" i="1"/>
  <c r="N96" i="1"/>
  <c r="L96" i="1"/>
  <c r="K96" i="1"/>
  <c r="J96" i="1"/>
  <c r="Z88" i="1"/>
  <c r="Y88" i="1"/>
  <c r="G101" i="1" l="1"/>
  <c r="G149" i="1" s="1"/>
  <c r="J101" i="1"/>
  <c r="J149" i="1" s="1"/>
  <c r="K101" i="1"/>
  <c r="L101" i="1"/>
  <c r="L149" i="1" s="1"/>
  <c r="M101" i="1"/>
  <c r="M149" i="1" s="1"/>
  <c r="N101" i="1"/>
  <c r="N149" i="1" s="1"/>
  <c r="K149" i="1"/>
  <c r="T91" i="1"/>
  <c r="V91" i="1"/>
  <c r="AA146" i="1"/>
  <c r="I146" i="1"/>
  <c r="I148" i="1" s="1"/>
  <c r="I149" i="1" s="1"/>
  <c r="AA30" i="1" l="1"/>
  <c r="AA43" i="1" l="1"/>
  <c r="AA125" i="1"/>
  <c r="R20" i="1"/>
  <c r="S17" i="1" s="1"/>
  <c r="P136" i="1"/>
  <c r="P131" i="1"/>
  <c r="P107" i="1"/>
  <c r="P100" i="1"/>
  <c r="P97" i="1"/>
  <c r="P96" i="1"/>
  <c r="P95" i="1"/>
  <c r="P94" i="1"/>
  <c r="P86" i="1"/>
  <c r="P85" i="1"/>
  <c r="P51" i="1"/>
  <c r="P20" i="1"/>
  <c r="Q17" i="1" s="1"/>
  <c r="P101" i="1" l="1"/>
  <c r="Q91" i="1" s="1"/>
  <c r="P149" i="1"/>
  <c r="X147" i="1" l="1"/>
  <c r="W147" i="1"/>
  <c r="V147" i="1"/>
  <c r="U147" i="1"/>
  <c r="T147" i="1"/>
  <c r="X79" i="1" l="1"/>
  <c r="W79" i="1"/>
  <c r="V79" i="1"/>
  <c r="U79" i="1"/>
  <c r="T79" i="1"/>
  <c r="Q147" i="1"/>
  <c r="Q79" i="1" l="1"/>
  <c r="X35" i="1" l="1"/>
  <c r="V34" i="1"/>
  <c r="V35" i="1"/>
  <c r="V42" i="1" l="1"/>
  <c r="V48" i="1"/>
  <c r="V120" i="1"/>
  <c r="X119" i="1"/>
  <c r="X121" i="1"/>
  <c r="X97" i="1"/>
  <c r="W97" i="1"/>
  <c r="X96" i="1"/>
  <c r="W100" i="1"/>
  <c r="X100" i="1"/>
  <c r="U100" i="1"/>
  <c r="V100" i="1" l="1"/>
  <c r="T76" i="1" l="1"/>
  <c r="T70" i="1"/>
  <c r="T134" i="1"/>
  <c r="R131" i="1" l="1"/>
  <c r="AA136" i="1" l="1"/>
  <c r="R136" i="1"/>
  <c r="S134" i="1" s="1"/>
  <c r="S135" i="1" l="1"/>
  <c r="S133" i="1"/>
  <c r="Q134" i="1"/>
  <c r="Q135" i="1"/>
  <c r="Q133" i="1"/>
  <c r="T136" i="1"/>
  <c r="AA101" i="1"/>
  <c r="R101" i="1"/>
  <c r="S91" i="1" s="1"/>
  <c r="S147" i="1"/>
  <c r="S79" i="1" l="1"/>
  <c r="S95" i="1"/>
  <c r="S86" i="1"/>
  <c r="S96" i="1"/>
  <c r="S87" i="1"/>
  <c r="S88" i="1"/>
  <c r="S98" i="1"/>
  <c r="S89" i="1"/>
  <c r="S97" i="1"/>
  <c r="S99" i="1"/>
  <c r="S90" i="1"/>
  <c r="S100" i="1"/>
  <c r="S83" i="1"/>
  <c r="S84" i="1"/>
  <c r="S85" i="1"/>
  <c r="S61" i="1"/>
  <c r="S69" i="1"/>
  <c r="S77" i="1"/>
  <c r="S63" i="1"/>
  <c r="S71" i="1"/>
  <c r="S54" i="1"/>
  <c r="S62" i="1"/>
  <c r="S70" i="1"/>
  <c r="S78" i="1"/>
  <c r="S55" i="1"/>
  <c r="S53" i="1"/>
  <c r="S56" i="1"/>
  <c r="S64" i="1"/>
  <c r="S72" i="1"/>
  <c r="S65" i="1"/>
  <c r="S73" i="1"/>
  <c r="S75" i="1"/>
  <c r="S57" i="1"/>
  <c r="S67" i="1"/>
  <c r="S58" i="1"/>
  <c r="S66" i="1"/>
  <c r="S74" i="1"/>
  <c r="S59" i="1"/>
  <c r="S60" i="1"/>
  <c r="S68" i="1"/>
  <c r="S76" i="1"/>
  <c r="S144" i="1"/>
  <c r="S145" i="1"/>
  <c r="S146" i="1"/>
  <c r="S143" i="1"/>
  <c r="S140" i="1"/>
  <c r="Q144" i="1"/>
  <c r="Q145" i="1"/>
  <c r="Q146" i="1"/>
  <c r="Q143" i="1"/>
  <c r="Q140" i="1"/>
  <c r="Q100" i="1"/>
  <c r="Q90" i="1"/>
  <c r="Q94" i="1"/>
  <c r="Q83" i="1"/>
  <c r="Q98" i="1"/>
  <c r="Q84" i="1"/>
  <c r="Q95" i="1"/>
  <c r="Q85" i="1"/>
  <c r="Q89" i="1"/>
  <c r="Q96" i="1"/>
  <c r="Q86" i="1"/>
  <c r="Q97" i="1"/>
  <c r="Q87" i="1"/>
  <c r="Q88" i="1"/>
  <c r="Q99" i="1"/>
  <c r="Q59" i="1"/>
  <c r="Q60" i="1"/>
  <c r="Q68" i="1"/>
  <c r="Q76" i="1"/>
  <c r="Q62" i="1"/>
  <c r="Q70" i="1"/>
  <c r="Q63" i="1"/>
  <c r="Q71" i="1"/>
  <c r="Q61" i="1"/>
  <c r="Q69" i="1"/>
  <c r="Q77" i="1"/>
  <c r="Q54" i="1"/>
  <c r="Q78" i="1"/>
  <c r="Q55" i="1"/>
  <c r="Q53" i="1"/>
  <c r="Q67" i="1"/>
  <c r="Q56" i="1"/>
  <c r="Q64" i="1"/>
  <c r="Q72" i="1"/>
  <c r="Q57" i="1"/>
  <c r="Q65" i="1"/>
  <c r="Q73" i="1"/>
  <c r="Q58" i="1"/>
  <c r="Q66" i="1"/>
  <c r="Q74" i="1"/>
  <c r="Q75" i="1"/>
  <c r="X125" i="1"/>
  <c r="W125" i="1"/>
  <c r="V125" i="1"/>
  <c r="U125" i="1"/>
  <c r="T125" i="1"/>
  <c r="X124" i="1"/>
  <c r="W124" i="1"/>
  <c r="V124" i="1"/>
  <c r="U124" i="1"/>
  <c r="T124" i="1"/>
  <c r="X99" i="1" l="1"/>
  <c r="W99" i="1"/>
  <c r="V99" i="1"/>
  <c r="U99" i="1"/>
  <c r="T99" i="1"/>
  <c r="W98" i="1"/>
  <c r="X98" i="1"/>
  <c r="X90" i="1"/>
  <c r="W90" i="1"/>
  <c r="V90" i="1"/>
  <c r="U90" i="1"/>
  <c r="T90" i="1"/>
  <c r="W89" i="1"/>
  <c r="X89" i="1"/>
  <c r="X88" i="1"/>
  <c r="W88" i="1"/>
  <c r="V88" i="1"/>
  <c r="U88" i="1"/>
  <c r="T88" i="1"/>
  <c r="X87" i="1"/>
  <c r="W87" i="1"/>
  <c r="V87" i="1"/>
  <c r="U87" i="1"/>
  <c r="T87" i="1"/>
  <c r="X85" i="1"/>
  <c r="X86" i="1"/>
  <c r="X84" i="1"/>
  <c r="W84" i="1"/>
  <c r="V84" i="1"/>
  <c r="U84" i="1"/>
  <c r="T84" i="1"/>
  <c r="X83" i="1"/>
  <c r="W83" i="1"/>
  <c r="V83" i="1"/>
  <c r="U83" i="1"/>
  <c r="T83" i="1"/>
  <c r="U97" i="1" l="1"/>
  <c r="W96" i="1"/>
  <c r="U98" i="1"/>
  <c r="V97" i="1"/>
  <c r="V96" i="1"/>
  <c r="T98" i="1"/>
  <c r="T97" i="1"/>
  <c r="T96" i="1"/>
  <c r="U96" i="1"/>
  <c r="V98" i="1"/>
  <c r="U86" i="1"/>
  <c r="U89" i="1"/>
  <c r="T85" i="1"/>
  <c r="W85" i="1"/>
  <c r="U85" i="1"/>
  <c r="T89" i="1"/>
  <c r="V86" i="1"/>
  <c r="V89" i="1"/>
  <c r="W86" i="1"/>
  <c r="V85" i="1"/>
  <c r="T86" i="1"/>
  <c r="T146" i="1" l="1"/>
  <c r="U139" i="1"/>
  <c r="U134" i="1"/>
  <c r="U135" i="1"/>
  <c r="U140" i="1"/>
  <c r="U144" i="1"/>
  <c r="U145" i="1"/>
  <c r="U146" i="1"/>
  <c r="T126" i="1"/>
  <c r="Q139" i="1"/>
  <c r="T50" i="1"/>
  <c r="T45" i="1"/>
  <c r="T58" i="1"/>
  <c r="S110" i="1" l="1"/>
  <c r="S118" i="1"/>
  <c r="S126" i="1"/>
  <c r="S111" i="1"/>
  <c r="S119" i="1"/>
  <c r="S127" i="1"/>
  <c r="S112" i="1"/>
  <c r="S120" i="1"/>
  <c r="S128" i="1"/>
  <c r="S113" i="1"/>
  <c r="S121" i="1"/>
  <c r="S129" i="1"/>
  <c r="S114" i="1"/>
  <c r="S122" i="1"/>
  <c r="S130" i="1"/>
  <c r="S124" i="1"/>
  <c r="S115" i="1"/>
  <c r="S123" i="1"/>
  <c r="S116" i="1"/>
  <c r="S117" i="1"/>
  <c r="S125" i="1"/>
  <c r="Q105" i="1"/>
  <c r="Q104" i="1"/>
  <c r="Q106" i="1"/>
  <c r="Q24" i="1"/>
  <c r="Q25" i="1"/>
  <c r="Q33" i="1"/>
  <c r="Q26" i="1"/>
  <c r="Q34" i="1"/>
  <c r="Q42" i="1"/>
  <c r="Q50" i="1"/>
  <c r="Q38" i="1"/>
  <c r="Q47" i="1"/>
  <c r="Q40" i="1"/>
  <c r="Q27" i="1"/>
  <c r="Q35" i="1"/>
  <c r="Q43" i="1"/>
  <c r="Q23" i="1"/>
  <c r="Q41" i="1"/>
  <c r="Q28" i="1"/>
  <c r="Q36" i="1"/>
  <c r="Q44" i="1"/>
  <c r="Q46" i="1"/>
  <c r="Q39" i="1"/>
  <c r="Q48" i="1"/>
  <c r="Q29" i="1"/>
  <c r="Q37" i="1"/>
  <c r="Q45" i="1"/>
  <c r="Q30" i="1"/>
  <c r="Q32" i="1"/>
  <c r="Q49" i="1"/>
  <c r="Q6" i="1"/>
  <c r="Q7" i="1"/>
  <c r="Q15" i="1"/>
  <c r="Q10" i="1"/>
  <c r="Q8" i="1"/>
  <c r="Q16" i="1"/>
  <c r="Q9" i="1"/>
  <c r="Q18" i="1"/>
  <c r="Q11" i="1"/>
  <c r="Q19" i="1"/>
  <c r="Q12" i="1"/>
  <c r="Q5" i="1"/>
  <c r="Q13" i="1"/>
  <c r="Q14" i="1"/>
  <c r="S139" i="1"/>
  <c r="Q120" i="1" l="1"/>
  <c r="Q136" i="1"/>
  <c r="Q113" i="1"/>
  <c r="Q121" i="1"/>
  <c r="Q129" i="1"/>
  <c r="Q114" i="1"/>
  <c r="Q122" i="1"/>
  <c r="Q130" i="1"/>
  <c r="Q115" i="1"/>
  <c r="Q123" i="1"/>
  <c r="Q109" i="1"/>
  <c r="Q51" i="1"/>
  <c r="Q117" i="1"/>
  <c r="Q118" i="1"/>
  <c r="Q116" i="1"/>
  <c r="Q124" i="1"/>
  <c r="Q131" i="1"/>
  <c r="Q110" i="1"/>
  <c r="Q126" i="1"/>
  <c r="Q125" i="1"/>
  <c r="Q111" i="1"/>
  <c r="Q119" i="1"/>
  <c r="Q127" i="1"/>
  <c r="Q107" i="1"/>
  <c r="Q112" i="1"/>
  <c r="Q128" i="1"/>
  <c r="Q101" i="1"/>
  <c r="Q80" i="1"/>
  <c r="Q20" i="1"/>
  <c r="U148" i="1"/>
  <c r="U130" i="1"/>
  <c r="U129" i="1"/>
  <c r="U45" i="1"/>
  <c r="U44" i="1"/>
  <c r="X109" i="1" l="1"/>
  <c r="W122" i="1"/>
  <c r="T19" i="1" l="1"/>
  <c r="U64" i="1"/>
  <c r="U65" i="1"/>
  <c r="X134" i="1" l="1"/>
  <c r="T100" i="1" l="1"/>
  <c r="T57" i="1" l="1"/>
  <c r="X111" i="1"/>
  <c r="T129" i="1"/>
  <c r="T130" i="1"/>
  <c r="T56" i="1"/>
  <c r="AA107" i="1" l="1"/>
  <c r="T18" i="1" l="1"/>
  <c r="AA20" i="1"/>
  <c r="U19" i="1"/>
  <c r="U18" i="1"/>
  <c r="S7" i="1" l="1"/>
  <c r="S15" i="1"/>
  <c r="S13" i="1"/>
  <c r="S6" i="1"/>
  <c r="S8" i="1"/>
  <c r="S16" i="1"/>
  <c r="S10" i="1"/>
  <c r="S14" i="1"/>
  <c r="S9" i="1"/>
  <c r="S18" i="1"/>
  <c r="S11" i="1"/>
  <c r="S19" i="1"/>
  <c r="S12" i="1"/>
  <c r="S5" i="1"/>
  <c r="T20" i="1"/>
  <c r="X55" i="1" l="1"/>
  <c r="X49" i="1"/>
  <c r="W49" i="1"/>
  <c r="V49" i="1"/>
  <c r="U49" i="1"/>
  <c r="T49" i="1"/>
  <c r="U76" i="1" l="1"/>
  <c r="U28" i="1"/>
  <c r="X76" i="1" l="1"/>
  <c r="W76" i="1"/>
  <c r="V76" i="1"/>
  <c r="T48" i="1" l="1"/>
  <c r="X129" i="1" l="1"/>
  <c r="W129" i="1"/>
  <c r="V129" i="1"/>
  <c r="X56" i="1"/>
  <c r="W56" i="1"/>
  <c r="V56" i="1"/>
  <c r="U56" i="1"/>
  <c r="X48" i="1"/>
  <c r="W48" i="1"/>
  <c r="U48" i="1"/>
  <c r="X145" i="1" l="1"/>
  <c r="W145" i="1"/>
  <c r="V145" i="1"/>
  <c r="T145" i="1"/>
  <c r="X128" i="1" l="1"/>
  <c r="W128" i="1"/>
  <c r="V128" i="1"/>
  <c r="U128" i="1"/>
  <c r="T128" i="1"/>
  <c r="X47" i="1" l="1"/>
  <c r="W47" i="1"/>
  <c r="V47" i="1"/>
  <c r="U47" i="1"/>
  <c r="T47" i="1"/>
  <c r="X105" i="1" l="1"/>
  <c r="W105" i="1"/>
  <c r="V105" i="1"/>
  <c r="U105" i="1"/>
  <c r="T105" i="1"/>
  <c r="X77" i="1" l="1"/>
  <c r="W77" i="1"/>
  <c r="V77" i="1"/>
  <c r="U77" i="1"/>
  <c r="T77" i="1"/>
  <c r="X144" i="1"/>
  <c r="W144" i="1"/>
  <c r="V144" i="1"/>
  <c r="T144" i="1"/>
  <c r="T148" i="1" l="1"/>
  <c r="X146" i="1"/>
  <c r="W146" i="1"/>
  <c r="V146" i="1"/>
  <c r="X140" i="1"/>
  <c r="W140" i="1"/>
  <c r="V140" i="1"/>
  <c r="T140" i="1"/>
  <c r="X135" i="1"/>
  <c r="W135" i="1"/>
  <c r="V135" i="1"/>
  <c r="T135" i="1"/>
  <c r="W134" i="1"/>
  <c r="V134" i="1"/>
  <c r="X139" i="1"/>
  <c r="W139" i="1"/>
  <c r="V139" i="1"/>
  <c r="T139" i="1"/>
  <c r="X133" i="1"/>
  <c r="W133" i="1"/>
  <c r="V133" i="1"/>
  <c r="U133" i="1"/>
  <c r="T133" i="1"/>
  <c r="AA131" i="1"/>
  <c r="X130" i="1"/>
  <c r="W130" i="1"/>
  <c r="V130" i="1"/>
  <c r="X126" i="1"/>
  <c r="W126" i="1"/>
  <c r="V126" i="1"/>
  <c r="U126" i="1"/>
  <c r="X120" i="1"/>
  <c r="W120" i="1"/>
  <c r="U120" i="1"/>
  <c r="T120" i="1"/>
  <c r="W119" i="1"/>
  <c r="U119" i="1"/>
  <c r="T119" i="1"/>
  <c r="X123" i="1"/>
  <c r="W123" i="1"/>
  <c r="V123" i="1"/>
  <c r="U123" i="1"/>
  <c r="T123" i="1"/>
  <c r="X122" i="1"/>
  <c r="V122" i="1"/>
  <c r="U122" i="1"/>
  <c r="T122" i="1"/>
  <c r="X118" i="1"/>
  <c r="W118" i="1"/>
  <c r="V118" i="1"/>
  <c r="U118" i="1"/>
  <c r="T118" i="1"/>
  <c r="W121" i="1"/>
  <c r="V121" i="1"/>
  <c r="U121" i="1"/>
  <c r="T121" i="1"/>
  <c r="X116" i="1"/>
  <c r="W116" i="1"/>
  <c r="V116" i="1"/>
  <c r="U116" i="1"/>
  <c r="T116" i="1"/>
  <c r="X117" i="1"/>
  <c r="W117" i="1"/>
  <c r="V117" i="1"/>
  <c r="U117" i="1"/>
  <c r="T117" i="1"/>
  <c r="X115" i="1"/>
  <c r="W115" i="1"/>
  <c r="V115" i="1"/>
  <c r="U115" i="1"/>
  <c r="T115" i="1"/>
  <c r="X114" i="1"/>
  <c r="W114" i="1"/>
  <c r="V114" i="1"/>
  <c r="U114" i="1"/>
  <c r="T114" i="1"/>
  <c r="X127" i="1"/>
  <c r="W127" i="1"/>
  <c r="V127" i="1"/>
  <c r="U127" i="1"/>
  <c r="T127" i="1"/>
  <c r="X113" i="1"/>
  <c r="W113" i="1"/>
  <c r="V113" i="1"/>
  <c r="U113" i="1"/>
  <c r="T113" i="1"/>
  <c r="X112" i="1"/>
  <c r="W112" i="1"/>
  <c r="V112" i="1"/>
  <c r="U112" i="1"/>
  <c r="T112" i="1"/>
  <c r="W111" i="1"/>
  <c r="V111" i="1"/>
  <c r="U111" i="1"/>
  <c r="T111" i="1"/>
  <c r="X110" i="1"/>
  <c r="W110" i="1"/>
  <c r="V110" i="1"/>
  <c r="U110" i="1"/>
  <c r="T110" i="1"/>
  <c r="W109" i="1"/>
  <c r="V109" i="1"/>
  <c r="U109" i="1"/>
  <c r="T109" i="1"/>
  <c r="R107" i="1"/>
  <c r="Q103" i="1"/>
  <c r="X106" i="1"/>
  <c r="W106" i="1"/>
  <c r="V106" i="1"/>
  <c r="U106" i="1"/>
  <c r="T106" i="1"/>
  <c r="X104" i="1"/>
  <c r="W104" i="1"/>
  <c r="V104" i="1"/>
  <c r="U104" i="1"/>
  <c r="T104" i="1"/>
  <c r="X103" i="1"/>
  <c r="W103" i="1"/>
  <c r="V103" i="1"/>
  <c r="U103" i="1"/>
  <c r="T103" i="1"/>
  <c r="X78" i="1"/>
  <c r="W78" i="1"/>
  <c r="V78" i="1"/>
  <c r="U78" i="1"/>
  <c r="T78" i="1"/>
  <c r="X75" i="1"/>
  <c r="W75" i="1"/>
  <c r="V75" i="1"/>
  <c r="U75" i="1"/>
  <c r="T75" i="1"/>
  <c r="X74" i="1"/>
  <c r="W74" i="1"/>
  <c r="V74" i="1"/>
  <c r="U74" i="1"/>
  <c r="T74" i="1"/>
  <c r="X143" i="1"/>
  <c r="W143" i="1"/>
  <c r="V143" i="1"/>
  <c r="U143" i="1"/>
  <c r="T143" i="1"/>
  <c r="X73" i="1"/>
  <c r="W73" i="1"/>
  <c r="V73" i="1"/>
  <c r="U73" i="1"/>
  <c r="T73" i="1"/>
  <c r="X72" i="1"/>
  <c r="W72" i="1"/>
  <c r="V72" i="1"/>
  <c r="U72" i="1"/>
  <c r="T72" i="1"/>
  <c r="X95" i="1"/>
  <c r="W95" i="1"/>
  <c r="V95" i="1"/>
  <c r="U95" i="1"/>
  <c r="T95" i="1"/>
  <c r="X60" i="1"/>
  <c r="W60" i="1"/>
  <c r="V60" i="1"/>
  <c r="U60" i="1"/>
  <c r="T60" i="1"/>
  <c r="X71" i="1"/>
  <c r="W71" i="1"/>
  <c r="V71" i="1"/>
  <c r="U71" i="1"/>
  <c r="T71" i="1"/>
  <c r="X70" i="1"/>
  <c r="W70" i="1"/>
  <c r="V70" i="1"/>
  <c r="U70" i="1"/>
  <c r="X94" i="1"/>
  <c r="W94" i="1"/>
  <c r="V94" i="1"/>
  <c r="U94" i="1"/>
  <c r="T94" i="1"/>
  <c r="X69" i="1"/>
  <c r="W69" i="1"/>
  <c r="V69" i="1"/>
  <c r="U69" i="1"/>
  <c r="T69" i="1"/>
  <c r="X67" i="1"/>
  <c r="W67" i="1"/>
  <c r="V67" i="1"/>
  <c r="U67" i="1"/>
  <c r="T67" i="1"/>
  <c r="X68" i="1"/>
  <c r="W68" i="1"/>
  <c r="V68" i="1"/>
  <c r="U68" i="1"/>
  <c r="T68" i="1"/>
  <c r="X66" i="1"/>
  <c r="W66" i="1"/>
  <c r="V66" i="1"/>
  <c r="U66" i="1"/>
  <c r="T66" i="1"/>
  <c r="X65" i="1"/>
  <c r="W65" i="1"/>
  <c r="V65" i="1"/>
  <c r="T65" i="1"/>
  <c r="X64" i="1"/>
  <c r="W64" i="1"/>
  <c r="V64" i="1"/>
  <c r="T64" i="1"/>
  <c r="X63" i="1"/>
  <c r="W63" i="1"/>
  <c r="V63" i="1"/>
  <c r="U63" i="1"/>
  <c r="T63" i="1"/>
  <c r="X62" i="1"/>
  <c r="W62" i="1"/>
  <c r="V62" i="1"/>
  <c r="U62" i="1"/>
  <c r="T62" i="1"/>
  <c r="X61" i="1"/>
  <c r="W61" i="1"/>
  <c r="V61" i="1"/>
  <c r="U61" i="1"/>
  <c r="T61" i="1"/>
  <c r="X59" i="1"/>
  <c r="W59" i="1"/>
  <c r="V59" i="1"/>
  <c r="U59" i="1"/>
  <c r="T59" i="1"/>
  <c r="X58" i="1"/>
  <c r="W58" i="1"/>
  <c r="V58" i="1"/>
  <c r="U58" i="1"/>
  <c r="X57" i="1"/>
  <c r="W57" i="1"/>
  <c r="V57" i="1"/>
  <c r="U57" i="1"/>
  <c r="W55" i="1"/>
  <c r="V55" i="1"/>
  <c r="U55" i="1"/>
  <c r="T55" i="1"/>
  <c r="X54" i="1"/>
  <c r="W54" i="1"/>
  <c r="V54" i="1"/>
  <c r="U54" i="1"/>
  <c r="T54" i="1"/>
  <c r="X53" i="1"/>
  <c r="W53" i="1"/>
  <c r="V53" i="1"/>
  <c r="U53" i="1"/>
  <c r="T53" i="1"/>
  <c r="AA51" i="1"/>
  <c r="R51" i="1"/>
  <c r="X50" i="1"/>
  <c r="W50" i="1"/>
  <c r="V50" i="1"/>
  <c r="U50" i="1"/>
  <c r="X46" i="1"/>
  <c r="W46" i="1"/>
  <c r="V46" i="1"/>
  <c r="U46" i="1"/>
  <c r="T46" i="1"/>
  <c r="X45" i="1"/>
  <c r="W45" i="1"/>
  <c r="V45" i="1"/>
  <c r="X44" i="1"/>
  <c r="W44" i="1"/>
  <c r="V44" i="1"/>
  <c r="T44" i="1"/>
  <c r="X43" i="1"/>
  <c r="W43" i="1"/>
  <c r="V43" i="1"/>
  <c r="U43" i="1"/>
  <c r="T43" i="1"/>
  <c r="X42" i="1"/>
  <c r="W42" i="1"/>
  <c r="U42" i="1"/>
  <c r="T42" i="1"/>
  <c r="X41" i="1"/>
  <c r="W41" i="1"/>
  <c r="V41" i="1"/>
  <c r="U41" i="1"/>
  <c r="T41" i="1"/>
  <c r="X40" i="1"/>
  <c r="W40" i="1"/>
  <c r="V40" i="1"/>
  <c r="U40" i="1"/>
  <c r="T40" i="1"/>
  <c r="X39" i="1"/>
  <c r="W39" i="1"/>
  <c r="V39" i="1"/>
  <c r="U39" i="1"/>
  <c r="T39" i="1"/>
  <c r="X38" i="1"/>
  <c r="W38" i="1"/>
  <c r="V38" i="1"/>
  <c r="U38" i="1"/>
  <c r="T38" i="1"/>
  <c r="X37" i="1"/>
  <c r="W37" i="1"/>
  <c r="V37" i="1"/>
  <c r="U37" i="1"/>
  <c r="T37" i="1"/>
  <c r="X36" i="1"/>
  <c r="W36" i="1"/>
  <c r="V36" i="1"/>
  <c r="U36" i="1"/>
  <c r="T36" i="1"/>
  <c r="W35" i="1"/>
  <c r="U35" i="1"/>
  <c r="T35" i="1"/>
  <c r="X34" i="1"/>
  <c r="W34" i="1"/>
  <c r="U34" i="1"/>
  <c r="T34" i="1"/>
  <c r="X33" i="1"/>
  <c r="W33" i="1"/>
  <c r="V33" i="1"/>
  <c r="U33" i="1"/>
  <c r="T33" i="1"/>
  <c r="X32" i="1"/>
  <c r="W32" i="1"/>
  <c r="V32" i="1"/>
  <c r="U32" i="1"/>
  <c r="T32" i="1"/>
  <c r="X31" i="1"/>
  <c r="W31" i="1"/>
  <c r="V31" i="1"/>
  <c r="U31" i="1"/>
  <c r="T31" i="1"/>
  <c r="X30" i="1"/>
  <c r="W30" i="1"/>
  <c r="V30" i="1"/>
  <c r="U30" i="1"/>
  <c r="T30" i="1"/>
  <c r="X29" i="1"/>
  <c r="W29" i="1"/>
  <c r="V29" i="1"/>
  <c r="U29" i="1"/>
  <c r="T29" i="1"/>
  <c r="X28" i="1"/>
  <c r="W28" i="1"/>
  <c r="V28" i="1"/>
  <c r="T28" i="1"/>
  <c r="X27" i="1"/>
  <c r="W27" i="1"/>
  <c r="V27" i="1"/>
  <c r="U27" i="1"/>
  <c r="T27" i="1"/>
  <c r="X26" i="1"/>
  <c r="W26" i="1"/>
  <c r="V26" i="1"/>
  <c r="U26" i="1"/>
  <c r="T26" i="1"/>
  <c r="X25" i="1"/>
  <c r="W25" i="1"/>
  <c r="V25" i="1"/>
  <c r="U25" i="1"/>
  <c r="T25" i="1"/>
  <c r="X24" i="1"/>
  <c r="W24" i="1"/>
  <c r="V24" i="1"/>
  <c r="U24" i="1"/>
  <c r="T24" i="1"/>
  <c r="X23" i="1"/>
  <c r="W23" i="1"/>
  <c r="V23" i="1"/>
  <c r="U23" i="1"/>
  <c r="T23" i="1"/>
  <c r="X22" i="1"/>
  <c r="W22" i="1"/>
  <c r="V22" i="1"/>
  <c r="U22" i="1"/>
  <c r="T22" i="1"/>
  <c r="X18" i="1"/>
  <c r="W18" i="1"/>
  <c r="V18" i="1"/>
  <c r="X16" i="1"/>
  <c r="W16" i="1"/>
  <c r="V16" i="1"/>
  <c r="U16" i="1"/>
  <c r="T16" i="1"/>
  <c r="X15" i="1"/>
  <c r="W15" i="1"/>
  <c r="V15" i="1"/>
  <c r="U15" i="1"/>
  <c r="T15" i="1"/>
  <c r="X14" i="1"/>
  <c r="W14" i="1"/>
  <c r="V14" i="1"/>
  <c r="U14" i="1"/>
  <c r="T14" i="1"/>
  <c r="X13" i="1"/>
  <c r="W13" i="1"/>
  <c r="V13" i="1"/>
  <c r="U13" i="1"/>
  <c r="T13" i="1"/>
  <c r="X12" i="1"/>
  <c r="W12" i="1"/>
  <c r="V12" i="1"/>
  <c r="U12" i="1"/>
  <c r="T12" i="1"/>
  <c r="X11" i="1"/>
  <c r="W11" i="1"/>
  <c r="V11" i="1"/>
  <c r="U11" i="1"/>
  <c r="T11" i="1"/>
  <c r="X10" i="1"/>
  <c r="W10" i="1"/>
  <c r="V10" i="1"/>
  <c r="U10" i="1"/>
  <c r="T10" i="1"/>
  <c r="X9" i="1"/>
  <c r="W9" i="1"/>
  <c r="V9" i="1"/>
  <c r="U9" i="1"/>
  <c r="T9" i="1"/>
  <c r="X8" i="1"/>
  <c r="W8" i="1"/>
  <c r="V8" i="1"/>
  <c r="U8" i="1"/>
  <c r="T8" i="1"/>
  <c r="X7" i="1"/>
  <c r="W7" i="1"/>
  <c r="V7" i="1"/>
  <c r="U7" i="1"/>
  <c r="T7" i="1"/>
  <c r="X6" i="1"/>
  <c r="W6" i="1"/>
  <c r="V6" i="1"/>
  <c r="U6" i="1"/>
  <c r="T6" i="1"/>
  <c r="X5" i="1"/>
  <c r="W5" i="1"/>
  <c r="V5" i="1"/>
  <c r="U5" i="1"/>
  <c r="T5" i="1"/>
  <c r="X4" i="1"/>
  <c r="W4" i="1"/>
  <c r="V4" i="1"/>
  <c r="U4" i="1"/>
  <c r="T4" i="1"/>
  <c r="S51" i="1" l="1"/>
  <c r="AA149" i="1"/>
  <c r="S104" i="1"/>
  <c r="S106" i="1"/>
  <c r="S105" i="1"/>
  <c r="S29" i="1"/>
  <c r="S37" i="1"/>
  <c r="S45" i="1"/>
  <c r="S40" i="1"/>
  <c r="S42" i="1"/>
  <c r="S30" i="1"/>
  <c r="S38" i="1"/>
  <c r="S46" i="1"/>
  <c r="S24" i="1"/>
  <c r="S23" i="1"/>
  <c r="S31" i="1"/>
  <c r="S39" i="1"/>
  <c r="S47" i="1"/>
  <c r="S32" i="1"/>
  <c r="S48" i="1"/>
  <c r="S50" i="1"/>
  <c r="S25" i="1"/>
  <c r="S33" i="1"/>
  <c r="S41" i="1"/>
  <c r="S49" i="1"/>
  <c r="S26" i="1"/>
  <c r="S34" i="1"/>
  <c r="S27" i="1"/>
  <c r="S35" i="1"/>
  <c r="S43" i="1"/>
  <c r="S28" i="1"/>
  <c r="S36" i="1"/>
  <c r="S44" i="1"/>
  <c r="T80" i="1"/>
  <c r="S94" i="1"/>
  <c r="S103" i="1"/>
  <c r="S109" i="1"/>
  <c r="Q4" i="1"/>
  <c r="Q22" i="1"/>
  <c r="T131" i="1"/>
  <c r="S22" i="1"/>
  <c r="T101" i="1"/>
  <c r="T51" i="1"/>
  <c r="S4" i="1"/>
  <c r="T107" i="1"/>
  <c r="S80" i="1" l="1"/>
  <c r="S101" i="1"/>
  <c r="S107" i="1"/>
  <c r="S20" i="1"/>
  <c r="S131" i="1"/>
  <c r="S148" i="1"/>
  <c r="S136" i="1"/>
  <c r="V119" i="1"/>
</calcChain>
</file>

<file path=xl/sharedStrings.xml><?xml version="1.0" encoding="utf-8"?>
<sst xmlns="http://schemas.openxmlformats.org/spreadsheetml/2006/main" count="311" uniqueCount="217">
  <si>
    <t>FUND MANAGER</t>
  </si>
  <si>
    <t>FUND</t>
  </si>
  <si>
    <t>EQUITIES</t>
  </si>
  <si>
    <t>UNQUOTED EQUITIES</t>
  </si>
  <si>
    <t>MONEY MARKET</t>
  </si>
  <si>
    <t>BONDS</t>
  </si>
  <si>
    <t>REAL ESTATE</t>
  </si>
  <si>
    <t>OTHERS</t>
  </si>
  <si>
    <t xml:space="preserve">TOTAL VALUE OF INVESTMENT (N)               </t>
  </si>
  <si>
    <t>TOTAL EXPENSES (N)</t>
  </si>
  <si>
    <t>NET INCOME/LOSS</t>
  </si>
  <si>
    <t>GROSS ASSET VALUE (N)</t>
  </si>
  <si>
    <t>TOTAL LIABILITIES (N)</t>
  </si>
  <si>
    <t>% ON TOTAL</t>
  </si>
  <si>
    <t>% CHANGE IN NAV</t>
  </si>
  <si>
    <t>EXPENSE RATIO (%)</t>
  </si>
  <si>
    <t>Return on Equity (RoE)</t>
  </si>
  <si>
    <t>Net Asset Per Unit</t>
  </si>
  <si>
    <t>Earnings Per Unit (EPU)</t>
  </si>
  <si>
    <t>BID PRICE (N)</t>
  </si>
  <si>
    <t>OFFER PRICE (N)</t>
  </si>
  <si>
    <t>NUMBER OF UNIT HOLDERS</t>
  </si>
  <si>
    <t>NUMBER OF UNITS</t>
  </si>
  <si>
    <t>EQUITY BASED FUNDS</t>
  </si>
  <si>
    <t>Stanbic IBTC Asset Mgt. Limited</t>
  </si>
  <si>
    <t>Stanbic IBTC Nigerian Equity Fund</t>
  </si>
  <si>
    <t>First City Asset Management Plc</t>
  </si>
  <si>
    <t>Legacy Equity Fund</t>
  </si>
  <si>
    <t>SCM Capital Limited</t>
  </si>
  <si>
    <t>Frontier Fund</t>
  </si>
  <si>
    <t>Chapel Hill Denham Mgt. Limited</t>
  </si>
  <si>
    <t>Paramount Equity Fund</t>
  </si>
  <si>
    <t>Afrinvest Asset Management Ltd.</t>
  </si>
  <si>
    <t>Afrinvest Equity Fund</t>
  </si>
  <si>
    <t>United Capital Asset Mgt. Ltd</t>
  </si>
  <si>
    <t>United Capital Equity Fund</t>
  </si>
  <si>
    <t xml:space="preserve">ARM Investment Managers Limited </t>
  </si>
  <si>
    <t>ARM Aggressive Growth Fund</t>
  </si>
  <si>
    <t>FBN Capital Asset Mgt</t>
  </si>
  <si>
    <t>FBN Nigeria Smart Beta Equity Fund</t>
  </si>
  <si>
    <t>Meristem Wealth Management Limited</t>
  </si>
  <si>
    <t>Meristem Equity Market Fund</t>
  </si>
  <si>
    <t>Stanbic IBTC Aggressive Fund (Sub Fund)</t>
  </si>
  <si>
    <t>AXA Mansard Investments Limited</t>
  </si>
  <si>
    <t>AXA Mansard Equity Income Fund</t>
  </si>
  <si>
    <t>Investment One Funds Management Limited</t>
  </si>
  <si>
    <t>Vantage Equity Income Fund</t>
  </si>
  <si>
    <t>PAC Asset Management Ltd.</t>
  </si>
  <si>
    <t>Pacam Equity Fund</t>
  </si>
  <si>
    <t>Global Asset Management Nig. Ltd</t>
  </si>
  <si>
    <t>Continental Unit Trust Fund (Inactive)</t>
  </si>
  <si>
    <t>Anchoria Asset Management Limited</t>
  </si>
  <si>
    <t>Anchoria Equity Fund</t>
  </si>
  <si>
    <t>Sub Total</t>
  </si>
  <si>
    <t>MONEY MARKET FUNDS</t>
  </si>
  <si>
    <t>Stanbic IBTC Money Market Fund</t>
  </si>
  <si>
    <t>FBN Capital Asset Mgt. Limited</t>
  </si>
  <si>
    <t>FBN Money Market Fund</t>
  </si>
  <si>
    <t>United Capital Money Market Fund</t>
  </si>
  <si>
    <t>AIICO Capital Ltd</t>
  </si>
  <si>
    <t>AIICO Money Market Fund</t>
  </si>
  <si>
    <t>ARM Money Market Fund</t>
  </si>
  <si>
    <t>Meristem Money Market Fund</t>
  </si>
  <si>
    <t>AXA Mansard Money Market Fund</t>
  </si>
  <si>
    <t xml:space="preserve">Greenwich Asst Management Ltd </t>
  </si>
  <si>
    <t>Greenwich Plus Money Market</t>
  </si>
  <si>
    <t>Cordros Asset Management Limited</t>
  </si>
  <si>
    <t>Cordros Money Market Fund</t>
  </si>
  <si>
    <t>PACAM Money Market Fund</t>
  </si>
  <si>
    <t>Chapel Hill Denham Money Market Fund(Frml NGIF)</t>
  </si>
  <si>
    <t>Abacus Money Market Fund</t>
  </si>
  <si>
    <t>EDC Fund Management</t>
  </si>
  <si>
    <t>EDC Money Market Class B</t>
  </si>
  <si>
    <t>Coronation Asset Management Limited</t>
  </si>
  <si>
    <t>Coronation Money Market Fund</t>
  </si>
  <si>
    <t>Zenith Asset Management Ltd</t>
  </si>
  <si>
    <t>Zenith Money Market Fund</t>
  </si>
  <si>
    <t>Afrinvest Plutus Fund</t>
  </si>
  <si>
    <t>Legacy Money Market Fund</t>
  </si>
  <si>
    <t xml:space="preserve">Growth and Development Asset Management Limited </t>
  </si>
  <si>
    <t>GDL Money Market Fund</t>
  </si>
  <si>
    <t>Vetiva Fund Managers Limited</t>
  </si>
  <si>
    <t>Vetiva Money Market Fund</t>
  </si>
  <si>
    <t>FSDH Asset Management Ltd</t>
  </si>
  <si>
    <t>FAAM Money Market Fund</t>
  </si>
  <si>
    <t>Anchoria Money Market Fund</t>
  </si>
  <si>
    <t>Trustbanc Asset Management Limited</t>
  </si>
  <si>
    <t>Trustbanc Money Market Fund</t>
  </si>
  <si>
    <t>ValuAlliance Asset Management Limited</t>
  </si>
  <si>
    <t>ValuAlliance Money Market Fund</t>
  </si>
  <si>
    <t>NOVAMBL Asset Management Limited</t>
  </si>
  <si>
    <t>NOVA Prime Money Market Fund</t>
  </si>
  <si>
    <t xml:space="preserve"> </t>
  </si>
  <si>
    <t>Stanbic IBTC Bond Fund</t>
  </si>
  <si>
    <t>Nigeria International Debt Fund</t>
  </si>
  <si>
    <t>Legacy USD Bond Fund</t>
  </si>
  <si>
    <t>Pacam Eurobond Fund</t>
  </si>
  <si>
    <t>Afrinvest Dollar Fund</t>
  </si>
  <si>
    <t>ARM Eurobond Fund</t>
  </si>
  <si>
    <t>Coral Income Fund</t>
  </si>
  <si>
    <t>United Capital Fixed Income Fund</t>
  </si>
  <si>
    <t>Vantage Guaranteed Income Fund</t>
  </si>
  <si>
    <t>Capital Express Assset &amp; Trust Limited</t>
  </si>
  <si>
    <t>CEAT Fixed Income Fund(Frml BGL Sapphire)</t>
  </si>
  <si>
    <t>Stanbic IBTC Guaranteed Investment Fund</t>
  </si>
  <si>
    <t>SFS Capital Nigeria Ltd</t>
  </si>
  <si>
    <t>SFS Fixed Income Fund</t>
  </si>
  <si>
    <t>Stanbic IBTC Absolute Fund (Sub Fund)</t>
  </si>
  <si>
    <t>Stanbic IBTC Conservative Fund (Sub Fund)</t>
  </si>
  <si>
    <t>Lotus Capital Limited</t>
  </si>
  <si>
    <t>PACAM Fixed Income Fund</t>
  </si>
  <si>
    <t>Stanbic IBTC Dollar Fund</t>
  </si>
  <si>
    <t>Kedari Investment Fund</t>
  </si>
  <si>
    <t>Zenith Income Fund</t>
  </si>
  <si>
    <t>Vantage Dollar Fund</t>
  </si>
  <si>
    <t>Lead Asset Mgt Ltd</t>
  </si>
  <si>
    <t xml:space="preserve">Lead Fixed Income Fund </t>
  </si>
  <si>
    <t>Coronation Fixed Income Fund</t>
  </si>
  <si>
    <t>Stanbic IBTC Shariah Fixed Income Fund</t>
  </si>
  <si>
    <t>Anchoria Fixed Income Fund</t>
  </si>
  <si>
    <t>Cordros Dollar Fund</t>
  </si>
  <si>
    <t>ARM Fixed Income Fund</t>
  </si>
  <si>
    <t>AVA Global Asset Managers Limited</t>
  </si>
  <si>
    <t>AVA GAM Fixed Income Dollar Fund</t>
  </si>
  <si>
    <t>FSDH Dollar Fund</t>
  </si>
  <si>
    <t>NOVA Dollar Fixed Income Fund</t>
  </si>
  <si>
    <t>REAL ESTATE FUNDS</t>
  </si>
  <si>
    <t>SFS Real Estate Investment Trust Fund</t>
  </si>
  <si>
    <t>Union Homes REITS</t>
  </si>
  <si>
    <t>UPDC Real Estate Investment Fund</t>
  </si>
  <si>
    <t>Nigeria Real Estate Investment Trust</t>
  </si>
  <si>
    <t>Stanbic IBTC Balanced Fund</t>
  </si>
  <si>
    <t>United Capital Balanced Fund</t>
  </si>
  <si>
    <t>Capital Express Balanced Fund</t>
  </si>
  <si>
    <t>AIICO Balanced Fund</t>
  </si>
  <si>
    <t>FBN Balanced Fund</t>
  </si>
  <si>
    <t>ValuAlliance Value Fund</t>
  </si>
  <si>
    <t>Wealth For Women Fund</t>
  </si>
  <si>
    <t>Nigeria Energy Sector Fund</t>
  </si>
  <si>
    <t>Coronation Balanced Fund</t>
  </si>
  <si>
    <t>Cordros Milestone Fund</t>
  </si>
  <si>
    <t>Vantage Balanced Fund</t>
  </si>
  <si>
    <t>PACAM Balanced Fund</t>
  </si>
  <si>
    <t xml:space="preserve">Lead Balanced Fund </t>
  </si>
  <si>
    <t>ETHICAL FUNDS</t>
  </si>
  <si>
    <t>Stanbic IBTC Ethical Fund</t>
  </si>
  <si>
    <t>ARM Ethical Fund</t>
  </si>
  <si>
    <t>Stanbic IBTC Imaan Fund</t>
  </si>
  <si>
    <t>Grand Total</t>
  </si>
  <si>
    <t>CardinalStone Asset Mgt. Limited</t>
  </si>
  <si>
    <t>CardinalStone Fixed Income Alpha Fund</t>
  </si>
  <si>
    <t>GDL Income Fund</t>
  </si>
  <si>
    <t>Coral Money Market Fund (FSDH Treasury Bill Fund)</t>
  </si>
  <si>
    <t>AVA GAM Fixed Income Naira Fund</t>
  </si>
  <si>
    <t>Norrenberger Investment and Capital Management Limited</t>
  </si>
  <si>
    <t>Norrenberger Islamic Fund</t>
  </si>
  <si>
    <t>Core Asset Management Limited</t>
  </si>
  <si>
    <t>Core Investment Money Market Fund</t>
  </si>
  <si>
    <t>Core Value Mixed Fund</t>
  </si>
  <si>
    <t>United Capital Sukuk Fund</t>
  </si>
  <si>
    <t>Emerging Africa Asset Management Limited</t>
  </si>
  <si>
    <t>Emerging Africa Money Market Fund</t>
  </si>
  <si>
    <t>Emerging Africa Bond Fund</t>
  </si>
  <si>
    <t>Emerging Africa Eurobond Fund</t>
  </si>
  <si>
    <t>Stanbic IBTC Enhanced Short-Term Fixed Income Fund</t>
  </si>
  <si>
    <t>Note:</t>
  </si>
  <si>
    <t>*Continental Unit Trust Scheme is Inactive*</t>
  </si>
  <si>
    <t>TOTAL INCOME (N)</t>
  </si>
  <si>
    <t>Lotus Halal Investment  Fund</t>
  </si>
  <si>
    <t>ARM Discovery Balanced Fund</t>
  </si>
  <si>
    <t>EDC Money Market Class A</t>
  </si>
  <si>
    <t>Norrenberger Money Market Fund</t>
  </si>
  <si>
    <t xml:space="preserve">Futureview Asset Management Limited </t>
  </si>
  <si>
    <t>Futureview Equity Fund</t>
  </si>
  <si>
    <t>First Ally Asset Management Limited</t>
  </si>
  <si>
    <t>Coral Balanced Fund</t>
  </si>
  <si>
    <t>Women's Balanced Fund</t>
  </si>
  <si>
    <t>GDL Canary Balanced Fund</t>
  </si>
  <si>
    <t>DOLLAR FUNDS (EUROBONDS)</t>
  </si>
  <si>
    <t>DOLLAR FUND</t>
  </si>
  <si>
    <t>DOLLAR FUNDS (FIXED INCOME)</t>
  </si>
  <si>
    <t>FBNQuest Asset Management Limited</t>
  </si>
  <si>
    <t>First City Asset Management Ltd.</t>
  </si>
  <si>
    <t>Nigeria Dollar Income Fund</t>
  </si>
  <si>
    <t>MIXED FUNDS</t>
  </si>
  <si>
    <t>ESG Impact Fund</t>
  </si>
  <si>
    <t>SHARI'AH COMPLIANT FUNDS</t>
  </si>
  <si>
    <t>SHARI'AH COMPLIANT FUNDS (EQUITIES)</t>
  </si>
  <si>
    <t>SHARI'AH COMPLIANT FUNDS (FIXED INCOME)</t>
  </si>
  <si>
    <t>FBN Halal Fund</t>
  </si>
  <si>
    <t>Norrenberger Investment &amp; Capital Management Limited</t>
  </si>
  <si>
    <t>BOND/FIXED INCOME FUNDS</t>
  </si>
  <si>
    <t>FBN Bond Fund (FBN Fixed Income Fund)</t>
  </si>
  <si>
    <t>Legacy Debt Fund</t>
  </si>
  <si>
    <t>Balanced Strategy Fund</t>
  </si>
  <si>
    <t>NOVA Hybrid Balanced Fund</t>
  </si>
  <si>
    <t>Emerging Africa Balanced-Diversity Fund (Gender/Diversity)</t>
  </si>
  <si>
    <t>S/N</t>
  </si>
  <si>
    <t>Stanbic IBTC Asset Management Limited</t>
  </si>
  <si>
    <t xml:space="preserve">Nigerian Eurobond Fund </t>
  </si>
  <si>
    <t>Chapel Hill Denham Nigeria Bond Fund</t>
  </si>
  <si>
    <t>FBN Dollar Fund (Institutional)</t>
  </si>
  <si>
    <t>FBN Dollar Fund (Retail)</t>
  </si>
  <si>
    <t>-</t>
  </si>
  <si>
    <t>Halal Fixed Income Fund</t>
  </si>
  <si>
    <t xml:space="preserve">AXA Mansard Investments Limited </t>
  </si>
  <si>
    <t>EDC Nigeria Fixed Income Fund</t>
  </si>
  <si>
    <t xml:space="preserve">Capital Trust Investments &amp; Asset Mgt. Ltd </t>
  </si>
  <si>
    <t>NET ASSET VALUE  (N) PREVIOUS (JANUARY)</t>
  </si>
  <si>
    <t>SPREADSHEET OF REGISTERED MUTUAL FUNDS AS AT 28TH FEBRUARY, 2022</t>
  </si>
  <si>
    <t xml:space="preserve">NET ASSET VALUE  (N) </t>
  </si>
  <si>
    <t>Nigerian Entertainment Fund</t>
  </si>
  <si>
    <t>28,479,108.01</t>
  </si>
  <si>
    <t>920,216,839.546095458.91</t>
  </si>
  <si>
    <t>AXA Mansard Dollar Bond Fund</t>
  </si>
  <si>
    <t>73a</t>
  </si>
  <si>
    <t>73b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</si>
</sst>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64" formatCode="_(* #,##0.00_);_(* \(#,##0.00\);_(* &quot;-&quot;??_);_(@_)"/>
    <numFmt numFmtId="165" formatCode="&quot; &quot;* #,##0&quot; &quot;;&quot;-&quot;* #,##0&quot; &quot;;&quot; &quot;* &quot;-&quot;??&quot; &quot;"/>
    <numFmt numFmtId="166" formatCode="&quot; &quot;* #,##0.00&quot; &quot;;&quot;-&quot;* #,##0.00&quot; &quot;;&quot; &quot;* &quot;-&quot;??&quot; &quot;"/>
    <numFmt numFmtId="167" formatCode="&quot; &quot;* #,##0.00&quot; &quot;;&quot; &quot;* \(#,##0.00\);&quot; &quot;* &quot;-&quot;??&quot; &quot;"/>
    <numFmt numFmtId="168" formatCode="_-* #,##0_-;\-* #,##0_-;_-* &quot;-&quot;??_-;_-@_-"/>
  </numFmts>
  <fonts count="25">
    <font>
      <sz val="11"/>
      <color indexed="8"/>
      <name val="Calibri"/>
    </font>
    <font>
      <b/>
      <sz val="12"/>
      <color indexed="8"/>
      <name val="Trebuchet MS"/>
      <family val="2"/>
    </font>
    <font>
      <sz val="12"/>
      <color indexed="8"/>
      <name val="Calibri"/>
      <family val="2"/>
    </font>
    <font>
      <sz val="8"/>
      <color indexed="8"/>
      <name val="Trebuchet MS"/>
      <family val="2"/>
    </font>
    <font>
      <b/>
      <sz val="8"/>
      <color indexed="8"/>
      <name val="Trebuchet MS"/>
      <family val="2"/>
    </font>
    <font>
      <sz val="12"/>
      <color indexed="8"/>
      <name val="Trebuchet MS"/>
      <family val="2"/>
    </font>
    <font>
      <sz val="8"/>
      <color indexed="9"/>
      <name val="Trebuchet MS"/>
      <family val="2"/>
    </font>
    <font>
      <b/>
      <sz val="12"/>
      <color indexed="8"/>
      <name val="Calibri"/>
      <family val="2"/>
    </font>
    <font>
      <i/>
      <sz val="12"/>
      <color indexed="8"/>
      <name val="Arial Narrow"/>
      <family val="2"/>
    </font>
    <font>
      <sz val="11"/>
      <color indexed="8"/>
      <name val="Calibri"/>
      <family val="2"/>
    </font>
    <font>
      <b/>
      <sz val="8"/>
      <color rgb="FFFF0000"/>
      <name val="Trebuchet MS"/>
      <family val="2"/>
    </font>
    <font>
      <sz val="8"/>
      <name val="Trebuchet MS"/>
      <family val="2"/>
    </font>
    <font>
      <b/>
      <sz val="36"/>
      <color indexed="9"/>
      <name val="Trebuchet MS"/>
      <family val="2"/>
    </font>
    <font>
      <sz val="8"/>
      <color rgb="FFFF0000"/>
      <name val="Trebuchet MS"/>
      <family val="2"/>
    </font>
    <font>
      <b/>
      <sz val="10"/>
      <color indexed="8"/>
      <name val="Calibri"/>
      <family val="2"/>
    </font>
    <font>
      <sz val="10"/>
      <color indexed="8"/>
      <name val="Arial Narrow"/>
      <family val="2"/>
    </font>
    <font>
      <sz val="8"/>
      <name val="Calibri"/>
      <family val="2"/>
    </font>
    <font>
      <sz val="8"/>
      <color rgb="FF000000"/>
      <name val="Trebuchet MS"/>
      <family val="2"/>
    </font>
    <font>
      <sz val="11"/>
      <color rgb="FF000000"/>
      <name val="Calibri"/>
      <family val="2"/>
    </font>
    <font>
      <b/>
      <sz val="10"/>
      <color indexed="8"/>
      <name val="Trebuchet MS"/>
      <family val="2"/>
    </font>
    <font>
      <sz val="11"/>
      <color indexed="8"/>
      <name val="Calibri"/>
      <family val="2"/>
    </font>
    <font>
      <b/>
      <sz val="8"/>
      <name val="Trebuchet MS"/>
      <family val="2"/>
    </font>
    <font>
      <sz val="8"/>
      <color theme="1"/>
      <name val="Trebuchet MS"/>
      <family val="2"/>
    </font>
    <font>
      <sz val="10"/>
      <color indexed="8"/>
      <name val="BookAntiqua"/>
    </font>
    <font>
      <sz val="8"/>
      <color indexed="8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indexed="10"/>
        <bgColor auto="1"/>
      </patternFill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7"/>
        <bgColor auto="1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34">
    <border>
      <left/>
      <right/>
      <top/>
      <bottom/>
      <diagonal/>
    </border>
    <border>
      <left/>
      <right/>
      <top style="thin">
        <color indexed="11"/>
      </top>
      <bottom/>
      <diagonal/>
    </border>
    <border>
      <left/>
      <right style="thin">
        <color indexed="11"/>
      </right>
      <top style="thin">
        <color indexed="11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/>
      <top/>
      <bottom/>
      <diagonal/>
    </border>
    <border>
      <left/>
      <right/>
      <top/>
      <bottom/>
      <diagonal/>
    </border>
    <border>
      <left/>
      <right style="thin">
        <color indexed="11"/>
      </right>
      <top/>
      <bottom/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/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 style="thin">
        <color indexed="11"/>
      </left>
      <right/>
      <top/>
      <bottom style="thin">
        <color indexed="11"/>
      </bottom>
      <diagonal/>
    </border>
    <border>
      <left/>
      <right/>
      <top/>
      <bottom style="thin">
        <color indexed="11"/>
      </bottom>
      <diagonal/>
    </border>
    <border>
      <left/>
      <right style="thin">
        <color indexed="11"/>
      </right>
      <top/>
      <bottom style="thin">
        <color indexed="11"/>
      </bottom>
      <diagonal/>
    </border>
    <border>
      <left style="thin">
        <color indexed="11"/>
      </left>
      <right/>
      <top style="thin">
        <color indexed="11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11"/>
      </top>
      <bottom style="thin">
        <color indexed="11"/>
      </bottom>
      <diagonal/>
    </border>
    <border>
      <left/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AAAAAA"/>
      </right>
      <top style="thin">
        <color rgb="FFAAAAAA"/>
      </top>
      <bottom/>
      <diagonal/>
    </border>
    <border>
      <left/>
      <right style="thin">
        <color rgb="FFAAAAAA"/>
      </right>
      <top style="thin">
        <color rgb="FFAAAAAA"/>
      </top>
      <bottom style="thin">
        <color rgb="FFAAAAAA"/>
      </bottom>
      <diagonal/>
    </border>
    <border>
      <left/>
      <right style="thin">
        <color rgb="FFAAAAAA"/>
      </right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 applyNumberFormat="0" applyFill="0" applyBorder="0" applyProtection="0"/>
    <xf numFmtId="43" fontId="9" fillId="0" borderId="0" applyFont="0" applyFill="0" applyBorder="0" applyAlignment="0" applyProtection="0"/>
    <xf numFmtId="9" fontId="20" fillId="0" borderId="0" applyFont="0" applyFill="0" applyBorder="0" applyAlignment="0" applyProtection="0"/>
  </cellStyleXfs>
  <cellXfs count="247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NumberFormat="1" applyFont="1" applyFill="1" applyBorder="1" applyAlignment="1"/>
    <xf numFmtId="0" fontId="0" fillId="2" borderId="2" xfId="0" applyNumberFormat="1" applyFont="1" applyFill="1" applyBorder="1" applyAlignment="1"/>
    <xf numFmtId="0" fontId="0" fillId="2" borderId="4" xfId="0" applyNumberFormat="1" applyFont="1" applyFill="1" applyBorder="1" applyAlignment="1"/>
    <xf numFmtId="0" fontId="0" fillId="2" borderId="5" xfId="0" applyNumberFormat="1" applyFont="1" applyFill="1" applyBorder="1" applyAlignment="1"/>
    <xf numFmtId="0" fontId="0" fillId="2" borderId="6" xfId="0" applyNumberFormat="1" applyFont="1" applyFill="1" applyBorder="1" applyAlignment="1"/>
    <xf numFmtId="0" fontId="0" fillId="2" borderId="7" xfId="0" applyNumberFormat="1" applyFont="1" applyFill="1" applyBorder="1" applyAlignment="1"/>
    <xf numFmtId="166" fontId="3" fillId="2" borderId="3" xfId="0" applyNumberFormat="1" applyFont="1" applyFill="1" applyBorder="1" applyAlignment="1"/>
    <xf numFmtId="0" fontId="0" fillId="2" borderId="8" xfId="0" applyNumberFormat="1" applyFont="1" applyFill="1" applyBorder="1" applyAlignment="1"/>
    <xf numFmtId="0" fontId="2" fillId="2" borderId="6" xfId="0" applyNumberFormat="1" applyFont="1" applyFill="1" applyBorder="1" applyAlignment="1"/>
    <xf numFmtId="0" fontId="2" fillId="2" borderId="7" xfId="0" applyNumberFormat="1" applyFont="1" applyFill="1" applyBorder="1" applyAlignment="1"/>
    <xf numFmtId="0" fontId="0" fillId="2" borderId="10" xfId="0" applyNumberFormat="1" applyFont="1" applyFill="1" applyBorder="1" applyAlignment="1"/>
    <xf numFmtId="0" fontId="0" fillId="2" borderId="11" xfId="0" applyNumberFormat="1" applyFont="1" applyFill="1" applyBorder="1" applyAlignment="1"/>
    <xf numFmtId="0" fontId="2" fillId="2" borderId="12" xfId="0" applyNumberFormat="1" applyFont="1" applyFill="1" applyBorder="1" applyAlignment="1"/>
    <xf numFmtId="0" fontId="2" fillId="2" borderId="10" xfId="0" applyNumberFormat="1" applyFont="1" applyFill="1" applyBorder="1" applyAlignment="1"/>
    <xf numFmtId="0" fontId="2" fillId="2" borderId="4" xfId="0" applyNumberFormat="1" applyFont="1" applyFill="1" applyBorder="1" applyAlignment="1"/>
    <xf numFmtId="166" fontId="3" fillId="2" borderId="13" xfId="0" applyNumberFormat="1" applyFont="1" applyFill="1" applyBorder="1" applyAlignment="1"/>
    <xf numFmtId="165" fontId="3" fillId="2" borderId="13" xfId="0" applyNumberFormat="1" applyFont="1" applyFill="1" applyBorder="1" applyAlignment="1"/>
    <xf numFmtId="0" fontId="0" fillId="2" borderId="9" xfId="0" applyNumberFormat="1" applyFont="1" applyFill="1" applyBorder="1" applyAlignment="1"/>
    <xf numFmtId="166" fontId="2" fillId="2" borderId="10" xfId="0" applyNumberFormat="1" applyFont="1" applyFill="1" applyBorder="1" applyAlignment="1"/>
    <xf numFmtId="166" fontId="2" fillId="2" borderId="4" xfId="0" applyNumberFormat="1" applyFont="1" applyFill="1" applyBorder="1" applyAlignment="1"/>
    <xf numFmtId="3" fontId="2" fillId="2" borderId="10" xfId="0" applyNumberFormat="1" applyFont="1" applyFill="1" applyBorder="1" applyAlignment="1"/>
    <xf numFmtId="0" fontId="0" fillId="2" borderId="14" xfId="0" applyNumberFormat="1" applyFont="1" applyFill="1" applyBorder="1" applyAlignment="1"/>
    <xf numFmtId="0" fontId="0" fillId="2" borderId="15" xfId="0" applyNumberFormat="1" applyFont="1" applyFill="1" applyBorder="1" applyAlignment="1"/>
    <xf numFmtId="0" fontId="0" fillId="2" borderId="16" xfId="0" applyNumberFormat="1" applyFont="1" applyFill="1" applyBorder="1" applyAlignment="1"/>
    <xf numFmtId="0" fontId="0" fillId="0" borderId="0" xfId="0" applyNumberFormat="1" applyFont="1" applyAlignment="1"/>
    <xf numFmtId="0" fontId="0" fillId="2" borderId="17" xfId="0" applyNumberFormat="1" applyFont="1" applyFill="1" applyBorder="1" applyAlignment="1"/>
    <xf numFmtId="0" fontId="0" fillId="2" borderId="12" xfId="0" applyNumberFormat="1" applyFont="1" applyFill="1" applyBorder="1" applyAlignment="1"/>
    <xf numFmtId="0" fontId="0" fillId="0" borderId="0" xfId="0" applyNumberFormat="1" applyFont="1" applyAlignment="1"/>
    <xf numFmtId="0" fontId="0" fillId="0" borderId="0" xfId="0" applyNumberFormat="1" applyFont="1" applyAlignment="1"/>
    <xf numFmtId="0" fontId="0" fillId="0" borderId="0" xfId="0" applyNumberFormat="1" applyFont="1" applyAlignment="1"/>
    <xf numFmtId="0" fontId="0" fillId="2" borderId="18" xfId="0" applyNumberFormat="1" applyFont="1" applyFill="1" applyBorder="1" applyAlignment="1"/>
    <xf numFmtId="4" fontId="2" fillId="2" borderId="6" xfId="0" applyNumberFormat="1" applyFont="1" applyFill="1" applyBorder="1" applyAlignment="1"/>
    <xf numFmtId="4" fontId="0" fillId="2" borderId="11" xfId="0" applyNumberFormat="1" applyFont="1" applyFill="1" applyBorder="1" applyAlignment="1"/>
    <xf numFmtId="166" fontId="5" fillId="2" borderId="11" xfId="0" applyNumberFormat="1" applyFont="1" applyFill="1" applyBorder="1" applyAlignment="1"/>
    <xf numFmtId="166" fontId="5" fillId="2" borderId="2" xfId="0" applyNumberFormat="1" applyFont="1" applyFill="1" applyBorder="1" applyAlignment="1"/>
    <xf numFmtId="166" fontId="5" fillId="2" borderId="6" xfId="0" applyNumberFormat="1" applyFont="1" applyFill="1" applyBorder="1" applyAlignment="1"/>
    <xf numFmtId="166" fontId="1" fillId="2" borderId="11" xfId="0" applyNumberFormat="1" applyFont="1" applyFill="1" applyBorder="1" applyAlignment="1"/>
    <xf numFmtId="0" fontId="2" fillId="2" borderId="11" xfId="0" applyNumberFormat="1" applyFont="1" applyFill="1" applyBorder="1" applyAlignment="1"/>
    <xf numFmtId="0" fontId="2" fillId="2" borderId="16" xfId="0" applyNumberFormat="1" applyFont="1" applyFill="1" applyBorder="1" applyAlignment="1"/>
    <xf numFmtId="0" fontId="0" fillId="2" borderId="20" xfId="0" applyNumberFormat="1" applyFont="1" applyFill="1" applyBorder="1" applyAlignment="1"/>
    <xf numFmtId="0" fontId="0" fillId="2" borderId="21" xfId="0" applyNumberFormat="1" applyFont="1" applyFill="1" applyBorder="1" applyAlignment="1"/>
    <xf numFmtId="4" fontId="2" fillId="2" borderId="11" xfId="0" applyNumberFormat="1" applyFont="1" applyFill="1" applyBorder="1" applyAlignment="1"/>
    <xf numFmtId="166" fontId="3" fillId="2" borderId="19" xfId="0" applyNumberFormat="1" applyFont="1" applyFill="1" applyBorder="1" applyAlignment="1"/>
    <xf numFmtId="4" fontId="3" fillId="2" borderId="19" xfId="0" applyNumberFormat="1" applyFont="1" applyFill="1" applyBorder="1" applyAlignment="1"/>
    <xf numFmtId="166" fontId="3" fillId="7" borderId="19" xfId="0" applyNumberFormat="1" applyFont="1" applyFill="1" applyBorder="1" applyAlignment="1">
      <alignment horizontal="left"/>
    </xf>
    <xf numFmtId="10" fontId="3" fillId="6" borderId="19" xfId="0" applyNumberFormat="1" applyFont="1" applyFill="1" applyBorder="1" applyAlignment="1"/>
    <xf numFmtId="10" fontId="3" fillId="4" borderId="19" xfId="0" applyNumberFormat="1" applyFont="1" applyFill="1" applyBorder="1" applyAlignment="1"/>
    <xf numFmtId="10" fontId="3" fillId="3" borderId="19" xfId="0" applyNumberFormat="1" applyFont="1" applyFill="1" applyBorder="1" applyAlignment="1">
      <alignment horizontal="right" vertical="center"/>
    </xf>
    <xf numFmtId="166" fontId="3" fillId="3" borderId="19" xfId="0" applyNumberFormat="1" applyFont="1" applyFill="1" applyBorder="1" applyAlignment="1">
      <alignment horizontal="right" vertical="center"/>
    </xf>
    <xf numFmtId="165" fontId="3" fillId="2" borderId="19" xfId="0" applyNumberFormat="1" applyFont="1" applyFill="1" applyBorder="1" applyAlignment="1"/>
    <xf numFmtId="166" fontId="3" fillId="2" borderId="19" xfId="0" applyNumberFormat="1" applyFont="1" applyFill="1" applyBorder="1" applyAlignment="1">
      <alignment horizontal="left"/>
    </xf>
    <xf numFmtId="0" fontId="3" fillId="2" borderId="19" xfId="0" applyNumberFormat="1" applyFont="1" applyFill="1" applyBorder="1" applyAlignment="1"/>
    <xf numFmtId="166" fontId="3" fillId="7" borderId="19" xfId="0" applyNumberFormat="1" applyFont="1" applyFill="1" applyBorder="1" applyAlignment="1"/>
    <xf numFmtId="165" fontId="3" fillId="2" borderId="19" xfId="0" applyNumberFormat="1" applyFont="1" applyFill="1" applyBorder="1" applyAlignment="1">
      <alignment horizontal="left"/>
    </xf>
    <xf numFmtId="10" fontId="6" fillId="3" borderId="19" xfId="0" applyNumberFormat="1" applyFont="1" applyFill="1" applyBorder="1" applyAlignment="1">
      <alignment horizontal="right" vertical="center"/>
    </xf>
    <xf numFmtId="166" fontId="6" fillId="3" borderId="19" xfId="0" applyNumberFormat="1" applyFont="1" applyFill="1" applyBorder="1" applyAlignment="1">
      <alignment horizontal="right" vertical="center"/>
    </xf>
    <xf numFmtId="166" fontId="4" fillId="2" borderId="19" xfId="0" applyNumberFormat="1" applyFont="1" applyFill="1" applyBorder="1" applyAlignment="1">
      <alignment vertical="top" wrapText="1"/>
    </xf>
    <xf numFmtId="49" fontId="4" fillId="2" borderId="19" xfId="0" applyNumberFormat="1" applyFont="1" applyFill="1" applyBorder="1" applyAlignment="1">
      <alignment horizontal="right"/>
    </xf>
    <xf numFmtId="166" fontId="4" fillId="2" borderId="19" xfId="0" applyNumberFormat="1" applyFont="1" applyFill="1" applyBorder="1" applyAlignment="1"/>
    <xf numFmtId="166" fontId="4" fillId="7" borderId="19" xfId="0" applyNumberFormat="1" applyFont="1" applyFill="1" applyBorder="1" applyAlignment="1"/>
    <xf numFmtId="10" fontId="4" fillId="4" borderId="19" xfId="0" applyNumberFormat="1" applyFont="1" applyFill="1" applyBorder="1" applyAlignment="1"/>
    <xf numFmtId="10" fontId="4" fillId="3" borderId="19" xfId="0" applyNumberFormat="1" applyFont="1" applyFill="1" applyBorder="1" applyAlignment="1">
      <alignment horizontal="right" vertical="center"/>
    </xf>
    <xf numFmtId="166" fontId="4" fillId="3" borderId="19" xfId="0" applyNumberFormat="1" applyFont="1" applyFill="1" applyBorder="1" applyAlignment="1">
      <alignment horizontal="right" vertical="center"/>
    </xf>
    <xf numFmtId="165" fontId="4" fillId="2" borderId="19" xfId="0" applyNumberFormat="1" applyFont="1" applyFill="1" applyBorder="1" applyAlignment="1"/>
    <xf numFmtId="0" fontId="3" fillId="4" borderId="19" xfId="0" applyNumberFormat="1" applyFont="1" applyFill="1" applyBorder="1" applyAlignment="1">
      <alignment vertical="top" wrapText="1"/>
    </xf>
    <xf numFmtId="0" fontId="3" fillId="0" borderId="19" xfId="0" applyFont="1" applyBorder="1" applyAlignment="1"/>
    <xf numFmtId="3" fontId="3" fillId="2" borderId="19" xfId="0" applyNumberFormat="1" applyFont="1" applyFill="1" applyBorder="1" applyAlignment="1"/>
    <xf numFmtId="166" fontId="4" fillId="2" borderId="19" xfId="0" applyNumberFormat="1" applyFont="1" applyFill="1" applyBorder="1" applyAlignment="1">
      <alignment wrapText="1"/>
    </xf>
    <xf numFmtId="166" fontId="3" fillId="4" borderId="19" xfId="0" applyNumberFormat="1" applyFont="1" applyFill="1" applyBorder="1" applyAlignment="1"/>
    <xf numFmtId="10" fontId="3" fillId="4" borderId="19" xfId="0" applyNumberFormat="1" applyFont="1" applyFill="1" applyBorder="1" applyAlignment="1">
      <alignment horizontal="right" vertical="center"/>
    </xf>
    <xf numFmtId="166" fontId="3" fillId="4" borderId="19" xfId="0" applyNumberFormat="1" applyFont="1" applyFill="1" applyBorder="1" applyAlignment="1">
      <alignment horizontal="right" vertical="center"/>
    </xf>
    <xf numFmtId="166" fontId="6" fillId="2" borderId="19" xfId="0" applyNumberFormat="1" applyFont="1" applyFill="1" applyBorder="1" applyAlignment="1">
      <alignment horizontal="left"/>
    </xf>
    <xf numFmtId="49" fontId="3" fillId="2" borderId="19" xfId="0" applyNumberFormat="1" applyFont="1" applyFill="1" applyBorder="1" applyAlignment="1">
      <alignment horizontal="right"/>
    </xf>
    <xf numFmtId="43" fontId="3" fillId="5" borderId="19" xfId="1" applyFont="1" applyFill="1" applyBorder="1" applyAlignment="1">
      <alignment horizontal="right"/>
    </xf>
    <xf numFmtId="10" fontId="10" fillId="9" borderId="19" xfId="0" applyNumberFormat="1" applyFont="1" applyFill="1" applyBorder="1" applyAlignment="1">
      <alignment horizontal="right" vertical="center"/>
    </xf>
    <xf numFmtId="166" fontId="3" fillId="0" borderId="19" xfId="0" applyNumberFormat="1" applyFont="1" applyFill="1" applyBorder="1" applyAlignment="1">
      <alignment horizontal="right"/>
    </xf>
    <xf numFmtId="166" fontId="3" fillId="0" borderId="19" xfId="0" applyNumberFormat="1" applyFont="1" applyFill="1" applyBorder="1" applyAlignment="1"/>
    <xf numFmtId="4" fontId="3" fillId="0" borderId="19" xfId="0" applyNumberFormat="1" applyFont="1" applyFill="1" applyBorder="1" applyAlignment="1"/>
    <xf numFmtId="166" fontId="3" fillId="0" borderId="19" xfId="0" applyNumberFormat="1" applyFont="1" applyFill="1" applyBorder="1" applyAlignment="1">
      <alignment horizontal="left"/>
    </xf>
    <xf numFmtId="166" fontId="4" fillId="0" borderId="19" xfId="0" applyNumberFormat="1" applyFont="1" applyFill="1" applyBorder="1" applyAlignment="1"/>
    <xf numFmtId="49" fontId="3" fillId="0" borderId="19" xfId="0" applyNumberFormat="1" applyFont="1" applyFill="1" applyBorder="1" applyAlignment="1"/>
    <xf numFmtId="49" fontId="3" fillId="0" borderId="19" xfId="0" applyNumberFormat="1" applyFont="1" applyFill="1" applyBorder="1" applyAlignment="1">
      <alignment wrapText="1"/>
    </xf>
    <xf numFmtId="10" fontId="13" fillId="9" borderId="19" xfId="0" applyNumberFormat="1" applyFont="1" applyFill="1" applyBorder="1" applyAlignment="1">
      <alignment horizontal="right" vertical="center"/>
    </xf>
    <xf numFmtId="49" fontId="3" fillId="0" borderId="19" xfId="0" applyNumberFormat="1" applyFont="1" applyFill="1" applyBorder="1" applyAlignment="1">
      <alignment vertical="center" wrapText="1"/>
    </xf>
    <xf numFmtId="49" fontId="3" fillId="0" borderId="19" xfId="0" applyNumberFormat="1" applyFont="1" applyFill="1" applyBorder="1" applyAlignment="1">
      <alignment vertical="top" wrapText="1"/>
    </xf>
    <xf numFmtId="49" fontId="11" fillId="0" borderId="19" xfId="0" applyNumberFormat="1" applyFont="1" applyFill="1" applyBorder="1" applyAlignment="1"/>
    <xf numFmtId="0" fontId="0" fillId="9" borderId="0" xfId="0" applyNumberFormat="1" applyFont="1" applyFill="1" applyAlignment="1"/>
    <xf numFmtId="0" fontId="0" fillId="9" borderId="0" xfId="0" applyFont="1" applyFill="1" applyAlignment="1"/>
    <xf numFmtId="0" fontId="3" fillId="2" borderId="11" xfId="0" applyNumberFormat="1" applyFont="1" applyFill="1" applyBorder="1" applyAlignment="1"/>
    <xf numFmtId="0" fontId="3" fillId="2" borderId="4" xfId="0" applyNumberFormat="1" applyFont="1" applyFill="1" applyBorder="1" applyAlignment="1"/>
    <xf numFmtId="0" fontId="3" fillId="2" borderId="5" xfId="0" applyNumberFormat="1" applyFont="1" applyFill="1" applyBorder="1" applyAlignment="1"/>
    <xf numFmtId="0" fontId="3" fillId="2" borderId="6" xfId="0" applyNumberFormat="1" applyFont="1" applyFill="1" applyBorder="1" applyAlignment="1"/>
    <xf numFmtId="0" fontId="3" fillId="2" borderId="7" xfId="0" applyNumberFormat="1" applyFont="1" applyFill="1" applyBorder="1" applyAlignment="1"/>
    <xf numFmtId="0" fontId="3" fillId="0" borderId="0" xfId="0" applyNumberFormat="1" applyFont="1" applyAlignment="1"/>
    <xf numFmtId="0" fontId="3" fillId="0" borderId="0" xfId="0" applyFont="1" applyAlignment="1"/>
    <xf numFmtId="4" fontId="3" fillId="2" borderId="19" xfId="0" applyNumberFormat="1" applyFont="1" applyFill="1" applyBorder="1" applyAlignment="1">
      <alignment horizontal="right"/>
    </xf>
    <xf numFmtId="10" fontId="3" fillId="12" borderId="19" xfId="0" applyNumberFormat="1" applyFont="1" applyFill="1" applyBorder="1" applyAlignment="1"/>
    <xf numFmtId="10" fontId="3" fillId="10" borderId="19" xfId="0" applyNumberFormat="1" applyFont="1" applyFill="1" applyBorder="1" applyAlignment="1">
      <alignment horizontal="right" vertical="center"/>
    </xf>
    <xf numFmtId="166" fontId="3" fillId="10" borderId="19" xfId="0" applyNumberFormat="1" applyFont="1" applyFill="1" applyBorder="1" applyAlignment="1">
      <alignment horizontal="right" vertical="center"/>
    </xf>
    <xf numFmtId="43" fontId="3" fillId="0" borderId="19" xfId="1" applyFont="1" applyFill="1" applyBorder="1" applyAlignment="1"/>
    <xf numFmtId="0" fontId="9" fillId="0" borderId="0" xfId="0" applyNumberFormat="1" applyFont="1" applyAlignment="1"/>
    <xf numFmtId="49" fontId="6" fillId="0" borderId="19" xfId="0" applyNumberFormat="1" applyFont="1" applyFill="1" applyBorder="1" applyAlignment="1">
      <alignment vertical="center" wrapText="1"/>
    </xf>
    <xf numFmtId="43" fontId="3" fillId="2" borderId="19" xfId="1" applyFont="1" applyFill="1" applyBorder="1" applyAlignment="1"/>
    <xf numFmtId="166" fontId="4" fillId="0" borderId="19" xfId="0" applyNumberFormat="1" applyFont="1" applyFill="1" applyBorder="1" applyAlignment="1">
      <alignment vertical="top" wrapText="1"/>
    </xf>
    <xf numFmtId="49" fontId="4" fillId="0" borderId="19" xfId="0" applyNumberFormat="1" applyFont="1" applyFill="1" applyBorder="1" applyAlignment="1">
      <alignment horizontal="right"/>
    </xf>
    <xf numFmtId="166" fontId="3" fillId="12" borderId="19" xfId="0" applyNumberFormat="1" applyFont="1" applyFill="1" applyBorder="1" applyAlignment="1"/>
    <xf numFmtId="166" fontId="3" fillId="7" borderId="19" xfId="0" applyNumberFormat="1" applyFont="1" applyFill="1" applyBorder="1"/>
    <xf numFmtId="0" fontId="18" fillId="13" borderId="23" xfId="0" applyFont="1" applyFill="1" applyBorder="1" applyAlignment="1"/>
    <xf numFmtId="0" fontId="18" fillId="13" borderId="24" xfId="0" applyFont="1" applyFill="1" applyBorder="1" applyAlignment="1"/>
    <xf numFmtId="0" fontId="18" fillId="13" borderId="6" xfId="0" applyFont="1" applyFill="1" applyBorder="1" applyAlignment="1"/>
    <xf numFmtId="0" fontId="18" fillId="13" borderId="25" xfId="0" applyFont="1" applyFill="1" applyBorder="1" applyAlignment="1"/>
    <xf numFmtId="0" fontId="18" fillId="0" borderId="6" xfId="0" applyFont="1" applyBorder="1" applyAlignment="1"/>
    <xf numFmtId="43" fontId="4" fillId="2" borderId="19" xfId="1" applyFont="1" applyFill="1" applyBorder="1" applyAlignment="1"/>
    <xf numFmtId="43" fontId="3" fillId="2" borderId="19" xfId="1" applyFont="1" applyFill="1" applyBorder="1" applyAlignment="1">
      <alignment horizontal="right"/>
    </xf>
    <xf numFmtId="49" fontId="3" fillId="16" borderId="19" xfId="0" applyNumberFormat="1" applyFont="1" applyFill="1" applyBorder="1" applyAlignment="1">
      <alignment wrapText="1"/>
    </xf>
    <xf numFmtId="49" fontId="3" fillId="16" borderId="19" xfId="0" applyNumberFormat="1" applyFont="1" applyFill="1" applyBorder="1" applyAlignment="1"/>
    <xf numFmtId="10" fontId="10" fillId="6" borderId="19" xfId="0" applyNumberFormat="1" applyFont="1" applyFill="1" applyBorder="1" applyAlignment="1"/>
    <xf numFmtId="166" fontId="4" fillId="16" borderId="19" xfId="0" applyNumberFormat="1" applyFont="1" applyFill="1" applyBorder="1" applyAlignment="1">
      <alignment wrapText="1"/>
    </xf>
    <xf numFmtId="166" fontId="3" fillId="2" borderId="15" xfId="0" applyNumberFormat="1" applyFont="1" applyFill="1" applyBorder="1" applyAlignment="1"/>
    <xf numFmtId="165" fontId="3" fillId="2" borderId="15" xfId="0" applyNumberFormat="1" applyFont="1" applyFill="1" applyBorder="1" applyAlignment="1"/>
    <xf numFmtId="166" fontId="3" fillId="2" borderId="26" xfId="0" applyNumberFormat="1" applyFont="1" applyFill="1" applyBorder="1" applyAlignment="1"/>
    <xf numFmtId="166" fontId="3" fillId="17" borderId="19" xfId="0" applyNumberFormat="1" applyFont="1" applyFill="1" applyBorder="1" applyAlignment="1"/>
    <xf numFmtId="10" fontId="3" fillId="17" borderId="19" xfId="0" applyNumberFormat="1" applyFont="1" applyFill="1" applyBorder="1" applyAlignment="1"/>
    <xf numFmtId="10" fontId="10" fillId="17" borderId="19" xfId="0" applyNumberFormat="1" applyFont="1" applyFill="1" applyBorder="1" applyAlignment="1">
      <alignment horizontal="right" vertical="center"/>
    </xf>
    <xf numFmtId="10" fontId="3" fillId="17" borderId="19" xfId="0" applyNumberFormat="1" applyFont="1" applyFill="1" applyBorder="1" applyAlignment="1">
      <alignment horizontal="right" vertical="center"/>
    </xf>
    <xf numFmtId="166" fontId="3" fillId="17" borderId="19" xfId="0" applyNumberFormat="1" applyFont="1" applyFill="1" applyBorder="1" applyAlignment="1">
      <alignment horizontal="right" vertical="center"/>
    </xf>
    <xf numFmtId="3" fontId="3" fillId="17" borderId="19" xfId="0" applyNumberFormat="1" applyFont="1" applyFill="1" applyBorder="1" applyAlignment="1"/>
    <xf numFmtId="10" fontId="13" fillId="17" borderId="19" xfId="0" applyNumberFormat="1" applyFont="1" applyFill="1" applyBorder="1" applyAlignment="1">
      <alignment horizontal="right" vertical="center"/>
    </xf>
    <xf numFmtId="165" fontId="3" fillId="17" borderId="19" xfId="0" applyNumberFormat="1" applyFont="1" applyFill="1" applyBorder="1" applyAlignment="1"/>
    <xf numFmtId="9" fontId="13" fillId="9" borderId="19" xfId="2" applyFont="1" applyFill="1" applyBorder="1" applyAlignment="1">
      <alignment horizontal="right" vertical="center"/>
    </xf>
    <xf numFmtId="0" fontId="0" fillId="0" borderId="6" xfId="0" applyNumberFormat="1" applyFont="1" applyBorder="1" applyAlignment="1"/>
    <xf numFmtId="49" fontId="1" fillId="3" borderId="19" xfId="0" applyNumberFormat="1" applyFont="1" applyFill="1" applyBorder="1" applyAlignment="1">
      <alignment horizontal="center" vertical="top" wrapText="1"/>
    </xf>
    <xf numFmtId="0" fontId="4" fillId="4" borderId="19" xfId="0" applyNumberFormat="1" applyFont="1" applyFill="1" applyBorder="1" applyAlignment="1">
      <alignment vertical="top" wrapText="1"/>
    </xf>
    <xf numFmtId="49" fontId="17" fillId="0" borderId="19" xfId="0" applyNumberFormat="1" applyFont="1" applyBorder="1" applyAlignment="1">
      <alignment wrapText="1"/>
    </xf>
    <xf numFmtId="10" fontId="13" fillId="14" borderId="19" xfId="0" applyNumberFormat="1" applyFont="1" applyFill="1" applyBorder="1" applyAlignment="1">
      <alignment horizontal="right" vertical="center"/>
    </xf>
    <xf numFmtId="10" fontId="17" fillId="15" borderId="19" xfId="0" applyNumberFormat="1" applyFont="1" applyFill="1" applyBorder="1" applyAlignment="1">
      <alignment horizontal="right" vertical="center"/>
    </xf>
    <xf numFmtId="166" fontId="17" fillId="15" borderId="19" xfId="0" applyNumberFormat="1" applyFont="1" applyFill="1" applyBorder="1" applyAlignment="1">
      <alignment horizontal="right" vertical="center"/>
    </xf>
    <xf numFmtId="0" fontId="21" fillId="17" borderId="19" xfId="0" applyFont="1" applyFill="1" applyBorder="1" applyAlignment="1">
      <alignment wrapText="1"/>
    </xf>
    <xf numFmtId="49" fontId="1" fillId="3" borderId="31" xfId="0" applyNumberFormat="1" applyFont="1" applyFill="1" applyBorder="1" applyAlignment="1">
      <alignment horizontal="center" vertical="top" wrapText="1"/>
    </xf>
    <xf numFmtId="49" fontId="1" fillId="3" borderId="27" xfId="0" applyNumberFormat="1" applyFont="1" applyFill="1" applyBorder="1" applyAlignment="1">
      <alignment horizontal="center" vertical="top" wrapText="1"/>
    </xf>
    <xf numFmtId="0" fontId="4" fillId="4" borderId="27" xfId="0" applyNumberFormat="1" applyFont="1" applyFill="1" applyBorder="1" applyAlignment="1">
      <alignment vertical="top" wrapText="1"/>
    </xf>
    <xf numFmtId="165" fontId="3" fillId="16" borderId="31" xfId="0" applyNumberFormat="1" applyFont="1" applyFill="1" applyBorder="1" applyAlignment="1">
      <alignment horizontal="center" wrapText="1"/>
    </xf>
    <xf numFmtId="4" fontId="3" fillId="2" borderId="27" xfId="0" applyNumberFormat="1" applyFont="1" applyFill="1" applyBorder="1" applyAlignment="1"/>
    <xf numFmtId="166" fontId="3" fillId="2" borderId="27" xfId="0" applyNumberFormat="1" applyFont="1" applyFill="1" applyBorder="1" applyAlignment="1"/>
    <xf numFmtId="165" fontId="4" fillId="2" borderId="31" xfId="0" applyNumberFormat="1" applyFont="1" applyFill="1" applyBorder="1" applyAlignment="1">
      <alignment horizontal="center"/>
    </xf>
    <xf numFmtId="166" fontId="4" fillId="2" borderId="27" xfId="0" applyNumberFormat="1" applyFont="1" applyFill="1" applyBorder="1" applyAlignment="1"/>
    <xf numFmtId="0" fontId="3" fillId="4" borderId="27" xfId="0" applyNumberFormat="1" applyFont="1" applyFill="1" applyBorder="1" applyAlignment="1">
      <alignment vertical="top" wrapText="1"/>
    </xf>
    <xf numFmtId="49" fontId="4" fillId="16" borderId="31" xfId="0" applyNumberFormat="1" applyFont="1" applyFill="1" applyBorder="1" applyAlignment="1">
      <alignment horizontal="center" wrapText="1"/>
    </xf>
    <xf numFmtId="166" fontId="3" fillId="4" borderId="27" xfId="0" applyNumberFormat="1" applyFont="1" applyFill="1" applyBorder="1" applyAlignment="1"/>
    <xf numFmtId="166" fontId="3" fillId="2" borderId="27" xfId="0" applyNumberFormat="1" applyFont="1" applyFill="1" applyBorder="1" applyAlignment="1">
      <alignment horizontal="center" wrapText="1"/>
    </xf>
    <xf numFmtId="3" fontId="3" fillId="2" borderId="27" xfId="0" applyNumberFormat="1" applyFont="1" applyFill="1" applyBorder="1" applyAlignment="1"/>
    <xf numFmtId="166" fontId="3" fillId="17" borderId="27" xfId="0" applyNumberFormat="1" applyFont="1" applyFill="1" applyBorder="1" applyAlignment="1"/>
    <xf numFmtId="165" fontId="4" fillId="0" borderId="31" xfId="0" applyNumberFormat="1" applyFont="1" applyFill="1" applyBorder="1" applyAlignment="1">
      <alignment horizontal="center" wrapText="1"/>
    </xf>
    <xf numFmtId="165" fontId="4" fillId="2" borderId="31" xfId="0" applyNumberFormat="1" applyFont="1" applyFill="1" applyBorder="1" applyAlignment="1">
      <alignment horizontal="center" wrapText="1"/>
    </xf>
    <xf numFmtId="166" fontId="4" fillId="2" borderId="27" xfId="0" applyNumberFormat="1" applyFont="1" applyFill="1" applyBorder="1" applyAlignment="1">
      <alignment wrapText="1"/>
    </xf>
    <xf numFmtId="165" fontId="3" fillId="0" borderId="31" xfId="0" applyNumberFormat="1" applyFont="1" applyFill="1" applyBorder="1" applyAlignment="1">
      <alignment horizontal="center"/>
    </xf>
    <xf numFmtId="165" fontId="3" fillId="8" borderId="32" xfId="0" applyNumberFormat="1" applyFont="1" applyFill="1" applyBorder="1" applyAlignment="1">
      <alignment horizontal="center" wrapText="1"/>
    </xf>
    <xf numFmtId="166" fontId="3" fillId="8" borderId="22" xfId="0" applyNumberFormat="1" applyFont="1" applyFill="1" applyBorder="1" applyAlignment="1">
      <alignment wrapText="1"/>
    </xf>
    <xf numFmtId="49" fontId="4" fillId="8" borderId="22" xfId="0" applyNumberFormat="1" applyFont="1" applyFill="1" applyBorder="1" applyAlignment="1">
      <alignment horizontal="right"/>
    </xf>
    <xf numFmtId="166" fontId="4" fillId="8" borderId="22" xfId="0" applyNumberFormat="1" applyFont="1" applyFill="1" applyBorder="1" applyAlignment="1"/>
    <xf numFmtId="10" fontId="4" fillId="6" borderId="22" xfId="0" applyNumberFormat="1" applyFont="1" applyFill="1" applyBorder="1" applyAlignment="1"/>
    <xf numFmtId="10" fontId="4" fillId="4" borderId="22" xfId="0" applyNumberFormat="1" applyFont="1" applyFill="1" applyBorder="1" applyAlignment="1"/>
    <xf numFmtId="10" fontId="10" fillId="9" borderId="22" xfId="0" applyNumberFormat="1" applyFont="1" applyFill="1" applyBorder="1" applyAlignment="1">
      <alignment horizontal="right" vertical="center"/>
    </xf>
    <xf numFmtId="10" fontId="4" fillId="3" borderId="22" xfId="0" applyNumberFormat="1" applyFont="1" applyFill="1" applyBorder="1" applyAlignment="1">
      <alignment horizontal="right" vertical="center"/>
    </xf>
    <xf numFmtId="166" fontId="4" fillId="3" borderId="22" xfId="0" applyNumberFormat="1" applyFont="1" applyFill="1" applyBorder="1" applyAlignment="1">
      <alignment horizontal="right" vertical="center"/>
    </xf>
    <xf numFmtId="166" fontId="4" fillId="8" borderId="33" xfId="0" applyNumberFormat="1" applyFont="1" applyFill="1" applyBorder="1" applyAlignment="1"/>
    <xf numFmtId="165" fontId="4" fillId="8" borderId="22" xfId="0" applyNumberFormat="1" applyFont="1" applyFill="1" applyBorder="1" applyAlignment="1"/>
    <xf numFmtId="168" fontId="4" fillId="2" borderId="19" xfId="1" applyNumberFormat="1" applyFont="1" applyFill="1" applyBorder="1" applyAlignment="1"/>
    <xf numFmtId="166" fontId="5" fillId="16" borderId="16" xfId="0" applyNumberFormat="1" applyFont="1" applyFill="1" applyBorder="1" applyAlignment="1"/>
    <xf numFmtId="0" fontId="0" fillId="16" borderId="10" xfId="0" applyNumberFormat="1" applyFont="1" applyFill="1" applyBorder="1" applyAlignment="1"/>
    <xf numFmtId="0" fontId="0" fillId="16" borderId="5" xfId="0" applyNumberFormat="1" applyFont="1" applyFill="1" applyBorder="1" applyAlignment="1"/>
    <xf numFmtId="0" fontId="0" fillId="16" borderId="6" xfId="0" applyNumberFormat="1" applyFont="1" applyFill="1" applyBorder="1" applyAlignment="1"/>
    <xf numFmtId="0" fontId="0" fillId="16" borderId="7" xfId="0" applyNumberFormat="1" applyFont="1" applyFill="1" applyBorder="1" applyAlignment="1"/>
    <xf numFmtId="0" fontId="0" fillId="16" borderId="0" xfId="0" applyNumberFormat="1" applyFont="1" applyFill="1" applyAlignment="1"/>
    <xf numFmtId="0" fontId="0" fillId="16" borderId="11" xfId="0" applyNumberFormat="1" applyFont="1" applyFill="1" applyBorder="1" applyAlignment="1"/>
    <xf numFmtId="0" fontId="0" fillId="16" borderId="4" xfId="0" applyNumberFormat="1" applyFont="1" applyFill="1" applyBorder="1" applyAlignment="1"/>
    <xf numFmtId="0" fontId="0" fillId="0" borderId="19" xfId="0" applyNumberFormat="1" applyFont="1" applyBorder="1" applyAlignment="1"/>
    <xf numFmtId="0" fontId="14" fillId="2" borderId="6" xfId="0" applyNumberFormat="1" applyFont="1" applyFill="1" applyBorder="1" applyAlignment="1"/>
    <xf numFmtId="0" fontId="15" fillId="2" borderId="6" xfId="0" applyNumberFormat="1" applyFont="1" applyFill="1" applyBorder="1" applyAlignment="1"/>
    <xf numFmtId="0" fontId="8" fillId="2" borderId="6" xfId="0" applyNumberFormat="1" applyFont="1" applyFill="1" applyBorder="1" applyAlignment="1"/>
    <xf numFmtId="4" fontId="4" fillId="0" borderId="6" xfId="0" applyNumberFormat="1" applyFont="1" applyBorder="1" applyAlignment="1"/>
    <xf numFmtId="166" fontId="2" fillId="2" borderId="6" xfId="0" applyNumberFormat="1" applyFont="1" applyFill="1" applyBorder="1" applyAlignment="1"/>
    <xf numFmtId="167" fontId="2" fillId="2" borderId="6" xfId="0" applyNumberFormat="1" applyFont="1" applyFill="1" applyBorder="1" applyAlignment="1"/>
    <xf numFmtId="0" fontId="7" fillId="2" borderId="6" xfId="0" applyNumberFormat="1" applyFont="1" applyFill="1" applyBorder="1" applyAlignment="1"/>
    <xf numFmtId="4" fontId="0" fillId="2" borderId="6" xfId="0" applyNumberFormat="1" applyFont="1" applyFill="1" applyBorder="1" applyAlignment="1"/>
    <xf numFmtId="10" fontId="3" fillId="9" borderId="19" xfId="0" applyNumberFormat="1" applyFont="1" applyFill="1" applyBorder="1" applyAlignment="1"/>
    <xf numFmtId="2" fontId="3" fillId="0" borderId="19" xfId="0" applyNumberFormat="1" applyFont="1" applyFill="1" applyBorder="1" applyAlignment="1"/>
    <xf numFmtId="165" fontId="3" fillId="0" borderId="19" xfId="0" applyNumberFormat="1" applyFont="1" applyFill="1" applyBorder="1" applyAlignment="1"/>
    <xf numFmtId="166" fontId="3" fillId="0" borderId="27" xfId="0" applyNumberFormat="1" applyFont="1" applyFill="1" applyBorder="1" applyAlignment="1"/>
    <xf numFmtId="4" fontId="3" fillId="0" borderId="27" xfId="0" applyNumberFormat="1" applyFont="1" applyFill="1" applyBorder="1" applyAlignment="1"/>
    <xf numFmtId="166" fontId="22" fillId="2" borderId="19" xfId="0" applyNumberFormat="1" applyFont="1" applyFill="1" applyBorder="1" applyAlignment="1">
      <alignment horizontal="left"/>
    </xf>
    <xf numFmtId="43" fontId="3" fillId="5" borderId="19" xfId="1" applyFont="1" applyFill="1" applyBorder="1" applyAlignment="1"/>
    <xf numFmtId="43" fontId="3" fillId="11" borderId="19" xfId="1" applyFont="1" applyFill="1" applyBorder="1" applyAlignment="1">
      <alignment horizontal="left"/>
    </xf>
    <xf numFmtId="166" fontId="3" fillId="16" borderId="19" xfId="0" applyNumberFormat="1" applyFont="1" applyFill="1" applyBorder="1" applyAlignment="1"/>
    <xf numFmtId="2" fontId="3" fillId="16" borderId="19" xfId="0" applyNumberFormat="1" applyFont="1" applyFill="1" applyBorder="1" applyAlignment="1"/>
    <xf numFmtId="166" fontId="3" fillId="16" borderId="27" xfId="0" applyNumberFormat="1" applyFont="1" applyFill="1" applyBorder="1" applyAlignment="1"/>
    <xf numFmtId="165" fontId="3" fillId="16" borderId="19" xfId="0" applyNumberFormat="1" applyFont="1" applyFill="1" applyBorder="1" applyAlignment="1"/>
    <xf numFmtId="4" fontId="3" fillId="16" borderId="27" xfId="0" applyNumberFormat="1" applyFont="1" applyFill="1" applyBorder="1" applyAlignment="1"/>
    <xf numFmtId="4" fontId="3" fillId="16" borderId="19" xfId="0" applyNumberFormat="1" applyFont="1" applyFill="1" applyBorder="1" applyAlignment="1"/>
    <xf numFmtId="166" fontId="6" fillId="2" borderId="19" xfId="0" applyNumberFormat="1" applyFont="1" applyFill="1" applyBorder="1" applyAlignment="1"/>
    <xf numFmtId="165" fontId="6" fillId="2" borderId="19" xfId="0" applyNumberFormat="1" applyFont="1" applyFill="1" applyBorder="1" applyAlignment="1"/>
    <xf numFmtId="166" fontId="6" fillId="2" borderId="27" xfId="0" applyNumberFormat="1" applyFont="1" applyFill="1" applyBorder="1" applyAlignment="1"/>
    <xf numFmtId="166" fontId="4" fillId="7" borderId="19" xfId="0" applyNumberFormat="1" applyFont="1" applyFill="1" applyBorder="1"/>
    <xf numFmtId="166" fontId="4" fillId="7" borderId="19" xfId="0" applyNumberFormat="1" applyFont="1" applyFill="1" applyBorder="1" applyAlignment="1">
      <alignment horizontal="left"/>
    </xf>
    <xf numFmtId="166" fontId="17" fillId="13" borderId="19" xfId="0" applyNumberFormat="1" applyFont="1" applyFill="1" applyBorder="1" applyAlignment="1"/>
    <xf numFmtId="164" fontId="3" fillId="2" borderId="19" xfId="0" applyNumberFormat="1" applyFont="1" applyFill="1" applyBorder="1" applyAlignment="1"/>
    <xf numFmtId="43" fontId="1" fillId="3" borderId="19" xfId="1" applyFont="1" applyFill="1" applyBorder="1" applyAlignment="1">
      <alignment horizontal="center" vertical="top" wrapText="1"/>
    </xf>
    <xf numFmtId="43" fontId="4" fillId="4" borderId="19" xfId="1" applyFont="1" applyFill="1" applyBorder="1" applyAlignment="1">
      <alignment vertical="top" wrapText="1"/>
    </xf>
    <xf numFmtId="43" fontId="3" fillId="4" borderId="19" xfId="1" applyFont="1" applyFill="1" applyBorder="1" applyAlignment="1">
      <alignment vertical="top" wrapText="1"/>
    </xf>
    <xf numFmtId="43" fontId="3" fillId="4" borderId="19" xfId="1" applyFont="1" applyFill="1" applyBorder="1" applyAlignment="1"/>
    <xf numFmtId="43" fontId="3" fillId="17" borderId="19" xfId="1" applyFont="1" applyFill="1" applyBorder="1" applyAlignment="1"/>
    <xf numFmtId="43" fontId="3" fillId="5" borderId="19" xfId="1" applyFont="1" applyFill="1" applyBorder="1" applyAlignment="1">
      <alignment horizontal="left"/>
    </xf>
    <xf numFmtId="43" fontId="3" fillId="11" borderId="19" xfId="1" applyFont="1" applyFill="1" applyBorder="1" applyAlignment="1"/>
    <xf numFmtId="43" fontId="0" fillId="2" borderId="6" xfId="1" applyFont="1" applyFill="1" applyBorder="1" applyAlignment="1"/>
    <xf numFmtId="43" fontId="0" fillId="0" borderId="0" xfId="1" applyFont="1" applyAlignment="1"/>
    <xf numFmtId="165" fontId="3" fillId="0" borderId="31" xfId="0" applyNumberFormat="1" applyFont="1" applyFill="1" applyBorder="1" applyAlignment="1">
      <alignment horizontal="center" wrapText="1"/>
    </xf>
    <xf numFmtId="165" fontId="11" fillId="0" borderId="31" xfId="0" applyNumberFormat="1" applyFont="1" applyFill="1" applyBorder="1" applyAlignment="1">
      <alignment horizontal="center" wrapText="1"/>
    </xf>
    <xf numFmtId="165" fontId="17" fillId="0" borderId="31" xfId="0" applyNumberFormat="1" applyFont="1" applyFill="1" applyBorder="1" applyAlignment="1">
      <alignment horizontal="center" wrapText="1"/>
    </xf>
    <xf numFmtId="49" fontId="17" fillId="0" borderId="19" xfId="0" applyNumberFormat="1" applyFont="1" applyFill="1" applyBorder="1" applyAlignment="1">
      <alignment wrapText="1"/>
    </xf>
    <xf numFmtId="165" fontId="22" fillId="0" borderId="31" xfId="0" applyNumberFormat="1" applyFont="1" applyFill="1" applyBorder="1" applyAlignment="1">
      <alignment horizontal="center" wrapText="1"/>
    </xf>
    <xf numFmtId="49" fontId="22" fillId="0" borderId="19" xfId="0" applyNumberFormat="1" applyFont="1" applyFill="1" applyBorder="1" applyAlignment="1">
      <alignment wrapText="1"/>
    </xf>
    <xf numFmtId="165" fontId="3" fillId="0" borderId="31" xfId="0" applyNumberFormat="1" applyFont="1" applyFill="1" applyBorder="1" applyAlignment="1">
      <alignment horizontal="right" wrapText="1"/>
    </xf>
    <xf numFmtId="166" fontId="3" fillId="2" borderId="19" xfId="0" applyNumberFormat="1" applyFont="1" applyFill="1" applyBorder="1" applyAlignment="1">
      <alignment horizontal="left" wrapText="1"/>
    </xf>
    <xf numFmtId="0" fontId="23" fillId="0" borderId="0" xfId="0" applyFont="1" applyAlignment="1"/>
    <xf numFmtId="166" fontId="17" fillId="13" borderId="19" xfId="0" applyNumberFormat="1" applyFont="1" applyFill="1" applyBorder="1" applyAlignment="1">
      <alignment horizontal="left"/>
    </xf>
    <xf numFmtId="2" fontId="3" fillId="2" borderId="19" xfId="0" applyNumberFormat="1" applyFont="1" applyFill="1" applyBorder="1" applyAlignment="1">
      <alignment horizontal="right"/>
    </xf>
    <xf numFmtId="166" fontId="4" fillId="17" borderId="31" xfId="0" applyNumberFormat="1" applyFont="1" applyFill="1" applyBorder="1" applyAlignment="1">
      <alignment horizontal="center" wrapText="1"/>
    </xf>
    <xf numFmtId="166" fontId="4" fillId="17" borderId="19" xfId="0" applyNumberFormat="1" applyFont="1" applyFill="1" applyBorder="1" applyAlignment="1">
      <alignment horizontal="center" wrapText="1"/>
    </xf>
    <xf numFmtId="49" fontId="19" fillId="12" borderId="31" xfId="0" applyNumberFormat="1" applyFont="1" applyFill="1" applyBorder="1" applyAlignment="1">
      <alignment horizontal="center" vertical="top" wrapText="1"/>
    </xf>
    <xf numFmtId="49" fontId="19" fillId="12" borderId="19" xfId="0" applyNumberFormat="1" applyFont="1" applyFill="1" applyBorder="1" applyAlignment="1">
      <alignment horizontal="center" vertical="top" wrapText="1"/>
    </xf>
    <xf numFmtId="49" fontId="19" fillId="4" borderId="31" xfId="0" applyNumberFormat="1" applyFont="1" applyFill="1" applyBorder="1" applyAlignment="1">
      <alignment horizontal="center" vertical="top" wrapText="1"/>
    </xf>
    <xf numFmtId="49" fontId="19" fillId="4" borderId="19" xfId="0" applyNumberFormat="1" applyFont="1" applyFill="1" applyBorder="1" applyAlignment="1">
      <alignment horizontal="center" vertical="top" wrapText="1"/>
    </xf>
    <xf numFmtId="49" fontId="12" fillId="2" borderId="28" xfId="0" applyNumberFormat="1" applyFont="1" applyFill="1" applyBorder="1" applyAlignment="1">
      <alignment horizontal="center"/>
    </xf>
    <xf numFmtId="0" fontId="12" fillId="2" borderId="29" xfId="0" applyNumberFormat="1" applyFont="1" applyFill="1" applyBorder="1" applyAlignment="1">
      <alignment horizontal="center"/>
    </xf>
    <xf numFmtId="0" fontId="12" fillId="2" borderId="30" xfId="0" applyNumberFormat="1" applyFont="1" applyFill="1" applyBorder="1" applyAlignment="1">
      <alignment horizontal="center"/>
    </xf>
    <xf numFmtId="49" fontId="19" fillId="4" borderId="27" xfId="0" applyNumberFormat="1" applyFont="1" applyFill="1" applyBorder="1" applyAlignment="1">
      <alignment horizontal="center" vertical="top" wrapText="1"/>
    </xf>
    <xf numFmtId="0" fontId="21" fillId="17" borderId="31" xfId="0" applyFont="1" applyFill="1" applyBorder="1" applyAlignment="1">
      <alignment horizontal="center" wrapText="1"/>
    </xf>
    <xf numFmtId="0" fontId="21" fillId="17" borderId="19" xfId="0" applyFont="1" applyFill="1" applyBorder="1" applyAlignment="1">
      <alignment horizontal="center" wrapText="1"/>
    </xf>
    <xf numFmtId="166" fontId="6" fillId="5" borderId="19" xfId="0" applyNumberFormat="1" applyFont="1" applyFill="1" applyBorder="1" applyAlignment="1"/>
    <xf numFmtId="3" fontId="24" fillId="0" borderId="19" xfId="0" applyNumberFormat="1" applyFont="1" applyBorder="1" applyAlignment="1"/>
    <xf numFmtId="4" fontId="24" fillId="0" borderId="19" xfId="0" applyNumberFormat="1" applyFont="1" applyBorder="1" applyAlignment="1"/>
    <xf numFmtId="4" fontId="3" fillId="0" borderId="19" xfId="0" applyNumberFormat="1" applyFont="1" applyBorder="1" applyAlignment="1"/>
    <xf numFmtId="3" fontId="24" fillId="0" borderId="27" xfId="0" applyNumberFormat="1" applyFont="1" applyBorder="1" applyAlignment="1"/>
    <xf numFmtId="165" fontId="3" fillId="0" borderId="27" xfId="0" applyNumberFormat="1" applyFont="1" applyFill="1" applyBorder="1" applyAlignment="1"/>
    <xf numFmtId="49" fontId="11" fillId="0" borderId="19" xfId="0" applyNumberFormat="1" applyFont="1" applyFill="1" applyBorder="1" applyAlignment="1">
      <alignment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0000"/>
      <rgbColor rgb="FFFFFFFF"/>
      <rgbColor rgb="FFAAAAAA"/>
      <rgbColor rgb="FF92D050"/>
      <rgbColor rgb="FFDBE5F1"/>
      <rgbColor rgb="FFB6DDE8"/>
      <rgbColor rgb="FFFFFF00"/>
      <rgbColor rgb="FF95B3D7"/>
      <rgbColor rgb="FFFDE9D9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11909</xdr:rowOff>
    </xdr:from>
    <xdr:to>
      <xdr:col>12</xdr:col>
      <xdr:colOff>11906</xdr:colOff>
      <xdr:row>26</xdr:row>
      <xdr:rowOff>23816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909"/>
          <a:ext cx="8012906" cy="43457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11908</xdr:rowOff>
    </xdr:from>
    <xdr:to>
      <xdr:col>14</xdr:col>
      <xdr:colOff>511968</xdr:colOff>
      <xdr:row>27</xdr:row>
      <xdr:rowOff>71436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908"/>
          <a:ext cx="9846468" cy="45600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11910</xdr:rowOff>
    </xdr:from>
    <xdr:to>
      <xdr:col>16</xdr:col>
      <xdr:colOff>166686</xdr:colOff>
      <xdr:row>26</xdr:row>
      <xdr:rowOff>83344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910"/>
          <a:ext cx="9786936" cy="50244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 Theme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8" tIns="45718" rIns="45718" bIns="45718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154"/>
  <sheetViews>
    <sheetView showGridLines="0" tabSelected="1" view="pageBreakPreview" zoomScaleNormal="160" zoomScaleSheetLayoutView="100" workbookViewId="0">
      <pane ySplit="2" topLeftCell="A3" activePane="bottomLeft" state="frozen"/>
      <selection pane="bottomLeft" activeCell="A3" sqref="A3:C3"/>
    </sheetView>
  </sheetViews>
  <sheetFormatPr defaultColWidth="8.85546875" defaultRowHeight="15.75" customHeight="1"/>
  <cols>
    <col min="1" max="1" width="6.42578125" style="1" customWidth="1"/>
    <col min="2" max="2" width="47" style="1" customWidth="1"/>
    <col min="3" max="3" width="53.7109375" style="1" customWidth="1"/>
    <col min="4" max="4" width="18.28515625" style="1" customWidth="1"/>
    <col min="5" max="5" width="17.42578125" style="1" customWidth="1"/>
    <col min="6" max="6" width="21.140625" style="1" customWidth="1"/>
    <col min="7" max="7" width="19.85546875" style="1" customWidth="1"/>
    <col min="8" max="8" width="17.85546875" style="1" customWidth="1"/>
    <col min="9" max="9" width="18" style="1" customWidth="1"/>
    <col min="10" max="10" width="20.28515625" style="1" customWidth="1"/>
    <col min="11" max="11" width="17.140625" style="31" customWidth="1"/>
    <col min="12" max="12" width="19.7109375" style="1" customWidth="1"/>
    <col min="13" max="13" width="17.7109375" style="216" customWidth="1"/>
    <col min="14" max="14" width="22.42578125" style="1" customWidth="1"/>
    <col min="15" max="15" width="19.42578125" style="1" customWidth="1"/>
    <col min="16" max="16" width="21" style="31" customWidth="1"/>
    <col min="17" max="17" width="9.28515625" style="1" customWidth="1"/>
    <col min="18" max="18" width="20.42578125" style="1" customWidth="1"/>
    <col min="19" max="19" width="9.140625" style="1" customWidth="1"/>
    <col min="20" max="20" width="10.140625" style="1" customWidth="1"/>
    <col min="21" max="21" width="11" style="1" customWidth="1"/>
    <col min="22" max="22" width="12.140625" style="1" customWidth="1"/>
    <col min="23" max="23" width="15.42578125" style="1" customWidth="1"/>
    <col min="24" max="24" width="16.7109375" style="1" customWidth="1"/>
    <col min="25" max="25" width="15" style="1" customWidth="1"/>
    <col min="26" max="26" width="14.42578125" style="1" customWidth="1"/>
    <col min="27" max="27" width="14.7109375" style="1" customWidth="1"/>
    <col min="28" max="28" width="20" style="1" customWidth="1"/>
    <col min="29" max="29" width="18.140625" style="1" customWidth="1"/>
    <col min="30" max="30" width="18.42578125" style="1" customWidth="1"/>
    <col min="31" max="31" width="12.42578125" style="1" customWidth="1"/>
    <col min="32" max="257" width="8.85546875" style="1" customWidth="1"/>
  </cols>
  <sheetData>
    <row r="1" spans="1:257" ht="39" customHeight="1">
      <c r="A1" s="234" t="s">
        <v>209</v>
      </c>
      <c r="B1" s="235"/>
      <c r="C1" s="235"/>
      <c r="D1" s="235"/>
      <c r="E1" s="235"/>
      <c r="F1" s="235"/>
      <c r="G1" s="235"/>
      <c r="H1" s="235"/>
      <c r="I1" s="235"/>
      <c r="J1" s="235"/>
      <c r="K1" s="235"/>
      <c r="L1" s="235"/>
      <c r="M1" s="235"/>
      <c r="N1" s="235"/>
      <c r="O1" s="235"/>
      <c r="P1" s="235"/>
      <c r="Q1" s="235"/>
      <c r="R1" s="235"/>
      <c r="S1" s="235"/>
      <c r="T1" s="235"/>
      <c r="U1" s="235"/>
      <c r="V1" s="235"/>
      <c r="W1" s="235"/>
      <c r="X1" s="235"/>
      <c r="Y1" s="235"/>
      <c r="Z1" s="235"/>
      <c r="AA1" s="235"/>
      <c r="AB1" s="236"/>
      <c r="AC1" s="132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31"/>
      <c r="AP1" s="31"/>
      <c r="AQ1" s="31"/>
      <c r="AR1" s="31"/>
      <c r="AS1" s="31"/>
      <c r="AT1" s="31"/>
      <c r="AU1" s="31"/>
      <c r="AV1" s="31"/>
      <c r="AW1" s="31"/>
      <c r="AX1" s="31"/>
      <c r="AY1" s="31"/>
      <c r="AZ1" s="31"/>
      <c r="BA1" s="31"/>
      <c r="BB1" s="31"/>
      <c r="BC1" s="31"/>
      <c r="BD1" s="31"/>
      <c r="BE1" s="31"/>
      <c r="BF1" s="31"/>
      <c r="BG1" s="31"/>
      <c r="BH1" s="31"/>
      <c r="BI1" s="31"/>
      <c r="BJ1" s="31"/>
      <c r="BK1" s="31"/>
      <c r="BL1" s="31"/>
      <c r="BM1" s="31"/>
      <c r="BN1" s="31"/>
      <c r="BO1" s="31"/>
      <c r="BP1" s="31"/>
      <c r="BQ1" s="31"/>
      <c r="BR1" s="31"/>
      <c r="BS1" s="31"/>
      <c r="BT1" s="31"/>
      <c r="BU1" s="31"/>
      <c r="BV1" s="31"/>
      <c r="BW1" s="31"/>
      <c r="BX1" s="31"/>
      <c r="BY1" s="31"/>
      <c r="BZ1" s="31"/>
      <c r="CA1" s="31"/>
      <c r="CB1" s="31"/>
      <c r="CC1" s="31"/>
      <c r="CD1" s="31"/>
      <c r="CE1" s="31"/>
      <c r="CF1" s="31"/>
      <c r="CG1" s="31"/>
      <c r="CH1" s="31"/>
      <c r="CI1" s="31"/>
      <c r="CJ1" s="31"/>
      <c r="CK1" s="31"/>
      <c r="CL1" s="31"/>
      <c r="CM1" s="31"/>
      <c r="CN1" s="31"/>
      <c r="CO1" s="31"/>
      <c r="CP1" s="31"/>
      <c r="CQ1" s="31"/>
      <c r="CR1" s="31"/>
      <c r="CS1" s="31"/>
      <c r="CT1" s="31"/>
      <c r="CU1" s="31"/>
      <c r="CV1" s="31"/>
      <c r="CW1" s="31"/>
      <c r="CX1" s="31"/>
      <c r="CY1" s="31"/>
      <c r="CZ1" s="31"/>
      <c r="DA1" s="31"/>
      <c r="DB1" s="31"/>
      <c r="DC1" s="31"/>
      <c r="DD1" s="31"/>
      <c r="DE1" s="31"/>
      <c r="DF1" s="31"/>
      <c r="DG1" s="31"/>
      <c r="DH1" s="31"/>
      <c r="DI1" s="31"/>
      <c r="DJ1" s="31"/>
      <c r="DK1" s="31"/>
      <c r="DL1" s="31"/>
      <c r="DM1" s="31"/>
      <c r="DN1" s="31"/>
      <c r="DO1" s="31"/>
      <c r="DP1" s="31"/>
      <c r="DQ1" s="31"/>
      <c r="DR1" s="31"/>
      <c r="DS1" s="31"/>
      <c r="DT1" s="31"/>
      <c r="DU1" s="31"/>
      <c r="DV1" s="31"/>
      <c r="DW1" s="31"/>
      <c r="DX1" s="31"/>
      <c r="DY1" s="31"/>
      <c r="DZ1" s="31"/>
      <c r="EA1" s="31"/>
      <c r="EB1" s="31"/>
      <c r="EC1" s="31"/>
      <c r="ED1" s="31"/>
      <c r="EE1" s="31"/>
      <c r="EF1" s="31"/>
      <c r="EG1" s="31"/>
      <c r="EH1" s="31"/>
      <c r="EI1" s="31"/>
      <c r="EJ1" s="31"/>
      <c r="EK1" s="31"/>
      <c r="EL1" s="31"/>
      <c r="EM1" s="31"/>
      <c r="EN1" s="31"/>
      <c r="EO1" s="31"/>
      <c r="EP1" s="31"/>
      <c r="EQ1" s="31"/>
      <c r="ER1" s="31"/>
      <c r="ES1" s="31"/>
      <c r="ET1" s="31"/>
      <c r="EU1" s="31"/>
      <c r="EV1" s="31"/>
      <c r="EW1" s="31"/>
      <c r="EX1" s="31"/>
      <c r="EY1" s="31"/>
      <c r="EZ1" s="31"/>
      <c r="FA1" s="31"/>
      <c r="FB1" s="31"/>
      <c r="FC1" s="31"/>
      <c r="FD1" s="31"/>
      <c r="FE1" s="31"/>
      <c r="FF1" s="31"/>
      <c r="FG1" s="31"/>
      <c r="FH1" s="31"/>
      <c r="FI1" s="31"/>
      <c r="FJ1" s="31"/>
      <c r="FK1" s="31"/>
      <c r="FL1" s="31"/>
      <c r="FM1" s="31"/>
      <c r="FN1" s="31"/>
      <c r="FO1" s="31"/>
      <c r="FP1" s="31"/>
      <c r="FQ1" s="31"/>
      <c r="FR1" s="31"/>
      <c r="FS1" s="31"/>
      <c r="FT1" s="31"/>
      <c r="FU1" s="31"/>
      <c r="FV1" s="31"/>
      <c r="FW1" s="31"/>
      <c r="FX1" s="31"/>
      <c r="FY1" s="31"/>
      <c r="FZ1" s="31"/>
      <c r="GA1" s="31"/>
      <c r="GB1" s="31"/>
      <c r="GC1" s="31"/>
      <c r="GD1" s="31"/>
      <c r="GE1" s="31"/>
      <c r="GF1" s="31"/>
      <c r="GG1" s="31"/>
      <c r="GH1" s="31"/>
      <c r="GI1" s="31"/>
      <c r="GJ1" s="31"/>
      <c r="GK1" s="31"/>
      <c r="GL1" s="31"/>
      <c r="GM1" s="31"/>
      <c r="GN1" s="31"/>
      <c r="GO1" s="31"/>
      <c r="GP1" s="31"/>
      <c r="GQ1" s="31"/>
      <c r="GR1" s="31"/>
      <c r="GS1" s="31"/>
      <c r="GT1" s="31"/>
      <c r="GU1" s="31"/>
      <c r="GV1" s="31"/>
      <c r="GW1" s="31"/>
      <c r="GX1" s="31"/>
      <c r="GY1" s="31"/>
      <c r="GZ1" s="31"/>
      <c r="HA1" s="31"/>
      <c r="HB1" s="31"/>
      <c r="HC1" s="31"/>
      <c r="HD1" s="31"/>
      <c r="HE1" s="31"/>
      <c r="HF1" s="31"/>
      <c r="HG1" s="31"/>
      <c r="HH1" s="31"/>
      <c r="HI1" s="31"/>
      <c r="HJ1" s="31"/>
      <c r="HK1" s="31"/>
      <c r="HL1" s="31"/>
      <c r="HM1" s="31"/>
      <c r="HN1" s="31"/>
      <c r="HO1" s="31"/>
      <c r="HP1" s="31"/>
      <c r="HQ1" s="31"/>
      <c r="HR1" s="31"/>
      <c r="HS1" s="31"/>
      <c r="HT1" s="31"/>
      <c r="HU1" s="31"/>
      <c r="HV1" s="31"/>
      <c r="HW1" s="31"/>
      <c r="HX1" s="31"/>
      <c r="HY1" s="31"/>
      <c r="HZ1" s="31"/>
      <c r="IA1" s="31"/>
      <c r="IB1" s="31"/>
      <c r="IC1" s="31"/>
      <c r="ID1" s="31"/>
      <c r="IE1" s="31"/>
      <c r="IF1" s="31"/>
      <c r="IG1" s="31"/>
      <c r="IH1" s="31"/>
      <c r="II1" s="31"/>
      <c r="IJ1" s="31"/>
      <c r="IK1" s="31"/>
      <c r="IL1" s="31"/>
      <c r="IM1" s="31"/>
      <c r="IN1" s="31"/>
      <c r="IO1" s="31"/>
      <c r="IP1" s="31"/>
      <c r="IQ1" s="31"/>
      <c r="IR1" s="31"/>
      <c r="IS1" s="31"/>
      <c r="IT1" s="31"/>
      <c r="IU1" s="31"/>
      <c r="IV1" s="31"/>
      <c r="IW1" s="31"/>
    </row>
    <row r="2" spans="1:257" ht="54" customHeight="1">
      <c r="A2" s="140" t="s">
        <v>197</v>
      </c>
      <c r="B2" s="133" t="s">
        <v>0</v>
      </c>
      <c r="C2" s="133" t="s">
        <v>1</v>
      </c>
      <c r="D2" s="133" t="s">
        <v>2</v>
      </c>
      <c r="E2" s="133" t="s">
        <v>3</v>
      </c>
      <c r="F2" s="133" t="s">
        <v>4</v>
      </c>
      <c r="G2" s="133" t="s">
        <v>5</v>
      </c>
      <c r="H2" s="133" t="s">
        <v>6</v>
      </c>
      <c r="I2" s="133" t="s">
        <v>7</v>
      </c>
      <c r="J2" s="133" t="s">
        <v>8</v>
      </c>
      <c r="K2" s="133" t="s">
        <v>167</v>
      </c>
      <c r="L2" s="133" t="s">
        <v>9</v>
      </c>
      <c r="M2" s="208" t="s">
        <v>10</v>
      </c>
      <c r="N2" s="133" t="s">
        <v>11</v>
      </c>
      <c r="O2" s="133" t="s">
        <v>12</v>
      </c>
      <c r="P2" s="133" t="s">
        <v>208</v>
      </c>
      <c r="Q2" s="133" t="s">
        <v>13</v>
      </c>
      <c r="R2" s="133" t="s">
        <v>210</v>
      </c>
      <c r="S2" s="133" t="s">
        <v>13</v>
      </c>
      <c r="T2" s="133" t="s">
        <v>14</v>
      </c>
      <c r="U2" s="133" t="s">
        <v>15</v>
      </c>
      <c r="V2" s="133" t="s">
        <v>16</v>
      </c>
      <c r="W2" s="133" t="s">
        <v>17</v>
      </c>
      <c r="X2" s="133" t="s">
        <v>18</v>
      </c>
      <c r="Y2" s="133" t="s">
        <v>19</v>
      </c>
      <c r="Z2" s="133" t="s">
        <v>20</v>
      </c>
      <c r="AA2" s="133" t="s">
        <v>21</v>
      </c>
      <c r="AB2" s="141" t="s">
        <v>22</v>
      </c>
      <c r="AC2" s="39"/>
      <c r="AD2" s="4"/>
      <c r="AE2" s="4"/>
      <c r="AF2" s="4"/>
      <c r="AG2" s="5"/>
      <c r="AH2" s="6"/>
      <c r="AI2" s="6"/>
      <c r="AJ2" s="6"/>
      <c r="AK2" s="7"/>
      <c r="AL2" s="5"/>
      <c r="AM2" s="6"/>
      <c r="AN2" s="6"/>
      <c r="AO2" s="6"/>
      <c r="AP2" s="7"/>
      <c r="AQ2" s="5"/>
      <c r="AR2" s="6"/>
      <c r="AS2" s="6"/>
      <c r="AT2" s="6"/>
      <c r="AU2" s="7"/>
    </row>
    <row r="3" spans="1:257" ht="18" customHeight="1">
      <c r="A3" s="232" t="s">
        <v>23</v>
      </c>
      <c r="B3" s="233"/>
      <c r="C3" s="233"/>
      <c r="D3" s="134"/>
      <c r="E3" s="134"/>
      <c r="F3" s="134"/>
      <c r="G3" s="134"/>
      <c r="H3" s="134"/>
      <c r="I3" s="134"/>
      <c r="J3" s="134"/>
      <c r="K3" s="134"/>
      <c r="L3" s="134"/>
      <c r="M3" s="209"/>
      <c r="N3" s="134"/>
      <c r="O3" s="134"/>
      <c r="P3" s="134"/>
      <c r="Q3" s="134"/>
      <c r="R3" s="134"/>
      <c r="S3" s="134"/>
      <c r="T3" s="134"/>
      <c r="U3" s="134"/>
      <c r="V3" s="134"/>
      <c r="W3" s="134"/>
      <c r="X3" s="134"/>
      <c r="Y3" s="134"/>
      <c r="Z3" s="134"/>
      <c r="AA3" s="134"/>
      <c r="AB3" s="142"/>
      <c r="AC3" s="13"/>
      <c r="AD3" s="4"/>
      <c r="AE3" s="4"/>
      <c r="AF3" s="4"/>
      <c r="AG3" s="5"/>
      <c r="AH3" s="6"/>
      <c r="AI3" s="6"/>
      <c r="AJ3" s="6"/>
      <c r="AK3" s="7"/>
      <c r="AL3" s="5"/>
      <c r="AM3" s="6"/>
      <c r="AN3" s="6"/>
      <c r="AO3" s="6"/>
      <c r="AP3" s="7"/>
      <c r="AQ3" s="5"/>
      <c r="AR3" s="6"/>
      <c r="AS3" s="6"/>
      <c r="AT3" s="6"/>
      <c r="AU3" s="7"/>
    </row>
    <row r="4" spans="1:257" ht="18" customHeight="1">
      <c r="A4" s="217">
        <v>1</v>
      </c>
      <c r="B4" s="83" t="s">
        <v>24</v>
      </c>
      <c r="C4" s="83" t="s">
        <v>25</v>
      </c>
      <c r="D4" s="77">
        <v>4925537821.8000002</v>
      </c>
      <c r="E4" s="101"/>
      <c r="F4" s="78">
        <v>1887445558.55</v>
      </c>
      <c r="G4" s="78">
        <v>60958730.619999997</v>
      </c>
      <c r="H4" s="78"/>
      <c r="I4" s="78"/>
      <c r="J4" s="79">
        <v>6873942110.9700003</v>
      </c>
      <c r="K4" s="101">
        <v>1621677.87</v>
      </c>
      <c r="L4" s="79">
        <v>16416115.960000001</v>
      </c>
      <c r="M4" s="193">
        <v>59407816.520000003</v>
      </c>
      <c r="N4" s="45">
        <v>6996728963.6300001</v>
      </c>
      <c r="O4" s="45">
        <v>49551651.590000004</v>
      </c>
      <c r="P4" s="46">
        <v>7054354581.0900002</v>
      </c>
      <c r="Q4" s="47">
        <f t="shared" ref="Q4:Q19" si="0">(P4/$P$20)</f>
        <v>0.45251935753566747</v>
      </c>
      <c r="R4" s="46">
        <v>6947177312.04</v>
      </c>
      <c r="S4" s="47">
        <f t="shared" ref="S4:S19" si="1">(R4/$R$20)</f>
        <v>0.44368261549250909</v>
      </c>
      <c r="T4" s="48">
        <f t="shared" ref="T4:T17" si="2">((R4-P4)/P4)</f>
        <v>-1.519306519370334E-2</v>
      </c>
      <c r="U4" s="84">
        <f t="shared" ref="U4:U16" si="3">(L4/R4)</f>
        <v>2.3629907835445042E-3</v>
      </c>
      <c r="V4" s="49">
        <f t="shared" ref="V4:V18" si="4">M4/R4</f>
        <v>8.5513603369589582E-3</v>
      </c>
      <c r="W4" s="50">
        <f t="shared" ref="W4:W18" si="5">R4/AB4</f>
        <v>11396.963534059794</v>
      </c>
      <c r="X4" s="50">
        <f t="shared" ref="X4:X18" si="6">M4/AB4</f>
        <v>97.459541926926519</v>
      </c>
      <c r="Y4" s="78">
        <v>11295.53</v>
      </c>
      <c r="Z4" s="78">
        <v>11453.21</v>
      </c>
      <c r="AA4" s="189">
        <v>17160</v>
      </c>
      <c r="AB4" s="191">
        <v>609563.88</v>
      </c>
      <c r="AC4" s="35"/>
      <c r="AD4" s="4"/>
      <c r="AE4" s="4"/>
      <c r="AF4" s="4"/>
      <c r="AG4" s="5"/>
      <c r="AH4" s="6"/>
      <c r="AI4" s="6"/>
      <c r="AJ4" s="6"/>
      <c r="AK4" s="7"/>
      <c r="AL4" s="5"/>
      <c r="AM4" s="6"/>
      <c r="AN4" s="6"/>
      <c r="AO4" s="6"/>
      <c r="AP4" s="7"/>
      <c r="AQ4" s="5"/>
      <c r="AR4" s="6"/>
      <c r="AS4" s="6"/>
      <c r="AT4" s="6"/>
      <c r="AU4" s="7"/>
    </row>
    <row r="5" spans="1:257" ht="18" customHeight="1">
      <c r="A5" s="217">
        <v>2</v>
      </c>
      <c r="B5" s="82" t="s">
        <v>26</v>
      </c>
      <c r="C5" s="83" t="s">
        <v>27</v>
      </c>
      <c r="D5" s="77">
        <v>739483974.25</v>
      </c>
      <c r="E5" s="101"/>
      <c r="F5" s="78">
        <v>64879867.939999998</v>
      </c>
      <c r="G5" s="78"/>
      <c r="H5" s="78"/>
      <c r="I5" s="78"/>
      <c r="J5" s="79">
        <v>906373698.44000006</v>
      </c>
      <c r="K5" s="200">
        <v>872090.94</v>
      </c>
      <c r="L5" s="79">
        <v>1299465.73</v>
      </c>
      <c r="M5" s="193">
        <v>427374.79</v>
      </c>
      <c r="N5" s="45">
        <v>906373698.44000006</v>
      </c>
      <c r="O5" s="45">
        <v>2645275.7000000002</v>
      </c>
      <c r="P5" s="46">
        <v>891940047.45000005</v>
      </c>
      <c r="Q5" s="47">
        <f t="shared" si="0"/>
        <v>5.7215742785932035E-2</v>
      </c>
      <c r="R5" s="46">
        <v>903728422.74000001</v>
      </c>
      <c r="S5" s="47">
        <f t="shared" si="1"/>
        <v>5.7716763555364176E-2</v>
      </c>
      <c r="T5" s="48">
        <f t="shared" si="2"/>
        <v>1.3216555668401905E-2</v>
      </c>
      <c r="U5" s="84">
        <f t="shared" si="3"/>
        <v>1.4378940589919373E-3</v>
      </c>
      <c r="V5" s="49">
        <f t="shared" si="4"/>
        <v>4.7290179134152829E-4</v>
      </c>
      <c r="W5" s="50">
        <f t="shared" si="5"/>
        <v>1.653401691777951</v>
      </c>
      <c r="X5" s="50">
        <f t="shared" si="6"/>
        <v>7.8189662184890659E-4</v>
      </c>
      <c r="Y5" s="78">
        <v>1.82</v>
      </c>
      <c r="Z5" s="78">
        <v>1.85</v>
      </c>
      <c r="AA5" s="198">
        <v>3689</v>
      </c>
      <c r="AB5" s="199">
        <v>546587334</v>
      </c>
      <c r="AC5" s="36"/>
      <c r="AD5" s="9"/>
      <c r="AE5" s="9"/>
      <c r="AF5" s="9"/>
      <c r="AG5" s="5"/>
      <c r="AH5" s="6"/>
      <c r="AI5" s="6"/>
      <c r="AJ5" s="6"/>
      <c r="AK5" s="7"/>
      <c r="AL5" s="5"/>
      <c r="AM5" s="6"/>
      <c r="AN5" s="6"/>
      <c r="AO5" s="6"/>
      <c r="AP5" s="7"/>
      <c r="AQ5" s="5"/>
      <c r="AR5" s="6"/>
      <c r="AS5" s="6"/>
      <c r="AT5" s="6"/>
      <c r="AU5" s="7"/>
    </row>
    <row r="6" spans="1:257" ht="18" customHeight="1">
      <c r="A6" s="217">
        <v>3</v>
      </c>
      <c r="B6" s="82" t="s">
        <v>28</v>
      </c>
      <c r="C6" s="83" t="s">
        <v>29</v>
      </c>
      <c r="D6" s="77">
        <v>113982768.84999999</v>
      </c>
      <c r="E6" s="101"/>
      <c r="F6" s="78">
        <v>159058002.80000001</v>
      </c>
      <c r="G6" s="78"/>
      <c r="H6" s="78"/>
      <c r="I6" s="78"/>
      <c r="J6" s="79">
        <f>SUM(D6:F6)</f>
        <v>273040771.64999998</v>
      </c>
      <c r="K6" s="79">
        <v>1110581.6000000001</v>
      </c>
      <c r="L6" s="79">
        <v>674773.62</v>
      </c>
      <c r="M6" s="193">
        <v>3902804.36</v>
      </c>
      <c r="N6" s="45">
        <v>284340037.50999999</v>
      </c>
      <c r="O6" s="45">
        <v>23821699.329999998</v>
      </c>
      <c r="P6" s="46">
        <v>261338208.75</v>
      </c>
      <c r="Q6" s="47">
        <f t="shared" si="0"/>
        <v>1.6764198193280944E-2</v>
      </c>
      <c r="R6" s="46">
        <v>260518588.18000001</v>
      </c>
      <c r="S6" s="47">
        <f t="shared" si="1"/>
        <v>1.6638062251239219E-2</v>
      </c>
      <c r="T6" s="48">
        <f t="shared" si="2"/>
        <v>-3.1362446919656283E-3</v>
      </c>
      <c r="U6" s="84">
        <f t="shared" si="3"/>
        <v>2.5901169844117951E-3</v>
      </c>
      <c r="V6" s="49">
        <f t="shared" si="4"/>
        <v>1.4980905536396645E-2</v>
      </c>
      <c r="W6" s="50">
        <f t="shared" si="5"/>
        <v>130.34147438960264</v>
      </c>
      <c r="X6" s="50">
        <f t="shared" si="6"/>
        <v>1.9526333153052999</v>
      </c>
      <c r="Y6" s="78">
        <v>130.34</v>
      </c>
      <c r="Z6" s="78">
        <v>132.65</v>
      </c>
      <c r="AA6" s="189">
        <v>2470</v>
      </c>
      <c r="AB6" s="191">
        <v>1998739</v>
      </c>
      <c r="AC6" s="37"/>
      <c r="AD6" s="10"/>
      <c r="AE6" s="10"/>
      <c r="AF6" s="11"/>
      <c r="AG6" s="5"/>
      <c r="AH6" s="6"/>
      <c r="AI6" s="6"/>
      <c r="AJ6" s="6"/>
      <c r="AK6" s="7"/>
      <c r="AL6" s="5"/>
      <c r="AM6" s="6"/>
      <c r="AN6" s="6"/>
      <c r="AO6" s="6"/>
      <c r="AP6" s="7"/>
      <c r="AQ6" s="5"/>
      <c r="AR6" s="6"/>
      <c r="AS6" s="6"/>
      <c r="AT6" s="6"/>
      <c r="AU6" s="7"/>
    </row>
    <row r="7" spans="1:257" s="89" customFormat="1" ht="18" customHeight="1">
      <c r="A7" s="217">
        <v>4</v>
      </c>
      <c r="B7" s="83" t="s">
        <v>30</v>
      </c>
      <c r="C7" s="83" t="s">
        <v>31</v>
      </c>
      <c r="D7" s="77">
        <v>526432533.89999998</v>
      </c>
      <c r="E7" s="101"/>
      <c r="F7" s="78">
        <v>122738706.72</v>
      </c>
      <c r="G7" s="78">
        <v>10405205.48</v>
      </c>
      <c r="H7" s="78"/>
      <c r="I7" s="78"/>
      <c r="J7" s="79">
        <v>659576446.10000002</v>
      </c>
      <c r="K7" s="79">
        <v>1053593.58</v>
      </c>
      <c r="L7" s="79">
        <v>1046083.56</v>
      </c>
      <c r="M7" s="193">
        <v>7510.02</v>
      </c>
      <c r="N7" s="45">
        <v>659668342.38999999</v>
      </c>
      <c r="O7" s="45">
        <v>3258443.9</v>
      </c>
      <c r="P7" s="46">
        <v>636180814.90999997</v>
      </c>
      <c r="Q7" s="47">
        <f t="shared" si="0"/>
        <v>4.0809422085373581E-2</v>
      </c>
      <c r="R7" s="46">
        <v>656409898.49000001</v>
      </c>
      <c r="S7" s="47">
        <f t="shared" si="1"/>
        <v>4.1921725546356502E-2</v>
      </c>
      <c r="T7" s="98">
        <f t="shared" si="2"/>
        <v>3.1797695098463218E-2</v>
      </c>
      <c r="U7" s="84">
        <f t="shared" si="3"/>
        <v>1.5936437924022812E-3</v>
      </c>
      <c r="V7" s="99">
        <f t="shared" si="4"/>
        <v>1.1441052332202773E-5</v>
      </c>
      <c r="W7" s="100">
        <f t="shared" si="5"/>
        <v>18.828789415884597</v>
      </c>
      <c r="X7" s="100">
        <f t="shared" si="6"/>
        <v>2.1542116505916134E-4</v>
      </c>
      <c r="Y7" s="78">
        <v>18.55</v>
      </c>
      <c r="Z7" s="78">
        <v>18.89</v>
      </c>
      <c r="AA7" s="189">
        <v>8762</v>
      </c>
      <c r="AB7" s="191">
        <v>34862034.090000004</v>
      </c>
      <c r="AC7" s="170"/>
      <c r="AD7" s="171"/>
      <c r="AE7" s="171"/>
      <c r="AF7" s="171"/>
      <c r="AG7" s="172"/>
      <c r="AH7" s="173"/>
      <c r="AI7" s="173"/>
      <c r="AJ7" s="173"/>
      <c r="AK7" s="174"/>
      <c r="AL7" s="172"/>
      <c r="AM7" s="173"/>
      <c r="AN7" s="173"/>
      <c r="AO7" s="173"/>
      <c r="AP7" s="174"/>
      <c r="AQ7" s="172"/>
      <c r="AR7" s="173"/>
      <c r="AS7" s="173"/>
      <c r="AT7" s="173"/>
      <c r="AU7" s="174"/>
      <c r="AV7" s="175"/>
      <c r="AW7" s="175"/>
      <c r="AX7" s="175"/>
      <c r="AY7" s="175"/>
      <c r="AZ7" s="175"/>
      <c r="BA7" s="175"/>
      <c r="BB7" s="175"/>
      <c r="BC7" s="175"/>
      <c r="BD7" s="175"/>
      <c r="BE7" s="175"/>
      <c r="BF7" s="175"/>
      <c r="BG7" s="175"/>
      <c r="BH7" s="175"/>
      <c r="BI7" s="175"/>
      <c r="BJ7" s="175"/>
      <c r="BK7" s="175"/>
      <c r="BL7" s="175"/>
      <c r="BM7" s="175"/>
      <c r="BN7" s="175"/>
      <c r="BO7" s="175"/>
      <c r="BP7" s="175"/>
      <c r="BQ7" s="175"/>
      <c r="BR7" s="175"/>
      <c r="BS7" s="175"/>
      <c r="BT7" s="175"/>
      <c r="BU7" s="175"/>
      <c r="BV7" s="175"/>
      <c r="BW7" s="175"/>
      <c r="BX7" s="175"/>
      <c r="BY7" s="175"/>
      <c r="BZ7" s="88"/>
      <c r="CA7" s="88"/>
      <c r="CB7" s="88"/>
      <c r="CC7" s="88"/>
      <c r="CD7" s="88"/>
      <c r="CE7" s="88"/>
      <c r="CF7" s="88"/>
      <c r="CG7" s="88"/>
      <c r="CH7" s="88"/>
      <c r="CI7" s="88"/>
      <c r="CJ7" s="88"/>
      <c r="CK7" s="88"/>
      <c r="CL7" s="88"/>
      <c r="CM7" s="88"/>
      <c r="CN7" s="88"/>
      <c r="CO7" s="88"/>
      <c r="CP7" s="88"/>
      <c r="CQ7" s="88"/>
      <c r="CR7" s="88"/>
      <c r="CS7" s="88"/>
      <c r="CT7" s="88"/>
      <c r="CU7" s="88"/>
      <c r="CV7" s="88"/>
      <c r="CW7" s="88"/>
      <c r="CX7" s="88"/>
      <c r="CY7" s="88"/>
      <c r="CZ7" s="88"/>
      <c r="DA7" s="88"/>
      <c r="DB7" s="88"/>
      <c r="DC7" s="88"/>
      <c r="DD7" s="88"/>
      <c r="DE7" s="88"/>
      <c r="DF7" s="88"/>
      <c r="DG7" s="88"/>
      <c r="DH7" s="88"/>
      <c r="DI7" s="88"/>
      <c r="DJ7" s="88"/>
      <c r="DK7" s="88"/>
      <c r="DL7" s="88"/>
      <c r="DM7" s="88"/>
      <c r="DN7" s="88"/>
      <c r="DO7" s="88"/>
      <c r="DP7" s="88"/>
      <c r="DQ7" s="88"/>
      <c r="DR7" s="88"/>
      <c r="DS7" s="88"/>
      <c r="DT7" s="88"/>
      <c r="DU7" s="88"/>
      <c r="DV7" s="88"/>
      <c r="DW7" s="88"/>
      <c r="DX7" s="88"/>
      <c r="DY7" s="88"/>
      <c r="DZ7" s="88"/>
      <c r="EA7" s="88"/>
      <c r="EB7" s="88"/>
      <c r="EC7" s="88"/>
      <c r="ED7" s="88"/>
      <c r="EE7" s="88"/>
      <c r="EF7" s="88"/>
      <c r="EG7" s="88"/>
      <c r="EH7" s="88"/>
      <c r="EI7" s="88"/>
      <c r="EJ7" s="88"/>
      <c r="EK7" s="88"/>
      <c r="EL7" s="88"/>
      <c r="EM7" s="88"/>
      <c r="EN7" s="88"/>
      <c r="EO7" s="88"/>
      <c r="EP7" s="88"/>
      <c r="EQ7" s="88"/>
      <c r="ER7" s="88"/>
      <c r="ES7" s="88"/>
      <c r="ET7" s="88"/>
      <c r="EU7" s="88"/>
      <c r="EV7" s="88"/>
      <c r="EW7" s="88"/>
      <c r="EX7" s="88"/>
      <c r="EY7" s="88"/>
      <c r="EZ7" s="88"/>
      <c r="FA7" s="88"/>
      <c r="FB7" s="88"/>
      <c r="FC7" s="88"/>
      <c r="FD7" s="88"/>
      <c r="FE7" s="88"/>
      <c r="FF7" s="88"/>
      <c r="FG7" s="88"/>
      <c r="FH7" s="88"/>
      <c r="FI7" s="88"/>
      <c r="FJ7" s="88"/>
      <c r="FK7" s="88"/>
      <c r="FL7" s="88"/>
      <c r="FM7" s="88"/>
      <c r="FN7" s="88"/>
      <c r="FO7" s="88"/>
      <c r="FP7" s="88"/>
      <c r="FQ7" s="88"/>
      <c r="FR7" s="88"/>
      <c r="FS7" s="88"/>
      <c r="FT7" s="88"/>
      <c r="FU7" s="88"/>
      <c r="FV7" s="88"/>
      <c r="FW7" s="88"/>
      <c r="FX7" s="88"/>
      <c r="FY7" s="88"/>
      <c r="FZ7" s="88"/>
      <c r="GA7" s="88"/>
      <c r="GB7" s="88"/>
      <c r="GC7" s="88"/>
      <c r="GD7" s="88"/>
      <c r="GE7" s="88"/>
      <c r="GF7" s="88"/>
      <c r="GG7" s="88"/>
      <c r="GH7" s="88"/>
      <c r="GI7" s="88"/>
      <c r="GJ7" s="88"/>
      <c r="GK7" s="88"/>
      <c r="GL7" s="88"/>
      <c r="GM7" s="88"/>
      <c r="GN7" s="88"/>
      <c r="GO7" s="88"/>
      <c r="GP7" s="88"/>
      <c r="GQ7" s="88"/>
      <c r="GR7" s="88"/>
      <c r="GS7" s="88"/>
      <c r="GT7" s="88"/>
      <c r="GU7" s="88"/>
      <c r="GV7" s="88"/>
      <c r="GW7" s="88"/>
      <c r="GX7" s="88"/>
      <c r="GY7" s="88"/>
      <c r="GZ7" s="88"/>
      <c r="HA7" s="88"/>
      <c r="HB7" s="88"/>
      <c r="HC7" s="88"/>
      <c r="HD7" s="88"/>
      <c r="HE7" s="88"/>
      <c r="HF7" s="88"/>
      <c r="HG7" s="88"/>
      <c r="HH7" s="88"/>
      <c r="HI7" s="88"/>
      <c r="HJ7" s="88"/>
      <c r="HK7" s="88"/>
      <c r="HL7" s="88"/>
      <c r="HM7" s="88"/>
      <c r="HN7" s="88"/>
      <c r="HO7" s="88"/>
      <c r="HP7" s="88"/>
      <c r="HQ7" s="88"/>
      <c r="HR7" s="88"/>
      <c r="HS7" s="88"/>
      <c r="HT7" s="88"/>
      <c r="HU7" s="88"/>
      <c r="HV7" s="88"/>
      <c r="HW7" s="88"/>
      <c r="HX7" s="88"/>
      <c r="HY7" s="88"/>
      <c r="HZ7" s="88"/>
      <c r="IA7" s="88"/>
      <c r="IB7" s="88"/>
      <c r="IC7" s="88"/>
      <c r="ID7" s="88"/>
      <c r="IE7" s="88"/>
      <c r="IF7" s="88"/>
      <c r="IG7" s="88"/>
      <c r="IH7" s="88"/>
      <c r="II7" s="88"/>
      <c r="IJ7" s="88"/>
      <c r="IK7" s="88"/>
      <c r="IL7" s="88"/>
      <c r="IM7" s="88"/>
      <c r="IN7" s="88"/>
      <c r="IO7" s="88"/>
      <c r="IP7" s="88"/>
      <c r="IQ7" s="88"/>
      <c r="IR7" s="88"/>
      <c r="IS7" s="88"/>
      <c r="IT7" s="88"/>
      <c r="IU7" s="88"/>
      <c r="IV7" s="88"/>
      <c r="IW7" s="88"/>
    </row>
    <row r="8" spans="1:257" s="89" customFormat="1" ht="16.5" customHeight="1">
      <c r="A8" s="217">
        <v>5</v>
      </c>
      <c r="B8" s="83" t="s">
        <v>32</v>
      </c>
      <c r="C8" s="83" t="s">
        <v>33</v>
      </c>
      <c r="D8" s="77">
        <v>332689149.44999999</v>
      </c>
      <c r="E8" s="101"/>
      <c r="F8" s="78">
        <v>46321443.350000001</v>
      </c>
      <c r="G8" s="78"/>
      <c r="H8" s="78"/>
      <c r="I8" s="78"/>
      <c r="J8" s="79">
        <v>379010592.80000001</v>
      </c>
      <c r="K8" s="79">
        <v>317393.81</v>
      </c>
      <c r="L8" s="79">
        <v>713408.87</v>
      </c>
      <c r="M8" s="193">
        <v>-396015.06</v>
      </c>
      <c r="N8" s="45">
        <v>380576487.19999999</v>
      </c>
      <c r="O8" s="45">
        <v>6857763.6900000004</v>
      </c>
      <c r="P8" s="46">
        <v>360796282.48000002</v>
      </c>
      <c r="Q8" s="47">
        <f t="shared" si="0"/>
        <v>2.3144187051039846E-2</v>
      </c>
      <c r="R8" s="46">
        <v>373718723.50999999</v>
      </c>
      <c r="S8" s="47">
        <f t="shared" si="1"/>
        <v>2.3867607412016479E-2</v>
      </c>
      <c r="T8" s="98">
        <f t="shared" si="2"/>
        <v>3.5816447279265688E-2</v>
      </c>
      <c r="U8" s="84">
        <f t="shared" si="3"/>
        <v>1.9089460204177074E-3</v>
      </c>
      <c r="V8" s="99">
        <f t="shared" si="4"/>
        <v>-1.0596607423909372E-3</v>
      </c>
      <c r="W8" s="100">
        <f t="shared" si="5"/>
        <v>176.64034758564239</v>
      </c>
      <c r="X8" s="100">
        <f t="shared" si="6"/>
        <v>-0.18717884185879502</v>
      </c>
      <c r="Y8" s="78">
        <v>176.6403</v>
      </c>
      <c r="Z8" s="78">
        <v>179.8817</v>
      </c>
      <c r="AA8" s="189">
        <v>1798</v>
      </c>
      <c r="AB8" s="191">
        <v>2115704.19</v>
      </c>
      <c r="AC8" s="176"/>
      <c r="AD8" s="177"/>
      <c r="AE8" s="177"/>
      <c r="AF8" s="177"/>
      <c r="AG8" s="172"/>
      <c r="AH8" s="173"/>
      <c r="AI8" s="173"/>
      <c r="AJ8" s="173"/>
      <c r="AK8" s="174"/>
      <c r="AL8" s="172"/>
      <c r="AM8" s="173"/>
      <c r="AN8" s="173"/>
      <c r="AO8" s="173"/>
      <c r="AP8" s="174"/>
      <c r="AQ8" s="172"/>
      <c r="AR8" s="173"/>
      <c r="AS8" s="173"/>
      <c r="AT8" s="173"/>
      <c r="AU8" s="174"/>
      <c r="AV8" s="175"/>
      <c r="AW8" s="175"/>
      <c r="AX8" s="175"/>
      <c r="AY8" s="175"/>
      <c r="AZ8" s="175"/>
      <c r="BA8" s="175"/>
      <c r="BB8" s="175"/>
      <c r="BC8" s="175"/>
      <c r="BD8" s="175"/>
      <c r="BE8" s="175"/>
      <c r="BF8" s="175"/>
      <c r="BG8" s="175"/>
      <c r="BH8" s="175"/>
      <c r="BI8" s="175"/>
      <c r="BJ8" s="175"/>
      <c r="BK8" s="175"/>
      <c r="BL8" s="175"/>
      <c r="BM8" s="175"/>
      <c r="BN8" s="175"/>
      <c r="BO8" s="175"/>
      <c r="BP8" s="175"/>
      <c r="BQ8" s="175"/>
      <c r="BR8" s="175"/>
      <c r="BS8" s="175"/>
      <c r="BT8" s="175"/>
      <c r="BU8" s="175"/>
      <c r="BV8" s="175"/>
      <c r="BW8" s="175"/>
      <c r="BX8" s="175"/>
      <c r="BY8" s="175"/>
      <c r="BZ8" s="88"/>
      <c r="CA8" s="88"/>
      <c r="CB8" s="88"/>
      <c r="CC8" s="88"/>
      <c r="CD8" s="88"/>
      <c r="CE8" s="88"/>
      <c r="CF8" s="88"/>
      <c r="CG8" s="88"/>
      <c r="CH8" s="88"/>
      <c r="CI8" s="88"/>
      <c r="CJ8" s="88"/>
      <c r="CK8" s="88"/>
      <c r="CL8" s="88"/>
      <c r="CM8" s="88"/>
      <c r="CN8" s="88"/>
      <c r="CO8" s="88"/>
      <c r="CP8" s="88"/>
      <c r="CQ8" s="88"/>
      <c r="CR8" s="88"/>
      <c r="CS8" s="88"/>
      <c r="CT8" s="88"/>
      <c r="CU8" s="88"/>
      <c r="CV8" s="88"/>
      <c r="CW8" s="88"/>
      <c r="CX8" s="88"/>
      <c r="CY8" s="88"/>
      <c r="CZ8" s="88"/>
      <c r="DA8" s="88"/>
      <c r="DB8" s="88"/>
      <c r="DC8" s="88"/>
      <c r="DD8" s="88"/>
      <c r="DE8" s="88"/>
      <c r="DF8" s="88"/>
      <c r="DG8" s="88"/>
      <c r="DH8" s="88"/>
      <c r="DI8" s="88"/>
      <c r="DJ8" s="88"/>
      <c r="DK8" s="88"/>
      <c r="DL8" s="88"/>
      <c r="DM8" s="88"/>
      <c r="DN8" s="88"/>
      <c r="DO8" s="88"/>
      <c r="DP8" s="88"/>
      <c r="DQ8" s="88"/>
      <c r="DR8" s="88"/>
      <c r="DS8" s="88"/>
      <c r="DT8" s="88"/>
      <c r="DU8" s="88"/>
      <c r="DV8" s="88"/>
      <c r="DW8" s="88"/>
      <c r="DX8" s="88"/>
      <c r="DY8" s="88"/>
      <c r="DZ8" s="88"/>
      <c r="EA8" s="88"/>
      <c r="EB8" s="88"/>
      <c r="EC8" s="88"/>
      <c r="ED8" s="88"/>
      <c r="EE8" s="88"/>
      <c r="EF8" s="88"/>
      <c r="EG8" s="88"/>
      <c r="EH8" s="88"/>
      <c r="EI8" s="88"/>
      <c r="EJ8" s="88"/>
      <c r="EK8" s="88"/>
      <c r="EL8" s="88"/>
      <c r="EM8" s="88"/>
      <c r="EN8" s="88"/>
      <c r="EO8" s="88"/>
      <c r="EP8" s="88"/>
      <c r="EQ8" s="88"/>
      <c r="ER8" s="88"/>
      <c r="ES8" s="88"/>
      <c r="ET8" s="88"/>
      <c r="EU8" s="88"/>
      <c r="EV8" s="88"/>
      <c r="EW8" s="88"/>
      <c r="EX8" s="88"/>
      <c r="EY8" s="88"/>
      <c r="EZ8" s="88"/>
      <c r="FA8" s="88"/>
      <c r="FB8" s="88"/>
      <c r="FC8" s="88"/>
      <c r="FD8" s="88"/>
      <c r="FE8" s="88"/>
      <c r="FF8" s="88"/>
      <c r="FG8" s="88"/>
      <c r="FH8" s="88"/>
      <c r="FI8" s="88"/>
      <c r="FJ8" s="88"/>
      <c r="FK8" s="88"/>
      <c r="FL8" s="88"/>
      <c r="FM8" s="88"/>
      <c r="FN8" s="88"/>
      <c r="FO8" s="88"/>
      <c r="FP8" s="88"/>
      <c r="FQ8" s="88"/>
      <c r="FR8" s="88"/>
      <c r="FS8" s="88"/>
      <c r="FT8" s="88"/>
      <c r="FU8" s="88"/>
      <c r="FV8" s="88"/>
      <c r="FW8" s="88"/>
      <c r="FX8" s="88"/>
      <c r="FY8" s="88"/>
      <c r="FZ8" s="88"/>
      <c r="GA8" s="88"/>
      <c r="GB8" s="88"/>
      <c r="GC8" s="88"/>
      <c r="GD8" s="88"/>
      <c r="GE8" s="88"/>
      <c r="GF8" s="88"/>
      <c r="GG8" s="88"/>
      <c r="GH8" s="88"/>
      <c r="GI8" s="88"/>
      <c r="GJ8" s="88"/>
      <c r="GK8" s="88"/>
      <c r="GL8" s="88"/>
      <c r="GM8" s="88"/>
      <c r="GN8" s="88"/>
      <c r="GO8" s="88"/>
      <c r="GP8" s="88"/>
      <c r="GQ8" s="88"/>
      <c r="GR8" s="88"/>
      <c r="GS8" s="88"/>
      <c r="GT8" s="88"/>
      <c r="GU8" s="88"/>
      <c r="GV8" s="88"/>
      <c r="GW8" s="88"/>
      <c r="GX8" s="88"/>
      <c r="GY8" s="88"/>
      <c r="GZ8" s="88"/>
      <c r="HA8" s="88"/>
      <c r="HB8" s="88"/>
      <c r="HC8" s="88"/>
      <c r="HD8" s="88"/>
      <c r="HE8" s="88"/>
      <c r="HF8" s="88"/>
      <c r="HG8" s="88"/>
      <c r="HH8" s="88"/>
      <c r="HI8" s="88"/>
      <c r="HJ8" s="88"/>
      <c r="HK8" s="88"/>
      <c r="HL8" s="88"/>
      <c r="HM8" s="88"/>
      <c r="HN8" s="88"/>
      <c r="HO8" s="88"/>
      <c r="HP8" s="88"/>
      <c r="HQ8" s="88"/>
      <c r="HR8" s="88"/>
      <c r="HS8" s="88"/>
      <c r="HT8" s="88"/>
      <c r="HU8" s="88"/>
      <c r="HV8" s="88"/>
      <c r="HW8" s="88"/>
      <c r="HX8" s="88"/>
      <c r="HY8" s="88"/>
      <c r="HZ8" s="88"/>
      <c r="IA8" s="88"/>
      <c r="IB8" s="88"/>
      <c r="IC8" s="88"/>
      <c r="ID8" s="88"/>
      <c r="IE8" s="88"/>
      <c r="IF8" s="88"/>
      <c r="IG8" s="88"/>
      <c r="IH8" s="88"/>
      <c r="II8" s="88"/>
      <c r="IJ8" s="88"/>
      <c r="IK8" s="88"/>
      <c r="IL8" s="88"/>
      <c r="IM8" s="88"/>
      <c r="IN8" s="88"/>
      <c r="IO8" s="88"/>
      <c r="IP8" s="88"/>
      <c r="IQ8" s="88"/>
      <c r="IR8" s="88"/>
      <c r="IS8" s="88"/>
      <c r="IT8" s="88"/>
      <c r="IU8" s="88"/>
      <c r="IV8" s="88"/>
      <c r="IW8" s="88"/>
    </row>
    <row r="9" spans="1:257" ht="18" customHeight="1">
      <c r="A9" s="218">
        <v>6</v>
      </c>
      <c r="B9" s="246" t="s">
        <v>34</v>
      </c>
      <c r="C9" s="246" t="s">
        <v>35</v>
      </c>
      <c r="D9" s="241">
        <v>1370432851</v>
      </c>
      <c r="E9" s="101"/>
      <c r="F9" s="78"/>
      <c r="G9" s="78"/>
      <c r="H9" s="78"/>
      <c r="I9" s="78"/>
      <c r="J9" s="241">
        <v>1370432851</v>
      </c>
      <c r="K9" s="242">
        <v>11700797</v>
      </c>
      <c r="L9" s="241">
        <v>2893477</v>
      </c>
      <c r="M9" s="193">
        <v>21506058</v>
      </c>
      <c r="N9" s="241">
        <v>1842878007</v>
      </c>
      <c r="O9" s="242">
        <v>12868388.32</v>
      </c>
      <c r="P9" s="46">
        <v>1772267263</v>
      </c>
      <c r="Q9" s="47">
        <f t="shared" si="0"/>
        <v>0.11368655119549398</v>
      </c>
      <c r="R9" s="46">
        <v>1830009619</v>
      </c>
      <c r="S9" s="47">
        <f t="shared" si="1"/>
        <v>0.11687386368089507</v>
      </c>
      <c r="T9" s="48">
        <f t="shared" si="2"/>
        <v>3.2581065624524827E-2</v>
      </c>
      <c r="U9" s="84">
        <f t="shared" si="3"/>
        <v>1.5811266618265792E-3</v>
      </c>
      <c r="V9" s="49">
        <f t="shared" si="4"/>
        <v>1.1751882491061376E-2</v>
      </c>
      <c r="W9" s="50">
        <f t="shared" si="5"/>
        <v>0.98455472241651754</v>
      </c>
      <c r="X9" s="50">
        <f t="shared" si="6"/>
        <v>1.1570371403858467E-2</v>
      </c>
      <c r="Y9" s="78">
        <v>0.98</v>
      </c>
      <c r="Z9" s="78">
        <v>1.01</v>
      </c>
      <c r="AA9" s="189">
        <v>2722</v>
      </c>
      <c r="AB9" s="244">
        <v>1858718035</v>
      </c>
      <c r="AC9" s="35"/>
      <c r="AD9" s="4"/>
      <c r="AE9" s="4"/>
      <c r="AF9" s="4"/>
      <c r="AG9" s="5"/>
      <c r="AH9" s="6"/>
      <c r="AI9" s="6"/>
      <c r="AJ9" s="6"/>
      <c r="AK9" s="7"/>
      <c r="AL9" s="5"/>
      <c r="AM9" s="6"/>
      <c r="AN9" s="6"/>
      <c r="AO9" s="6"/>
      <c r="AP9" s="7"/>
      <c r="AQ9" s="5"/>
      <c r="AR9" s="6"/>
      <c r="AS9" s="6"/>
      <c r="AT9" s="6"/>
      <c r="AU9" s="7"/>
    </row>
    <row r="10" spans="1:257" ht="18" customHeight="1">
      <c r="A10" s="217">
        <v>7</v>
      </c>
      <c r="B10" s="82" t="s">
        <v>36</v>
      </c>
      <c r="C10" s="83" t="s">
        <v>37</v>
      </c>
      <c r="D10" s="77">
        <v>1994613557.51</v>
      </c>
      <c r="E10" s="101"/>
      <c r="F10" s="78"/>
      <c r="G10" s="78">
        <v>59549044.850000001</v>
      </c>
      <c r="H10" s="78">
        <v>1320537.3999999999</v>
      </c>
      <c r="I10" s="78"/>
      <c r="J10" s="79">
        <v>2055483139.76</v>
      </c>
      <c r="K10" s="79">
        <v>51340865.479999997</v>
      </c>
      <c r="L10" s="79">
        <v>79121802.629999995</v>
      </c>
      <c r="M10" s="193">
        <v>17084158.550000001</v>
      </c>
      <c r="N10" s="45">
        <v>2350448877</v>
      </c>
      <c r="O10" s="45">
        <v>1027095</v>
      </c>
      <c r="P10" s="46">
        <v>2315051408</v>
      </c>
      <c r="Q10" s="47">
        <f t="shared" si="0"/>
        <v>0.14850480845099964</v>
      </c>
      <c r="R10" s="46">
        <v>2349421783</v>
      </c>
      <c r="S10" s="47">
        <f t="shared" si="1"/>
        <v>0.15004620650317327</v>
      </c>
      <c r="T10" s="48">
        <f t="shared" si="2"/>
        <v>1.4846484566704706E-2</v>
      </c>
      <c r="U10" s="84">
        <f t="shared" si="3"/>
        <v>3.3677138435725486E-2</v>
      </c>
      <c r="V10" s="49">
        <f t="shared" si="4"/>
        <v>7.2716438885592812E-3</v>
      </c>
      <c r="W10" s="50">
        <f t="shared" si="5"/>
        <v>21.824225477550758</v>
      </c>
      <c r="X10" s="50">
        <f t="shared" si="6"/>
        <v>0.15869799581637176</v>
      </c>
      <c r="Y10" s="78">
        <v>21.12</v>
      </c>
      <c r="Z10" s="78">
        <v>21.76</v>
      </c>
      <c r="AA10" s="189">
        <v>12299</v>
      </c>
      <c r="AB10" s="191">
        <v>107652012</v>
      </c>
      <c r="AC10" s="35"/>
      <c r="AD10" s="4"/>
      <c r="AE10" s="4"/>
      <c r="AF10" s="4"/>
      <c r="AG10" s="5"/>
      <c r="AH10" s="6"/>
      <c r="AI10" s="6"/>
      <c r="AJ10" s="6"/>
      <c r="AK10" s="7"/>
      <c r="AL10" s="5"/>
      <c r="AM10" s="6"/>
      <c r="AN10" s="6"/>
      <c r="AO10" s="6"/>
      <c r="AP10" s="7"/>
      <c r="AQ10" s="5"/>
      <c r="AR10" s="6"/>
      <c r="AS10" s="6"/>
      <c r="AT10" s="6"/>
      <c r="AU10" s="7"/>
    </row>
    <row r="11" spans="1:257" ht="15" customHeight="1">
      <c r="A11" s="217">
        <v>8</v>
      </c>
      <c r="B11" s="83" t="s">
        <v>38</v>
      </c>
      <c r="C11" s="83" t="s">
        <v>39</v>
      </c>
      <c r="D11" s="77">
        <v>274015240.82999998</v>
      </c>
      <c r="E11" s="77"/>
      <c r="F11" s="78">
        <v>87034071.480000004</v>
      </c>
      <c r="G11" s="78"/>
      <c r="H11" s="78"/>
      <c r="I11" s="78"/>
      <c r="J11" s="79">
        <v>376408381.07999998</v>
      </c>
      <c r="K11" s="79">
        <v>732195.26</v>
      </c>
      <c r="L11" s="79">
        <v>634155.29</v>
      </c>
      <c r="M11" s="193">
        <v>-11912473.439999999</v>
      </c>
      <c r="N11" s="45">
        <v>383489116.72000003</v>
      </c>
      <c r="O11" s="45">
        <v>7080735.6399999997</v>
      </c>
      <c r="P11" s="46">
        <v>353318405.06</v>
      </c>
      <c r="Q11" s="47">
        <f t="shared" si="0"/>
        <v>2.2664499753367033E-2</v>
      </c>
      <c r="R11" s="46">
        <v>376408381.07999998</v>
      </c>
      <c r="S11" s="47">
        <f t="shared" si="1"/>
        <v>2.4039382832714128E-2</v>
      </c>
      <c r="T11" s="48">
        <f t="shared" si="2"/>
        <v>6.535174983618211E-2</v>
      </c>
      <c r="U11" s="84">
        <f t="shared" si="3"/>
        <v>1.684753373929843E-3</v>
      </c>
      <c r="V11" s="49">
        <f t="shared" si="4"/>
        <v>-3.1647736976048314E-2</v>
      </c>
      <c r="W11" s="50">
        <f t="shared" si="5"/>
        <v>155.40066431066228</v>
      </c>
      <c r="X11" s="50">
        <f t="shared" si="6"/>
        <v>-4.9180793500070186</v>
      </c>
      <c r="Y11" s="78">
        <v>155.4</v>
      </c>
      <c r="Z11" s="78">
        <v>157.38999999999999</v>
      </c>
      <c r="AA11" s="189">
        <v>1444</v>
      </c>
      <c r="AB11" s="191">
        <v>2422180</v>
      </c>
      <c r="AC11" s="38"/>
      <c r="AD11" s="4"/>
      <c r="AE11" s="4"/>
      <c r="AF11" s="4"/>
      <c r="AG11" s="5"/>
      <c r="AH11" s="6"/>
      <c r="AI11" s="6"/>
      <c r="AJ11" s="6"/>
      <c r="AK11" s="7"/>
      <c r="AL11" s="5"/>
      <c r="AM11" s="6"/>
      <c r="AN11" s="6"/>
      <c r="AO11" s="6"/>
      <c r="AP11" s="7"/>
      <c r="AQ11" s="5"/>
      <c r="AR11" s="6"/>
      <c r="AS11" s="6"/>
      <c r="AT11" s="6"/>
      <c r="AU11" s="7"/>
    </row>
    <row r="12" spans="1:257" ht="16.5" customHeight="1">
      <c r="A12" s="218">
        <v>9</v>
      </c>
      <c r="B12" s="83" t="s">
        <v>40</v>
      </c>
      <c r="C12" s="83" t="s">
        <v>41</v>
      </c>
      <c r="D12" s="243">
        <v>209197104.80000001</v>
      </c>
      <c r="E12" s="77"/>
      <c r="F12" s="78">
        <v>43631056.520000003</v>
      </c>
      <c r="G12" s="78"/>
      <c r="H12" s="78"/>
      <c r="I12" s="78"/>
      <c r="J12" s="79">
        <v>252828161.31999999</v>
      </c>
      <c r="K12" s="79">
        <v>424577.11</v>
      </c>
      <c r="L12" s="79">
        <v>461476.72</v>
      </c>
      <c r="M12" s="193">
        <v>6399327.7000000002</v>
      </c>
      <c r="N12" s="45">
        <v>261241548.91</v>
      </c>
      <c r="O12" s="45">
        <v>1933224.02</v>
      </c>
      <c r="P12" s="46">
        <v>253185789.44</v>
      </c>
      <c r="Q12" s="47">
        <f t="shared" si="0"/>
        <v>1.6241240705658803E-2</v>
      </c>
      <c r="R12" s="46">
        <v>259308324.88999999</v>
      </c>
      <c r="S12" s="47">
        <f t="shared" si="1"/>
        <v>1.6560768588241563E-2</v>
      </c>
      <c r="T12" s="48">
        <f t="shared" si="2"/>
        <v>2.4181986925656061E-2</v>
      </c>
      <c r="U12" s="84">
        <f t="shared" si="3"/>
        <v>1.7796448309006698E-3</v>
      </c>
      <c r="V12" s="49">
        <f t="shared" si="4"/>
        <v>2.4678450654118528E-2</v>
      </c>
      <c r="W12" s="50">
        <f t="shared" si="5"/>
        <v>12.510627106768343</v>
      </c>
      <c r="X12" s="50">
        <f t="shared" si="6"/>
        <v>0.30874289370646019</v>
      </c>
      <c r="Y12" s="78">
        <v>12.51</v>
      </c>
      <c r="Z12" s="78">
        <v>12.59</v>
      </c>
      <c r="AA12" s="51">
        <v>139</v>
      </c>
      <c r="AB12" s="191">
        <v>20727044.510000002</v>
      </c>
      <c r="AC12" s="13"/>
      <c r="AD12" s="4"/>
      <c r="AE12" s="4"/>
      <c r="AF12" s="4"/>
      <c r="AG12" s="5"/>
      <c r="AH12" s="6"/>
      <c r="AI12" s="6"/>
      <c r="AJ12" s="6"/>
      <c r="AK12" s="7"/>
      <c r="AL12" s="5"/>
      <c r="AM12" s="6"/>
      <c r="AN12" s="6"/>
      <c r="AO12" s="6"/>
      <c r="AP12" s="7"/>
      <c r="AQ12" s="5"/>
      <c r="AR12" s="6"/>
      <c r="AS12" s="6"/>
      <c r="AT12" s="6"/>
      <c r="AU12" s="7"/>
    </row>
    <row r="13" spans="1:257" ht="16.5" customHeight="1">
      <c r="A13" s="217">
        <v>10</v>
      </c>
      <c r="B13" s="83" t="s">
        <v>24</v>
      </c>
      <c r="C13" s="82" t="s">
        <v>42</v>
      </c>
      <c r="D13" s="77">
        <v>259163828.91999999</v>
      </c>
      <c r="E13" s="77"/>
      <c r="F13" s="78">
        <v>86269808.859999999</v>
      </c>
      <c r="G13" s="78"/>
      <c r="H13" s="78"/>
      <c r="I13" s="78"/>
      <c r="J13" s="79">
        <v>346505824.88</v>
      </c>
      <c r="K13" s="101">
        <v>3858817.18</v>
      </c>
      <c r="L13" s="79">
        <v>686162.19</v>
      </c>
      <c r="M13" s="193">
        <v>9426483.25</v>
      </c>
      <c r="N13" s="45">
        <v>352870568.30000001</v>
      </c>
      <c r="O13" s="45">
        <v>5098277.88</v>
      </c>
      <c r="P13" s="46">
        <v>369989806.18000001</v>
      </c>
      <c r="Q13" s="47">
        <f t="shared" si="0"/>
        <v>2.3733928804220917E-2</v>
      </c>
      <c r="R13" s="46">
        <v>347772290.42000002</v>
      </c>
      <c r="S13" s="47">
        <f t="shared" si="1"/>
        <v>2.2210534218257427E-2</v>
      </c>
      <c r="T13" s="48">
        <f t="shared" si="2"/>
        <v>-6.0048994293618922E-2</v>
      </c>
      <c r="U13" s="84">
        <f t="shared" si="3"/>
        <v>1.9730214536969894E-3</v>
      </c>
      <c r="V13" s="49">
        <f t="shared" si="4"/>
        <v>2.7105331591012499E-2</v>
      </c>
      <c r="W13" s="50">
        <f t="shared" si="5"/>
        <v>3039.0277064663046</v>
      </c>
      <c r="X13" s="50">
        <f t="shared" si="6"/>
        <v>82.373853698043376</v>
      </c>
      <c r="Y13" s="78">
        <v>3010.3</v>
      </c>
      <c r="Z13" s="78">
        <v>3054.92</v>
      </c>
      <c r="AA13" s="189">
        <v>21</v>
      </c>
      <c r="AB13" s="191">
        <v>114435.38</v>
      </c>
      <c r="AC13" s="13"/>
      <c r="AD13" s="4"/>
      <c r="AE13" s="4"/>
      <c r="AF13" s="4"/>
      <c r="AG13" s="5"/>
      <c r="AH13" s="6"/>
      <c r="AI13" s="6"/>
      <c r="AJ13" s="6"/>
      <c r="AK13" s="7"/>
      <c r="AL13" s="5"/>
      <c r="AM13" s="6"/>
      <c r="AN13" s="6"/>
      <c r="AO13" s="6"/>
      <c r="AP13" s="7"/>
      <c r="AQ13" s="5"/>
      <c r="AR13" s="6"/>
      <c r="AS13" s="6"/>
      <c r="AT13" s="6"/>
      <c r="AU13" s="7"/>
    </row>
    <row r="14" spans="1:257" ht="16.5" customHeight="1">
      <c r="A14" s="217">
        <v>11</v>
      </c>
      <c r="B14" s="85" t="s">
        <v>43</v>
      </c>
      <c r="C14" s="85" t="s">
        <v>44</v>
      </c>
      <c r="D14" s="77">
        <v>224870036.49000001</v>
      </c>
      <c r="E14" s="101"/>
      <c r="F14" s="78"/>
      <c r="G14" s="78"/>
      <c r="H14" s="78"/>
      <c r="I14" s="78"/>
      <c r="J14" s="79">
        <v>224870036.49000001</v>
      </c>
      <c r="K14" s="79">
        <v>713246.84</v>
      </c>
      <c r="L14" s="79">
        <v>456359.99</v>
      </c>
      <c r="M14" s="193">
        <v>256886.85</v>
      </c>
      <c r="N14" s="45">
        <v>245418508.93000001</v>
      </c>
      <c r="O14" s="45">
        <v>3644327.87</v>
      </c>
      <c r="P14" s="46">
        <v>239487228.72999999</v>
      </c>
      <c r="Q14" s="47">
        <f t="shared" si="0"/>
        <v>1.5362511996973065E-2</v>
      </c>
      <c r="R14" s="46">
        <v>241774181.06</v>
      </c>
      <c r="S14" s="47">
        <f t="shared" si="1"/>
        <v>1.5440947624202889E-2</v>
      </c>
      <c r="T14" s="48">
        <f t="shared" si="2"/>
        <v>9.5493707206338891E-3</v>
      </c>
      <c r="U14" s="84">
        <f t="shared" si="3"/>
        <v>1.8875464203795492E-3</v>
      </c>
      <c r="V14" s="49">
        <f t="shared" si="4"/>
        <v>1.0625073730939432E-3</v>
      </c>
      <c r="W14" s="50">
        <f t="shared" si="5"/>
        <v>143.12100863516153</v>
      </c>
      <c r="X14" s="50">
        <f t="shared" si="6"/>
        <v>0.15206712691950106</v>
      </c>
      <c r="Y14" s="78">
        <v>142.38</v>
      </c>
      <c r="Z14" s="78">
        <v>143.38</v>
      </c>
      <c r="AA14" s="189">
        <v>581</v>
      </c>
      <c r="AB14" s="191">
        <v>1689299.03</v>
      </c>
      <c r="AC14" s="13"/>
      <c r="AD14" s="4"/>
      <c r="AE14" s="4"/>
      <c r="AF14" s="4"/>
      <c r="AG14" s="5"/>
      <c r="AH14" s="6"/>
      <c r="AI14" s="6"/>
      <c r="AJ14" s="6"/>
      <c r="AK14" s="7"/>
      <c r="AL14" s="5"/>
      <c r="AM14" s="6"/>
      <c r="AN14" s="6"/>
      <c r="AO14" s="6"/>
      <c r="AP14" s="7"/>
      <c r="AQ14" s="5"/>
      <c r="AR14" s="6"/>
      <c r="AS14" s="6"/>
      <c r="AT14" s="6"/>
      <c r="AU14" s="7"/>
    </row>
    <row r="15" spans="1:257" ht="16.5" customHeight="1">
      <c r="A15" s="217">
        <v>12</v>
      </c>
      <c r="B15" s="83" t="s">
        <v>45</v>
      </c>
      <c r="C15" s="82" t="s">
        <v>46</v>
      </c>
      <c r="D15" s="77">
        <v>274697385.5</v>
      </c>
      <c r="E15" s="101"/>
      <c r="F15" s="78">
        <v>49285799.259999998</v>
      </c>
      <c r="G15" s="78"/>
      <c r="H15" s="78"/>
      <c r="I15" s="78"/>
      <c r="J15" s="79">
        <v>323983184.75999999</v>
      </c>
      <c r="K15" s="79">
        <v>448236.28</v>
      </c>
      <c r="L15" s="79">
        <v>658311.43999999994</v>
      </c>
      <c r="M15" s="193">
        <v>63834.54</v>
      </c>
      <c r="N15" s="45">
        <v>332810519.20999998</v>
      </c>
      <c r="O15" s="45">
        <v>3861474.05</v>
      </c>
      <c r="P15" s="46">
        <v>323663612.29000002</v>
      </c>
      <c r="Q15" s="47">
        <f t="shared" si="0"/>
        <v>2.0762218316011178E-2</v>
      </c>
      <c r="R15" s="46">
        <v>328949045.16000003</v>
      </c>
      <c r="S15" s="47">
        <f t="shared" si="1"/>
        <v>2.1008384580513201E-2</v>
      </c>
      <c r="T15" s="48">
        <f t="shared" si="2"/>
        <v>1.6330018788965065E-2</v>
      </c>
      <c r="U15" s="84">
        <f t="shared" si="3"/>
        <v>2.0012565766220685E-3</v>
      </c>
      <c r="V15" s="49">
        <f t="shared" si="4"/>
        <v>1.9405601244092694E-4</v>
      </c>
      <c r="W15" s="50">
        <f t="shared" si="5"/>
        <v>1.2500158478681413</v>
      </c>
      <c r="X15" s="50">
        <f t="shared" si="6"/>
        <v>2.4257309092525587E-4</v>
      </c>
      <c r="Y15" s="78">
        <v>1.28</v>
      </c>
      <c r="Z15" s="78">
        <v>1.32</v>
      </c>
      <c r="AA15" s="189">
        <v>96</v>
      </c>
      <c r="AB15" s="191">
        <v>263155899.75999999</v>
      </c>
      <c r="AC15" s="13"/>
      <c r="AD15" s="4"/>
      <c r="AE15" s="4"/>
      <c r="AF15" s="4"/>
      <c r="AG15" s="5"/>
      <c r="AH15" s="6"/>
      <c r="AI15" s="6"/>
      <c r="AJ15" s="6"/>
      <c r="AK15" s="7"/>
      <c r="AL15" s="5"/>
      <c r="AM15" s="6"/>
      <c r="AN15" s="6"/>
      <c r="AO15" s="6"/>
      <c r="AP15" s="7"/>
      <c r="AQ15" s="5"/>
      <c r="AR15" s="6"/>
      <c r="AS15" s="6"/>
      <c r="AT15" s="6"/>
      <c r="AU15" s="7"/>
    </row>
    <row r="16" spans="1:257" ht="16.5" customHeight="1">
      <c r="A16" s="217">
        <v>13</v>
      </c>
      <c r="B16" s="85" t="s">
        <v>47</v>
      </c>
      <c r="C16" s="85" t="s">
        <v>48</v>
      </c>
      <c r="D16" s="77">
        <v>231270364.69999999</v>
      </c>
      <c r="E16" s="101"/>
      <c r="F16" s="78">
        <v>48972019.18</v>
      </c>
      <c r="G16" s="78">
        <v>6539163.5800000001</v>
      </c>
      <c r="H16" s="78"/>
      <c r="I16" s="78"/>
      <c r="J16" s="79">
        <v>286781547.45999998</v>
      </c>
      <c r="K16" s="79">
        <v>334898.64</v>
      </c>
      <c r="L16" s="79">
        <v>347382.38</v>
      </c>
      <c r="M16" s="193">
        <v>-12483.74</v>
      </c>
      <c r="N16" s="45">
        <v>303002461.69999999</v>
      </c>
      <c r="O16" s="45">
        <v>2288174.52</v>
      </c>
      <c r="P16" s="46">
        <v>290991109.24000001</v>
      </c>
      <c r="Q16" s="47">
        <f t="shared" si="0"/>
        <v>1.8666358245566058E-2</v>
      </c>
      <c r="R16" s="46">
        <v>300714287.18000001</v>
      </c>
      <c r="S16" s="47">
        <f t="shared" si="1"/>
        <v>1.9205167143316996E-2</v>
      </c>
      <c r="T16" s="48">
        <f t="shared" si="2"/>
        <v>3.3414003491016066E-2</v>
      </c>
      <c r="U16" s="84">
        <f t="shared" si="3"/>
        <v>1.1551908067210176E-3</v>
      </c>
      <c r="V16" s="49">
        <f t="shared" si="4"/>
        <v>-4.1513624500745943E-5</v>
      </c>
      <c r="W16" s="50">
        <f t="shared" si="5"/>
        <v>1.5164676282574643</v>
      </c>
      <c r="X16" s="50">
        <f t="shared" si="6"/>
        <v>-6.2954067687017159E-5</v>
      </c>
      <c r="Y16" s="78">
        <v>1.5165</v>
      </c>
      <c r="Z16" s="78">
        <v>1.528</v>
      </c>
      <c r="AA16" s="189">
        <v>11</v>
      </c>
      <c r="AB16" s="191">
        <v>198299180</v>
      </c>
      <c r="AC16" s="13"/>
      <c r="AD16" s="4"/>
      <c r="AE16" s="4"/>
      <c r="AF16" s="4"/>
      <c r="AG16" s="5"/>
      <c r="AH16" s="6"/>
      <c r="AI16" s="6"/>
      <c r="AJ16" s="6"/>
      <c r="AK16" s="7"/>
      <c r="AL16" s="5"/>
      <c r="AM16" s="6"/>
      <c r="AN16" s="6"/>
      <c r="AO16" s="6"/>
      <c r="AP16" s="7"/>
      <c r="AQ16" s="5"/>
      <c r="AR16" s="6"/>
      <c r="AS16" s="6"/>
      <c r="AT16" s="6"/>
      <c r="AU16" s="7"/>
    </row>
    <row r="17" spans="1:257" ht="15.95" customHeight="1">
      <c r="A17" s="217">
        <v>14</v>
      </c>
      <c r="B17" s="103" t="s">
        <v>49</v>
      </c>
      <c r="C17" s="103" t="s">
        <v>50</v>
      </c>
      <c r="D17" s="201">
        <v>3621932.74</v>
      </c>
      <c r="E17" s="201"/>
      <c r="F17" s="44"/>
      <c r="G17" s="201"/>
      <c r="H17" s="201"/>
      <c r="I17" s="201">
        <v>1882545.57</v>
      </c>
      <c r="J17" s="201">
        <v>3621932.74</v>
      </c>
      <c r="K17" s="201">
        <v>0</v>
      </c>
      <c r="L17" s="201">
        <v>0</v>
      </c>
      <c r="M17" s="240">
        <v>0</v>
      </c>
      <c r="N17" s="201">
        <v>5504478.3099999996</v>
      </c>
      <c r="O17" s="201">
        <v>0</v>
      </c>
      <c r="P17" s="46">
        <v>5504478.3099999996</v>
      </c>
      <c r="Q17" s="47">
        <f t="shared" si="0"/>
        <v>3.5309863712937133E-4</v>
      </c>
      <c r="R17" s="54">
        <v>5504478.3099999996</v>
      </c>
      <c r="S17" s="47">
        <f t="shared" si="1"/>
        <v>3.5154440772225453E-4</v>
      </c>
      <c r="T17" s="48">
        <f t="shared" si="2"/>
        <v>0</v>
      </c>
      <c r="U17" s="84">
        <f>(L17/R17)</f>
        <v>0</v>
      </c>
      <c r="V17" s="56">
        <f t="shared" si="4"/>
        <v>0</v>
      </c>
      <c r="W17" s="57">
        <f t="shared" si="5"/>
        <v>1.3927630965032134</v>
      </c>
      <c r="X17" s="57">
        <f t="shared" si="6"/>
        <v>0</v>
      </c>
      <c r="Y17" s="201">
        <v>1.39</v>
      </c>
      <c r="Z17" s="201">
        <v>1.45</v>
      </c>
      <c r="AA17" s="202">
        <v>2420</v>
      </c>
      <c r="AB17" s="203">
        <v>3952200</v>
      </c>
      <c r="AC17" s="13"/>
      <c r="AD17" s="4"/>
      <c r="AE17" s="4"/>
      <c r="AF17" s="4"/>
      <c r="AG17" s="5"/>
      <c r="AH17" s="6"/>
      <c r="AI17" s="6"/>
      <c r="AJ17" s="6"/>
      <c r="AK17" s="7"/>
      <c r="AL17" s="5"/>
      <c r="AM17" s="6"/>
      <c r="AN17" s="6"/>
      <c r="AO17" s="6"/>
      <c r="AP17" s="7"/>
      <c r="AQ17" s="5"/>
      <c r="AR17" s="6"/>
      <c r="AS17" s="6"/>
      <c r="AT17" s="6"/>
      <c r="AU17" s="7"/>
    </row>
    <row r="18" spans="1:257" ht="16.5" customHeight="1">
      <c r="A18" s="217">
        <v>15</v>
      </c>
      <c r="B18" s="83" t="s">
        <v>51</v>
      </c>
      <c r="C18" s="83" t="s">
        <v>52</v>
      </c>
      <c r="D18" s="77">
        <v>368529787.25</v>
      </c>
      <c r="E18" s="101"/>
      <c r="F18" s="78">
        <v>16278426.449999999</v>
      </c>
      <c r="G18" s="78">
        <v>53501027.100000001</v>
      </c>
      <c r="H18" s="78"/>
      <c r="I18" s="78"/>
      <c r="J18" s="79">
        <v>438309240.80000001</v>
      </c>
      <c r="K18" s="79">
        <v>4247483.21</v>
      </c>
      <c r="L18" s="79">
        <v>3919963.42</v>
      </c>
      <c r="M18" s="193">
        <v>327519.78999999998</v>
      </c>
      <c r="N18" s="45">
        <v>454825439.75</v>
      </c>
      <c r="O18" s="45">
        <v>3919963.42</v>
      </c>
      <c r="P18" s="46">
        <v>436137685.92000002</v>
      </c>
      <c r="Q18" s="47">
        <f t="shared" si="0"/>
        <v>2.7977151298668634E-2</v>
      </c>
      <c r="R18" s="46">
        <v>450905476.32999998</v>
      </c>
      <c r="S18" s="47">
        <f t="shared" si="1"/>
        <v>2.8797152007517115E-2</v>
      </c>
      <c r="T18" s="48">
        <f>((R18-P18)/P18)</f>
        <v>3.3860386035773106E-2</v>
      </c>
      <c r="U18" s="84">
        <f>(L18/R18)</f>
        <v>8.6935369512592328E-3</v>
      </c>
      <c r="V18" s="49">
        <f t="shared" si="4"/>
        <v>7.2636019563510719E-4</v>
      </c>
      <c r="W18" s="50">
        <f t="shared" si="5"/>
        <v>147.12948952198366</v>
      </c>
      <c r="X18" s="50">
        <f t="shared" si="6"/>
        <v>0.1068690047928815</v>
      </c>
      <c r="Y18" s="78">
        <v>146.6112</v>
      </c>
      <c r="Z18" s="78">
        <v>148.39429999999999</v>
      </c>
      <c r="AA18" s="189">
        <v>141</v>
      </c>
      <c r="AB18" s="191">
        <v>3064684.57</v>
      </c>
      <c r="AC18" s="3"/>
      <c r="AD18" s="9"/>
      <c r="AE18" s="4"/>
      <c r="AF18" s="4"/>
      <c r="AG18" s="5"/>
      <c r="AH18" s="6"/>
      <c r="AI18" s="6"/>
      <c r="AJ18" s="6"/>
      <c r="AK18" s="7"/>
      <c r="AL18" s="5"/>
      <c r="AM18" s="6"/>
      <c r="AN18" s="6"/>
      <c r="AO18" s="6"/>
      <c r="AP18" s="7"/>
      <c r="AQ18" s="5"/>
      <c r="AR18" s="6"/>
      <c r="AS18" s="6"/>
      <c r="AT18" s="6"/>
      <c r="AU18" s="7"/>
    </row>
    <row r="19" spans="1:257" ht="16.5" customHeight="1">
      <c r="A19" s="219">
        <v>16</v>
      </c>
      <c r="B19" s="220" t="s">
        <v>172</v>
      </c>
      <c r="C19" s="135" t="s">
        <v>173</v>
      </c>
      <c r="D19" s="77">
        <v>19586900.75</v>
      </c>
      <c r="E19" s="101"/>
      <c r="F19" s="78">
        <v>5561088.7599999998</v>
      </c>
      <c r="G19" s="78"/>
      <c r="H19" s="78"/>
      <c r="I19" s="78"/>
      <c r="J19" s="79">
        <v>25147989.510000002</v>
      </c>
      <c r="K19" s="79">
        <v>27139.63</v>
      </c>
      <c r="L19" s="79">
        <v>28907.56</v>
      </c>
      <c r="M19" s="193">
        <v>1767.93</v>
      </c>
      <c r="N19" s="45">
        <v>26078781.890000001</v>
      </c>
      <c r="O19" s="45">
        <v>411045.93</v>
      </c>
      <c r="P19" s="46">
        <v>24860274</v>
      </c>
      <c r="Q19" s="47">
        <f t="shared" si="0"/>
        <v>1.5947249446174574E-3</v>
      </c>
      <c r="R19" s="46">
        <v>25667735.960000001</v>
      </c>
      <c r="S19" s="47">
        <f t="shared" si="1"/>
        <v>1.6392741559607335E-3</v>
      </c>
      <c r="T19" s="48">
        <f>((R19-P19)/P19)</f>
        <v>3.2480010477760661E-2</v>
      </c>
      <c r="U19" s="136">
        <f>(L18/R19)</f>
        <v>0.15271948511971525</v>
      </c>
      <c r="V19" s="137" t="e">
        <v>#DIV/0!</v>
      </c>
      <c r="W19" s="138" t="e">
        <v>#DIV/0!</v>
      </c>
      <c r="X19" s="138" t="e">
        <v>#DIV/0!</v>
      </c>
      <c r="Y19" s="78">
        <v>99.77</v>
      </c>
      <c r="Z19" s="78">
        <v>102.89</v>
      </c>
      <c r="AA19" s="189">
        <v>3</v>
      </c>
      <c r="AB19" s="191">
        <v>253000</v>
      </c>
      <c r="AC19" s="109"/>
      <c r="AD19" s="109"/>
      <c r="AE19" s="110"/>
      <c r="AF19" s="110"/>
      <c r="AG19" s="111"/>
      <c r="AH19" s="111"/>
      <c r="AI19" s="111"/>
      <c r="AJ19" s="111"/>
      <c r="AK19" s="112"/>
      <c r="AL19" s="111"/>
      <c r="AM19" s="111"/>
      <c r="AN19" s="111"/>
      <c r="AO19" s="111"/>
      <c r="AP19" s="112"/>
      <c r="AQ19" s="111"/>
      <c r="AR19" s="111"/>
      <c r="AS19" s="111"/>
      <c r="AT19" s="111"/>
      <c r="AU19" s="112"/>
      <c r="AV19" s="113"/>
      <c r="AW19" s="113"/>
      <c r="AX19" s="113"/>
      <c r="AY19" s="113"/>
      <c r="AZ19" s="113"/>
      <c r="BA19" s="113"/>
      <c r="BB19" s="113"/>
      <c r="BC19" s="113"/>
      <c r="BD19" s="113"/>
      <c r="BE19" s="113"/>
      <c r="BF19" s="113"/>
      <c r="BG19" s="113"/>
      <c r="BH19" s="113"/>
      <c r="BI19" s="113"/>
      <c r="BJ19" s="113"/>
      <c r="BK19" s="113"/>
      <c r="BL19" s="113"/>
      <c r="BM19" s="113"/>
      <c r="BN19" s="113"/>
      <c r="BO19" s="113"/>
      <c r="BP19" s="113"/>
      <c r="BQ19" s="113"/>
      <c r="BR19" s="113"/>
      <c r="BS19" s="113"/>
      <c r="BT19" s="113"/>
      <c r="BU19" s="113"/>
      <c r="BV19" s="113"/>
      <c r="BW19" s="113"/>
      <c r="BX19" s="113"/>
      <c r="BY19" s="113"/>
      <c r="BZ19" s="113"/>
      <c r="CA19" s="113"/>
      <c r="CB19" s="113"/>
      <c r="CC19" s="113"/>
      <c r="CD19" s="113"/>
      <c r="CE19" s="113"/>
      <c r="CF19" s="113"/>
      <c r="CG19" s="113"/>
      <c r="CH19" s="113"/>
      <c r="CI19" s="113"/>
      <c r="CJ19" s="113"/>
      <c r="CK19" s="113"/>
      <c r="CL19" s="113"/>
      <c r="CM19" s="113"/>
      <c r="CN19" s="113"/>
      <c r="CO19" s="113"/>
      <c r="CP19" s="113"/>
      <c r="CQ19" s="113"/>
      <c r="CR19" s="113"/>
      <c r="CS19" s="113"/>
      <c r="CT19" s="113"/>
      <c r="CU19" s="113"/>
      <c r="CV19" s="113"/>
      <c r="CW19" s="113"/>
      <c r="CX19" s="113"/>
      <c r="CY19" s="113"/>
      <c r="CZ19" s="113"/>
      <c r="DA19" s="113"/>
      <c r="DB19" s="113"/>
      <c r="DC19" s="113"/>
      <c r="DD19" s="113"/>
      <c r="DE19" s="113"/>
      <c r="DF19" s="113"/>
      <c r="DG19" s="113"/>
      <c r="DH19" s="113"/>
      <c r="DI19" s="113"/>
      <c r="DJ19" s="113"/>
      <c r="DK19" s="113"/>
      <c r="DL19" s="113"/>
      <c r="DM19" s="113"/>
      <c r="DN19" s="113"/>
      <c r="DO19" s="113"/>
      <c r="DP19" s="113"/>
      <c r="DQ19" s="113"/>
      <c r="DR19" s="113"/>
      <c r="DS19" s="113"/>
      <c r="DT19" s="113"/>
      <c r="DU19" s="113"/>
      <c r="DV19" s="113"/>
      <c r="DW19" s="113"/>
      <c r="DX19" s="113"/>
      <c r="DY19" s="113"/>
      <c r="DZ19" s="113"/>
      <c r="EA19" s="113"/>
      <c r="EB19" s="113"/>
      <c r="EC19" s="113"/>
      <c r="ED19" s="113"/>
      <c r="EE19" s="113"/>
      <c r="EF19" s="113"/>
      <c r="EG19" s="113"/>
      <c r="EH19" s="113"/>
      <c r="EI19" s="113"/>
      <c r="EJ19" s="113"/>
      <c r="EK19" s="113"/>
      <c r="EL19" s="113"/>
      <c r="EM19" s="113"/>
      <c r="EN19" s="113"/>
      <c r="EO19" s="113"/>
      <c r="EP19" s="113"/>
      <c r="EQ19" s="113"/>
      <c r="ER19" s="113"/>
      <c r="ES19" s="113"/>
      <c r="ET19" s="113"/>
      <c r="EU19" s="113"/>
      <c r="EV19" s="113"/>
      <c r="EW19" s="113"/>
      <c r="EX19" s="113"/>
      <c r="EY19" s="113"/>
      <c r="EZ19" s="113"/>
      <c r="FA19" s="113"/>
      <c r="FB19" s="113"/>
      <c r="FC19" s="113"/>
      <c r="FD19" s="113"/>
      <c r="FE19" s="113"/>
      <c r="FF19" s="113"/>
      <c r="FG19" s="113"/>
      <c r="FH19" s="113"/>
      <c r="FI19" s="113"/>
      <c r="FJ19" s="113"/>
      <c r="FK19" s="113"/>
      <c r="FL19" s="113"/>
      <c r="FM19" s="113"/>
      <c r="FN19" s="113"/>
      <c r="FO19" s="113"/>
      <c r="FP19" s="113"/>
      <c r="FQ19" s="113"/>
      <c r="FR19" s="113"/>
      <c r="FS19" s="113"/>
      <c r="FT19" s="113"/>
      <c r="FU19" s="113"/>
      <c r="FV19" s="113"/>
      <c r="FW19" s="113"/>
      <c r="FX19" s="113"/>
      <c r="FY19" s="113"/>
      <c r="FZ19" s="113"/>
      <c r="GA19" s="113"/>
      <c r="GB19" s="113"/>
      <c r="GC19" s="113"/>
      <c r="GD19" s="113"/>
      <c r="GE19" s="113"/>
      <c r="GF19" s="113"/>
      <c r="GG19" s="113"/>
      <c r="GH19" s="113"/>
      <c r="GI19" s="113"/>
      <c r="GJ19" s="113"/>
      <c r="GK19" s="113"/>
      <c r="GL19" s="113"/>
      <c r="GM19" s="113"/>
      <c r="GN19" s="113"/>
      <c r="GO19" s="113"/>
      <c r="GP19" s="113"/>
      <c r="GQ19" s="113"/>
      <c r="GR19" s="113"/>
      <c r="GS19" s="113"/>
      <c r="GT19" s="113"/>
      <c r="GU19" s="113"/>
      <c r="GV19" s="113"/>
      <c r="GW19" s="113"/>
      <c r="GX19" s="113"/>
      <c r="GY19" s="113"/>
      <c r="GZ19" s="113"/>
      <c r="HA19" s="113"/>
      <c r="HB19" s="113"/>
      <c r="HC19" s="113"/>
      <c r="HD19" s="113"/>
      <c r="HE19" s="113"/>
      <c r="HF19" s="113"/>
      <c r="HG19" s="113"/>
      <c r="HH19" s="113"/>
      <c r="HI19" s="113"/>
      <c r="HJ19" s="113"/>
      <c r="HK19" s="113"/>
      <c r="HL19" s="113"/>
      <c r="HM19" s="113"/>
      <c r="HN19" s="113"/>
      <c r="HO19" s="113"/>
      <c r="HP19" s="113"/>
      <c r="HQ19" s="113"/>
      <c r="HR19" s="113"/>
      <c r="HS19" s="113"/>
      <c r="HT19" s="113"/>
      <c r="HU19" s="113"/>
      <c r="HV19" s="113"/>
      <c r="HW19" s="113"/>
      <c r="HX19" s="113"/>
      <c r="HY19" s="113"/>
      <c r="HZ19" s="113"/>
      <c r="IA19" s="113"/>
      <c r="IB19" s="113"/>
      <c r="IC19" s="113"/>
      <c r="ID19" s="113"/>
      <c r="IE19" s="113"/>
      <c r="IF19" s="113"/>
      <c r="IG19" s="113"/>
      <c r="IH19" s="113"/>
      <c r="II19" s="113"/>
      <c r="IJ19" s="113"/>
      <c r="IK19" s="113"/>
      <c r="IL19" s="113"/>
      <c r="IM19" s="113"/>
      <c r="IN19" s="113"/>
      <c r="IO19" s="113"/>
      <c r="IP19" s="113"/>
      <c r="IQ19" s="113"/>
      <c r="IR19" s="113"/>
      <c r="IS19" s="113"/>
      <c r="IT19" s="113"/>
      <c r="IU19" s="113"/>
      <c r="IV19" s="113"/>
      <c r="IW19" s="113"/>
    </row>
    <row r="20" spans="1:257" ht="16.5" customHeight="1">
      <c r="A20" s="146"/>
      <c r="B20" s="58"/>
      <c r="C20" s="59" t="s">
        <v>53</v>
      </c>
      <c r="D20" s="60">
        <f>SUM(D4:D19)</f>
        <v>11868125238.74</v>
      </c>
      <c r="E20" s="60"/>
      <c r="F20" s="60">
        <f t="shared" ref="F20:H20" si="7">SUM(F4:F19)</f>
        <v>2617475849.8699999</v>
      </c>
      <c r="G20" s="60">
        <f t="shared" si="7"/>
        <v>190953171.63</v>
      </c>
      <c r="H20" s="60">
        <f t="shared" si="7"/>
        <v>1320537.3999999999</v>
      </c>
      <c r="I20" s="60"/>
      <c r="J20" s="60">
        <f t="shared" ref="J20" si="8">SUM(J4:J19)</f>
        <v>14796315909.759996</v>
      </c>
      <c r="K20" s="60">
        <f t="shared" ref="K20" si="9">SUM(K4:K19)</f>
        <v>78803594.430000007</v>
      </c>
      <c r="L20" s="60">
        <f t="shared" ref="L20" si="10">SUM(L4:L19)</f>
        <v>109357846.36</v>
      </c>
      <c r="M20" s="60">
        <f t="shared" ref="M20" si="11">SUM(M4:M19)</f>
        <v>106490570.06000002</v>
      </c>
      <c r="N20" s="60">
        <f t="shared" ref="N20:O20" si="12">SUM(N4:N19)</f>
        <v>15786255836.889997</v>
      </c>
      <c r="O20" s="60">
        <f t="shared" si="12"/>
        <v>128267540.86</v>
      </c>
      <c r="P20" s="205">
        <f>SUM(P4:P19)</f>
        <v>15589066994.85</v>
      </c>
      <c r="Q20" s="118">
        <f>(P20/$P$149)</f>
        <v>1.1731679935579787E-2</v>
      </c>
      <c r="R20" s="205">
        <f>SUM(R4:R19)</f>
        <v>15657988547.349998</v>
      </c>
      <c r="S20" s="118">
        <f>(R20/$R$149)</f>
        <v>1.1302711309210513E-2</v>
      </c>
      <c r="T20" s="62">
        <f>((R20-P20)/P20)</f>
        <v>4.4211467256357927E-3</v>
      </c>
      <c r="U20" s="76"/>
      <c r="V20" s="63"/>
      <c r="W20" s="64"/>
      <c r="X20" s="64"/>
      <c r="Y20" s="60"/>
      <c r="Z20" s="60"/>
      <c r="AA20" s="65">
        <f>SUM(AA4:AA19)</f>
        <v>53756</v>
      </c>
      <c r="AB20" s="147"/>
      <c r="AC20" s="10"/>
      <c r="AD20" s="10"/>
      <c r="AE20" s="13"/>
      <c r="AF20" s="4"/>
      <c r="AG20" s="5"/>
      <c r="AH20" s="6"/>
      <c r="AI20" s="6"/>
      <c r="AJ20" s="6"/>
      <c r="AK20" s="7"/>
      <c r="AL20" s="5"/>
      <c r="AM20" s="6"/>
      <c r="AN20" s="6"/>
      <c r="AO20" s="6"/>
      <c r="AP20" s="7"/>
      <c r="AQ20" s="5"/>
      <c r="AR20" s="6"/>
      <c r="AS20" s="6"/>
      <c r="AT20" s="6"/>
      <c r="AU20" s="7"/>
    </row>
    <row r="21" spans="1:257" ht="15.75" customHeight="1">
      <c r="A21" s="232" t="s">
        <v>54</v>
      </c>
      <c r="B21" s="233"/>
      <c r="C21" s="233"/>
      <c r="D21" s="66"/>
      <c r="E21" s="66"/>
      <c r="F21" s="66"/>
      <c r="G21" s="66"/>
      <c r="H21" s="66"/>
      <c r="I21" s="66"/>
      <c r="J21" s="66"/>
      <c r="K21" s="66"/>
      <c r="L21" s="66"/>
      <c r="M21" s="210"/>
      <c r="N21" s="66"/>
      <c r="O21" s="66"/>
      <c r="P21" s="66"/>
      <c r="Q21" s="66"/>
      <c r="R21" s="66"/>
      <c r="S21" s="66"/>
      <c r="T21" s="48"/>
      <c r="U21" s="48"/>
      <c r="V21" s="66"/>
      <c r="W21" s="66"/>
      <c r="X21" s="66"/>
      <c r="Y21" s="66"/>
      <c r="Z21" s="66"/>
      <c r="AA21" s="66"/>
      <c r="AB21" s="148"/>
      <c r="AC21" s="10"/>
      <c r="AD21" s="10"/>
      <c r="AE21" s="13"/>
      <c r="AF21" s="4"/>
      <c r="AG21" s="5"/>
      <c r="AH21" s="6"/>
      <c r="AI21" s="6"/>
      <c r="AJ21" s="6"/>
      <c r="AK21" s="7"/>
      <c r="AL21" s="5"/>
      <c r="AM21" s="6"/>
      <c r="AN21" s="6"/>
      <c r="AO21" s="6"/>
      <c r="AP21" s="7"/>
      <c r="AQ21" s="5"/>
      <c r="AR21" s="6"/>
      <c r="AS21" s="6"/>
      <c r="AT21" s="6"/>
      <c r="AU21" s="7"/>
    </row>
    <row r="22" spans="1:257" ht="18" customHeight="1">
      <c r="A22" s="217">
        <v>17</v>
      </c>
      <c r="B22" s="83" t="s">
        <v>24</v>
      </c>
      <c r="C22" s="83" t="s">
        <v>55</v>
      </c>
      <c r="D22" s="78"/>
      <c r="E22" s="78"/>
      <c r="F22" s="78">
        <v>202868194309.64001</v>
      </c>
      <c r="G22" s="78"/>
      <c r="H22" s="78"/>
      <c r="I22" s="78"/>
      <c r="J22" s="78">
        <v>202868194309.64001</v>
      </c>
      <c r="K22" s="78">
        <v>1425603589.71</v>
      </c>
      <c r="L22" s="78">
        <v>388935535.63999999</v>
      </c>
      <c r="M22" s="193">
        <v>1036668054.0700001</v>
      </c>
      <c r="N22" s="44">
        <v>234243750703.29999</v>
      </c>
      <c r="O22" s="44">
        <v>806567697.17999995</v>
      </c>
      <c r="P22" s="54">
        <v>227892999733.87</v>
      </c>
      <c r="Q22" s="47">
        <f t="shared" ref="Q22:Q50" si="13">(P22/$P$51)</f>
        <v>0.39959726285982639</v>
      </c>
      <c r="R22" s="54">
        <v>233437183006.12</v>
      </c>
      <c r="S22" s="47">
        <f t="shared" ref="S22:S50" si="14">(R22/$R$51)</f>
        <v>0.39262821236735324</v>
      </c>
      <c r="T22" s="48">
        <f t="shared" ref="T22:T51" si="15">((R22-P22)/P22)</f>
        <v>2.4328010420348205E-2</v>
      </c>
      <c r="U22" s="84">
        <f t="shared" ref="U22:U50" si="16">(L22/R22)</f>
        <v>1.6661250389994782E-3</v>
      </c>
      <c r="V22" s="49">
        <f t="shared" ref="V22:V50" si="17">M22/R22</f>
        <v>4.4408865833632932E-3</v>
      </c>
      <c r="W22" s="50">
        <f t="shared" ref="W22:W50" si="18">R22/AB22</f>
        <v>100.0000000000514</v>
      </c>
      <c r="X22" s="50">
        <f t="shared" ref="X22:X50" si="19">M22/AB22</f>
        <v>0.44408865833655764</v>
      </c>
      <c r="Y22" s="44">
        <v>100</v>
      </c>
      <c r="Z22" s="44">
        <v>100</v>
      </c>
      <c r="AA22" s="189">
        <v>476714</v>
      </c>
      <c r="AB22" s="190">
        <v>2334371830.0599999</v>
      </c>
      <c r="AC22" s="37"/>
      <c r="AD22" s="10"/>
      <c r="AE22" s="13"/>
      <c r="AF22" s="4"/>
      <c r="AG22" s="5"/>
      <c r="AH22" s="6"/>
      <c r="AI22" s="6"/>
      <c r="AJ22" s="6"/>
      <c r="AK22" s="7"/>
      <c r="AL22" s="5"/>
      <c r="AM22" s="6"/>
      <c r="AN22" s="6"/>
      <c r="AO22" s="6"/>
      <c r="AP22" s="7"/>
      <c r="AQ22" s="5"/>
      <c r="AR22" s="6"/>
      <c r="AS22" s="6"/>
      <c r="AT22" s="6"/>
      <c r="AU22" s="7"/>
    </row>
    <row r="23" spans="1:257" ht="18" customHeight="1">
      <c r="A23" s="217">
        <v>18</v>
      </c>
      <c r="B23" s="83" t="s">
        <v>56</v>
      </c>
      <c r="C23" s="83" t="s">
        <v>57</v>
      </c>
      <c r="D23" s="78"/>
      <c r="E23" s="78"/>
      <c r="F23" s="78">
        <v>174156158604.39999</v>
      </c>
      <c r="G23" s="78"/>
      <c r="H23" s="78"/>
      <c r="I23" s="78"/>
      <c r="J23" s="78">
        <v>171618157793.17001</v>
      </c>
      <c r="K23" s="78">
        <v>709385778.22000003</v>
      </c>
      <c r="L23" s="78">
        <v>213432257.75</v>
      </c>
      <c r="M23" s="193">
        <v>495953520.45999998</v>
      </c>
      <c r="N23" s="44">
        <v>174136826463.70999</v>
      </c>
      <c r="O23" s="44">
        <v>2518668670.54</v>
      </c>
      <c r="P23" s="54">
        <v>161269896507.20001</v>
      </c>
      <c r="Q23" s="47">
        <f t="shared" si="13"/>
        <v>0.28277748461435925</v>
      </c>
      <c r="R23" s="54">
        <v>171618157793.17001</v>
      </c>
      <c r="S23" s="47">
        <f t="shared" si="14"/>
        <v>0.28865208891054922</v>
      </c>
      <c r="T23" s="48">
        <f t="shared" si="15"/>
        <v>6.4167346231960881E-2</v>
      </c>
      <c r="U23" s="84">
        <f t="shared" si="16"/>
        <v>1.2436461298414782E-3</v>
      </c>
      <c r="V23" s="49">
        <f t="shared" si="17"/>
        <v>2.8898662404808644E-3</v>
      </c>
      <c r="W23" s="50">
        <f t="shared" si="18"/>
        <v>100.0233140360653</v>
      </c>
      <c r="X23" s="50">
        <f t="shared" si="19"/>
        <v>0.28905399849384089</v>
      </c>
      <c r="Y23" s="44">
        <v>100</v>
      </c>
      <c r="Z23" s="44">
        <v>100</v>
      </c>
      <c r="AA23" s="189">
        <v>22930</v>
      </c>
      <c r="AB23" s="190">
        <v>1715781560</v>
      </c>
      <c r="AC23" s="37"/>
      <c r="AD23" s="10"/>
      <c r="AE23" s="13"/>
      <c r="AF23" s="4"/>
      <c r="AG23" s="5"/>
      <c r="AH23" s="6"/>
      <c r="AI23" s="6"/>
      <c r="AJ23" s="6"/>
      <c r="AK23" s="7"/>
      <c r="AL23" s="5"/>
      <c r="AM23" s="6"/>
      <c r="AN23" s="6"/>
      <c r="AO23" s="6"/>
      <c r="AP23" s="7"/>
      <c r="AQ23" s="5"/>
      <c r="AR23" s="6"/>
      <c r="AS23" s="6"/>
      <c r="AT23" s="6"/>
      <c r="AU23" s="7"/>
    </row>
    <row r="24" spans="1:257" ht="18" customHeight="1">
      <c r="A24" s="217">
        <v>19</v>
      </c>
      <c r="B24" s="83" t="s">
        <v>34</v>
      </c>
      <c r="C24" s="83" t="s">
        <v>58</v>
      </c>
      <c r="D24" s="78"/>
      <c r="E24" s="78"/>
      <c r="F24" s="78">
        <v>8601738575</v>
      </c>
      <c r="G24" s="78"/>
      <c r="H24" s="78"/>
      <c r="I24" s="78"/>
      <c r="J24" s="78">
        <v>8601738575</v>
      </c>
      <c r="K24" s="78">
        <v>151746122</v>
      </c>
      <c r="L24" s="78">
        <v>24259298</v>
      </c>
      <c r="M24" s="193">
        <v>127486824</v>
      </c>
      <c r="N24" s="44">
        <v>22068710028.689999</v>
      </c>
      <c r="O24" s="44">
        <v>377015603.51999998</v>
      </c>
      <c r="P24" s="54">
        <v>22512447680</v>
      </c>
      <c r="Q24" s="47">
        <f t="shared" si="13"/>
        <v>3.9474281718650153E-2</v>
      </c>
      <c r="R24" s="54">
        <v>21691694425</v>
      </c>
      <c r="S24" s="47">
        <f t="shared" si="14"/>
        <v>3.6484209994443552E-2</v>
      </c>
      <c r="T24" s="48">
        <f t="shared" si="15"/>
        <v>-3.6457752913698273E-2</v>
      </c>
      <c r="U24" s="84">
        <f t="shared" si="16"/>
        <v>1.1183680502174509E-3</v>
      </c>
      <c r="V24" s="49">
        <f t="shared" si="17"/>
        <v>5.8772183261566486E-3</v>
      </c>
      <c r="W24" s="50">
        <f t="shared" si="18"/>
        <v>1.0245354113610849</v>
      </c>
      <c r="X24" s="50">
        <f t="shared" si="19"/>
        <v>6.0214182954478083E-3</v>
      </c>
      <c r="Y24" s="44">
        <v>1</v>
      </c>
      <c r="Z24" s="44">
        <v>1</v>
      </c>
      <c r="AA24" s="189">
        <v>3676</v>
      </c>
      <c r="AB24" s="190">
        <v>21172225171</v>
      </c>
      <c r="AC24" s="37"/>
      <c r="AD24" s="10"/>
      <c r="AE24" s="13"/>
      <c r="AF24" s="4"/>
      <c r="AG24" s="5"/>
      <c r="AH24" s="6"/>
      <c r="AI24" s="6"/>
      <c r="AJ24" s="6"/>
      <c r="AK24" s="7"/>
      <c r="AL24" s="5"/>
      <c r="AM24" s="6"/>
      <c r="AN24" s="6"/>
      <c r="AO24" s="6"/>
      <c r="AP24" s="7"/>
      <c r="AQ24" s="5"/>
      <c r="AR24" s="6"/>
      <c r="AS24" s="6"/>
      <c r="AT24" s="6"/>
      <c r="AU24" s="7"/>
    </row>
    <row r="25" spans="1:257" ht="18" customHeight="1">
      <c r="A25" s="217">
        <v>20</v>
      </c>
      <c r="B25" s="83" t="s">
        <v>59</v>
      </c>
      <c r="C25" s="83" t="s">
        <v>60</v>
      </c>
      <c r="D25" s="78"/>
      <c r="E25" s="78"/>
      <c r="F25" s="78">
        <v>920885252.25999999</v>
      </c>
      <c r="G25" s="78"/>
      <c r="H25" s="78"/>
      <c r="I25" s="78"/>
      <c r="J25" s="78">
        <v>945513579.91999996</v>
      </c>
      <c r="K25" s="78">
        <v>7668305.79</v>
      </c>
      <c r="L25" s="78">
        <v>1572846.88</v>
      </c>
      <c r="M25" s="193" t="s">
        <v>213</v>
      </c>
      <c r="N25" s="44">
        <v>945513579.91999996</v>
      </c>
      <c r="O25" s="44">
        <v>25296740.379999999</v>
      </c>
      <c r="P25" s="54">
        <v>850401807.66999996</v>
      </c>
      <c r="Q25" s="47">
        <f t="shared" si="13"/>
        <v>1.491130640576126E-3</v>
      </c>
      <c r="R25" s="54">
        <v>920216839.53999996</v>
      </c>
      <c r="S25" s="47">
        <f t="shared" si="14"/>
        <v>1.5477529673987433E-3</v>
      </c>
      <c r="T25" s="48">
        <f t="shared" si="15"/>
        <v>8.2096523361450638E-2</v>
      </c>
      <c r="U25" s="84">
        <f t="shared" si="16"/>
        <v>1.7092133206193423E-3</v>
      </c>
      <c r="V25" s="49" t="e">
        <f t="shared" si="17"/>
        <v>#VALUE!</v>
      </c>
      <c r="W25" s="50">
        <f t="shared" si="18"/>
        <v>103.23709949863979</v>
      </c>
      <c r="X25" s="50" t="e">
        <f t="shared" si="19"/>
        <v>#VALUE!</v>
      </c>
      <c r="Y25" s="44">
        <v>100</v>
      </c>
      <c r="Z25" s="44">
        <v>100</v>
      </c>
      <c r="AA25" s="189">
        <v>762</v>
      </c>
      <c r="AB25" s="190">
        <v>8913625.4700000007</v>
      </c>
      <c r="AC25" s="37"/>
      <c r="AD25" s="10"/>
      <c r="AE25" s="13"/>
      <c r="AF25" s="4"/>
      <c r="AG25" s="5"/>
      <c r="AH25" s="6"/>
      <c r="AI25" s="6"/>
      <c r="AJ25" s="6"/>
      <c r="AK25" s="7"/>
      <c r="AL25" s="5"/>
      <c r="AM25" s="6"/>
      <c r="AN25" s="6"/>
      <c r="AO25" s="6"/>
      <c r="AP25" s="7"/>
      <c r="AQ25" s="5"/>
      <c r="AR25" s="6"/>
      <c r="AS25" s="6"/>
      <c r="AT25" s="6"/>
      <c r="AU25" s="7"/>
    </row>
    <row r="26" spans="1:257" ht="18" customHeight="1">
      <c r="A26" s="217">
        <v>21</v>
      </c>
      <c r="B26" s="82" t="s">
        <v>36</v>
      </c>
      <c r="C26" s="83" t="s">
        <v>61</v>
      </c>
      <c r="D26" s="78"/>
      <c r="E26" s="78"/>
      <c r="F26" s="78">
        <v>21762436178.110001</v>
      </c>
      <c r="G26" s="78"/>
      <c r="H26" s="78"/>
      <c r="I26" s="78"/>
      <c r="J26" s="78">
        <v>21762436178.110001</v>
      </c>
      <c r="K26" s="78">
        <v>1260939401.1400001</v>
      </c>
      <c r="L26" s="78">
        <v>105093244.72</v>
      </c>
      <c r="M26" s="193">
        <v>1366032645.8599999</v>
      </c>
      <c r="N26" s="44">
        <v>68561065458</v>
      </c>
      <c r="O26" s="44">
        <v>25686337</v>
      </c>
      <c r="P26" s="54">
        <v>63304899129</v>
      </c>
      <c r="Q26" s="47">
        <f t="shared" si="13"/>
        <v>0.11100149827816842</v>
      </c>
      <c r="R26" s="54">
        <v>68535379121</v>
      </c>
      <c r="S26" s="47">
        <f t="shared" si="14"/>
        <v>0.11527265297530423</v>
      </c>
      <c r="T26" s="48">
        <f t="shared" si="15"/>
        <v>8.2623620982975626E-2</v>
      </c>
      <c r="U26" s="84">
        <f t="shared" si="16"/>
        <v>1.5334159680426757E-3</v>
      </c>
      <c r="V26" s="49">
        <f t="shared" si="17"/>
        <v>1.9931787981332293E-2</v>
      </c>
      <c r="W26" s="50">
        <f t="shared" si="18"/>
        <v>1</v>
      </c>
      <c r="X26" s="50">
        <f t="shared" si="19"/>
        <v>1.9931787981332293E-2</v>
      </c>
      <c r="Y26" s="44" t="s">
        <v>203</v>
      </c>
      <c r="Z26" s="44" t="s">
        <v>203</v>
      </c>
      <c r="AA26" s="189">
        <v>79328</v>
      </c>
      <c r="AB26" s="190">
        <v>68535379121</v>
      </c>
      <c r="AC26" s="37"/>
      <c r="AD26" s="10"/>
      <c r="AE26" s="13"/>
      <c r="AF26" s="4"/>
      <c r="AG26" s="5"/>
      <c r="AH26" s="6"/>
      <c r="AI26" s="6"/>
      <c r="AJ26" s="6"/>
      <c r="AK26" s="7"/>
      <c r="AL26" s="5"/>
      <c r="AM26" s="6"/>
      <c r="AN26" s="6"/>
      <c r="AO26" s="6"/>
      <c r="AP26" s="7"/>
      <c r="AQ26" s="5"/>
      <c r="AR26" s="6"/>
      <c r="AS26" s="6"/>
      <c r="AT26" s="6"/>
      <c r="AU26" s="7"/>
    </row>
    <row r="27" spans="1:257" ht="18" customHeight="1">
      <c r="A27" s="217">
        <v>22</v>
      </c>
      <c r="B27" s="83" t="s">
        <v>40</v>
      </c>
      <c r="C27" s="83" t="s">
        <v>62</v>
      </c>
      <c r="D27" s="78"/>
      <c r="E27" s="78"/>
      <c r="F27" s="78">
        <v>1601589962.8099999</v>
      </c>
      <c r="G27" s="78"/>
      <c r="H27" s="78"/>
      <c r="I27" s="78"/>
      <c r="J27" s="78">
        <v>2008535266.3800001</v>
      </c>
      <c r="K27" s="78">
        <v>13365399.640000001</v>
      </c>
      <c r="L27" s="78">
        <v>2929070.64</v>
      </c>
      <c r="M27" s="193">
        <v>10436329</v>
      </c>
      <c r="N27" s="44">
        <v>2045537037.8199999</v>
      </c>
      <c r="O27" s="44">
        <v>6920135.3300000001</v>
      </c>
      <c r="P27" s="54">
        <v>1969936963.72</v>
      </c>
      <c r="Q27" s="47">
        <f t="shared" si="13"/>
        <v>3.4541711225363116E-3</v>
      </c>
      <c r="R27" s="54">
        <v>2038616902.49</v>
      </c>
      <c r="S27" s="47">
        <f t="shared" si="14"/>
        <v>3.4288389699490807E-3</v>
      </c>
      <c r="T27" s="48">
        <f t="shared" si="15"/>
        <v>3.4864028664300911E-2</v>
      </c>
      <c r="U27" s="84">
        <f t="shared" si="16"/>
        <v>1.4367930710386956E-3</v>
      </c>
      <c r="V27" s="49">
        <f t="shared" si="17"/>
        <v>5.1193183904503572E-3</v>
      </c>
      <c r="W27" s="50">
        <f t="shared" si="18"/>
        <v>10.016353399369519</v>
      </c>
      <c r="X27" s="50">
        <f t="shared" si="19"/>
        <v>5.1276902162642329E-2</v>
      </c>
      <c r="Y27" s="44">
        <v>10</v>
      </c>
      <c r="Z27" s="44">
        <v>10</v>
      </c>
      <c r="AA27" s="189">
        <v>1350</v>
      </c>
      <c r="AB27" s="190">
        <v>203528851.38999999</v>
      </c>
      <c r="AC27" s="37"/>
      <c r="AD27" s="10"/>
      <c r="AE27" s="3"/>
      <c r="AF27" s="9"/>
      <c r="AG27" s="5"/>
      <c r="AH27" s="6"/>
      <c r="AI27" s="6"/>
      <c r="AJ27" s="6"/>
      <c r="AK27" s="7"/>
      <c r="AL27" s="5"/>
      <c r="AM27" s="6"/>
      <c r="AN27" s="6"/>
      <c r="AO27" s="6"/>
      <c r="AP27" s="7"/>
      <c r="AQ27" s="5"/>
      <c r="AR27" s="6"/>
      <c r="AS27" s="6"/>
      <c r="AT27" s="6"/>
      <c r="AU27" s="7"/>
    </row>
    <row r="28" spans="1:257" ht="18" customHeight="1">
      <c r="A28" s="217">
        <v>23</v>
      </c>
      <c r="B28" s="83" t="s">
        <v>205</v>
      </c>
      <c r="C28" s="83" t="s">
        <v>63</v>
      </c>
      <c r="D28" s="78"/>
      <c r="E28" s="78"/>
      <c r="F28" s="78">
        <v>9020654917.5400009</v>
      </c>
      <c r="G28" s="78"/>
      <c r="H28" s="78"/>
      <c r="I28" s="78"/>
      <c r="J28" s="78">
        <v>9020654917.5400009</v>
      </c>
      <c r="K28" s="78">
        <v>218515838.31</v>
      </c>
      <c r="L28" s="78">
        <v>36334430.950000003</v>
      </c>
      <c r="M28" s="193">
        <v>182181407.36000001</v>
      </c>
      <c r="N28" s="44">
        <v>30731550122.400002</v>
      </c>
      <c r="O28" s="44">
        <v>170257398.69</v>
      </c>
      <c r="P28" s="54">
        <v>29342105780.970001</v>
      </c>
      <c r="Q28" s="47">
        <f t="shared" si="13"/>
        <v>5.1449694243839911E-2</v>
      </c>
      <c r="R28" s="54">
        <v>30561292723.709999</v>
      </c>
      <c r="S28" s="47">
        <f t="shared" si="14"/>
        <v>5.1402375470882347E-2</v>
      </c>
      <c r="T28" s="48">
        <f t="shared" si="15"/>
        <v>4.1550765028279223E-2</v>
      </c>
      <c r="U28" s="84">
        <f>(L28/R28)</f>
        <v>1.1889036003313793E-3</v>
      </c>
      <c r="V28" s="49">
        <f t="shared" si="17"/>
        <v>5.9611813219753104E-3</v>
      </c>
      <c r="W28" s="50">
        <f t="shared" si="18"/>
        <v>1.0120424143820346</v>
      </c>
      <c r="X28" s="50">
        <f t="shared" si="19"/>
        <v>6.0329683376609813E-3</v>
      </c>
      <c r="Y28" s="44">
        <v>1</v>
      </c>
      <c r="Z28" s="44">
        <v>1</v>
      </c>
      <c r="AA28" s="44">
        <v>19912</v>
      </c>
      <c r="AB28" s="190">
        <v>30197640226.740002</v>
      </c>
      <c r="AC28" s="37"/>
      <c r="AD28" s="10"/>
      <c r="AE28" s="10"/>
      <c r="AF28" s="11"/>
      <c r="AG28" s="5"/>
      <c r="AH28" s="6"/>
      <c r="AI28" s="6"/>
      <c r="AJ28" s="6"/>
      <c r="AK28" s="7"/>
      <c r="AL28" s="5"/>
      <c r="AM28" s="6"/>
      <c r="AN28" s="6"/>
      <c r="AO28" s="6"/>
      <c r="AP28" s="7"/>
      <c r="AQ28" s="5"/>
      <c r="AR28" s="6"/>
      <c r="AS28" s="6"/>
      <c r="AT28" s="6"/>
      <c r="AU28" s="7"/>
    </row>
    <row r="29" spans="1:257" ht="16.5" customHeight="1">
      <c r="A29" s="217">
        <v>24</v>
      </c>
      <c r="B29" s="83" t="s">
        <v>64</v>
      </c>
      <c r="C29" s="83" t="s">
        <v>65</v>
      </c>
      <c r="D29" s="78"/>
      <c r="E29" s="78"/>
      <c r="F29" s="78">
        <v>1004549839.1900001</v>
      </c>
      <c r="G29" s="78"/>
      <c r="H29" s="78"/>
      <c r="I29" s="78"/>
      <c r="J29" s="78">
        <v>1004549839.1900001</v>
      </c>
      <c r="K29" s="78">
        <v>14443770.9</v>
      </c>
      <c r="L29" s="78">
        <v>3316685.21</v>
      </c>
      <c r="M29" s="193">
        <v>11127085.689999999</v>
      </c>
      <c r="N29" s="44">
        <v>2239410755.5500002</v>
      </c>
      <c r="O29" s="44">
        <v>6847573.7000000002</v>
      </c>
      <c r="P29" s="54">
        <v>2029620595.0799999</v>
      </c>
      <c r="Q29" s="47">
        <f t="shared" si="13"/>
        <v>3.5588229361367377E-3</v>
      </c>
      <c r="R29" s="54">
        <v>2239287715.5500002</v>
      </c>
      <c r="S29" s="47">
        <f t="shared" si="14"/>
        <v>3.7663559909798974E-3</v>
      </c>
      <c r="T29" s="48">
        <f t="shared" si="15"/>
        <v>0.10330360313560771</v>
      </c>
      <c r="U29" s="84">
        <f t="shared" si="16"/>
        <v>1.4811340172896791E-3</v>
      </c>
      <c r="V29" s="49">
        <f t="shared" si="17"/>
        <v>4.9690290411239235E-3</v>
      </c>
      <c r="W29" s="50">
        <f t="shared" si="18"/>
        <v>100.00000069441725</v>
      </c>
      <c r="X29" s="50">
        <f t="shared" si="19"/>
        <v>0.4969029075629719</v>
      </c>
      <c r="Y29" s="44">
        <v>100</v>
      </c>
      <c r="Z29" s="44">
        <v>100</v>
      </c>
      <c r="AA29" s="189">
        <v>539</v>
      </c>
      <c r="AB29" s="190">
        <v>22392877</v>
      </c>
      <c r="AC29" s="11"/>
      <c r="AD29" s="14"/>
      <c r="AE29" s="15"/>
      <c r="AF29" s="15"/>
      <c r="AG29" s="5"/>
      <c r="AH29" s="6"/>
      <c r="AI29" s="6"/>
      <c r="AJ29" s="6"/>
      <c r="AK29" s="7"/>
      <c r="AL29" s="5"/>
      <c r="AM29" s="6"/>
      <c r="AN29" s="6"/>
      <c r="AO29" s="6"/>
      <c r="AP29" s="7"/>
      <c r="AQ29" s="5"/>
      <c r="AR29" s="6"/>
      <c r="AS29" s="6"/>
      <c r="AT29" s="6"/>
      <c r="AU29" s="7"/>
    </row>
    <row r="30" spans="1:257" ht="18" customHeight="1">
      <c r="A30" s="217">
        <v>25</v>
      </c>
      <c r="B30" s="83" t="s">
        <v>66</v>
      </c>
      <c r="C30" s="83" t="s">
        <v>67</v>
      </c>
      <c r="D30" s="78"/>
      <c r="E30" s="78"/>
      <c r="F30" s="78">
        <v>2834726314.5300002</v>
      </c>
      <c r="G30" s="78"/>
      <c r="H30" s="78"/>
      <c r="I30" s="78"/>
      <c r="J30" s="78">
        <v>2834726314.5300002</v>
      </c>
      <c r="K30" s="78">
        <v>36691537.880000003</v>
      </c>
      <c r="L30" s="78">
        <v>2782281.76</v>
      </c>
      <c r="M30" s="193">
        <v>33909256.119999997</v>
      </c>
      <c r="N30" s="44">
        <v>5659796723.4799995</v>
      </c>
      <c r="O30" s="44">
        <v>271251188.07999998</v>
      </c>
      <c r="P30" s="54">
        <v>4884314056.5799999</v>
      </c>
      <c r="Q30" s="47">
        <f t="shared" si="13"/>
        <v>8.5643636717072369E-3</v>
      </c>
      <c r="R30" s="54">
        <v>5388545535.3999996</v>
      </c>
      <c r="S30" s="47">
        <f t="shared" si="14"/>
        <v>9.0632305170025851E-3</v>
      </c>
      <c r="T30" s="48">
        <f t="shared" si="15"/>
        <v>0.10323486020328981</v>
      </c>
      <c r="U30" s="84">
        <f t="shared" si="16"/>
        <v>5.1633260621476165E-4</v>
      </c>
      <c r="V30" s="49">
        <f t="shared" si="17"/>
        <v>6.2928402288212016E-3</v>
      </c>
      <c r="W30" s="50">
        <f t="shared" si="18"/>
        <v>100.00000065694907</v>
      </c>
      <c r="X30" s="50">
        <f t="shared" si="19"/>
        <v>0.62928402701619568</v>
      </c>
      <c r="Y30" s="44">
        <v>100</v>
      </c>
      <c r="Z30" s="44">
        <v>100</v>
      </c>
      <c r="AA30" s="189">
        <f>SUM(5213,213,110)</f>
        <v>5536</v>
      </c>
      <c r="AB30" s="190">
        <v>53885455</v>
      </c>
      <c r="AC30" s="37"/>
      <c r="AD30" s="44"/>
      <c r="AE30" s="13"/>
      <c r="AF30" s="4"/>
      <c r="AG30" s="5"/>
      <c r="AH30" s="6"/>
      <c r="AI30" s="6"/>
      <c r="AJ30" s="6"/>
      <c r="AK30" s="7"/>
      <c r="AL30" s="5"/>
      <c r="AM30" s="6"/>
      <c r="AN30" s="6"/>
      <c r="AO30" s="6"/>
      <c r="AP30" s="7"/>
      <c r="AQ30" s="5"/>
      <c r="AR30" s="6"/>
      <c r="AS30" s="6"/>
      <c r="AT30" s="6"/>
      <c r="AU30" s="7"/>
    </row>
    <row r="31" spans="1:257" ht="18" customHeight="1">
      <c r="A31" s="217">
        <v>26</v>
      </c>
      <c r="B31" s="82" t="s">
        <v>47</v>
      </c>
      <c r="C31" s="82" t="s">
        <v>68</v>
      </c>
      <c r="D31" s="78"/>
      <c r="E31" s="78"/>
      <c r="F31" s="78">
        <v>777710842.80999994</v>
      </c>
      <c r="G31" s="78"/>
      <c r="H31" s="78"/>
      <c r="I31" s="78"/>
      <c r="J31" s="78">
        <v>777710842.80999994</v>
      </c>
      <c r="K31" s="78">
        <v>5330070.2</v>
      </c>
      <c r="L31" s="78">
        <v>731480.17</v>
      </c>
      <c r="M31" s="193">
        <v>4598590.03</v>
      </c>
      <c r="N31" s="44">
        <v>759627965.53999996</v>
      </c>
      <c r="O31" s="44">
        <v>1265528.6100000001</v>
      </c>
      <c r="P31" s="54">
        <v>770131406.73000002</v>
      </c>
      <c r="Q31" s="47"/>
      <c r="R31" s="54">
        <v>758362436.92999995</v>
      </c>
      <c r="S31" s="47">
        <f t="shared" si="14"/>
        <v>1.275522965553304E-3</v>
      </c>
      <c r="T31" s="48">
        <f t="shared" si="15"/>
        <v>-1.5281768406214537E-2</v>
      </c>
      <c r="U31" s="84">
        <f t="shared" si="16"/>
        <v>9.6455221722370032E-4</v>
      </c>
      <c r="V31" s="49">
        <f t="shared" si="17"/>
        <v>6.0638420444662257E-3</v>
      </c>
      <c r="W31" s="50">
        <f t="shared" si="18"/>
        <v>10.186883591721667</v>
      </c>
      <c r="X31" s="50">
        <f t="shared" si="19"/>
        <v>6.1771653025564963E-2</v>
      </c>
      <c r="Y31" s="44">
        <v>10</v>
      </c>
      <c r="Z31" s="44">
        <v>10</v>
      </c>
      <c r="AA31" s="189">
        <v>476</v>
      </c>
      <c r="AB31" s="190">
        <v>74444989</v>
      </c>
      <c r="AC31" s="37"/>
      <c r="AD31" s="10"/>
      <c r="AE31" s="13"/>
      <c r="AF31" s="4"/>
      <c r="AG31" s="5"/>
      <c r="AH31" s="6"/>
      <c r="AI31" s="6"/>
      <c r="AJ31" s="6"/>
      <c r="AK31" s="7"/>
      <c r="AL31" s="5"/>
      <c r="AM31" s="6"/>
      <c r="AN31" s="6"/>
      <c r="AO31" s="6"/>
      <c r="AP31" s="7"/>
      <c r="AQ31" s="5"/>
      <c r="AR31" s="6"/>
      <c r="AS31" s="6"/>
      <c r="AT31" s="6"/>
      <c r="AU31" s="7"/>
    </row>
    <row r="32" spans="1:257" ht="18" customHeight="1">
      <c r="A32" s="217">
        <v>27</v>
      </c>
      <c r="B32" s="82" t="s">
        <v>30</v>
      </c>
      <c r="C32" s="82" t="s">
        <v>69</v>
      </c>
      <c r="D32" s="78"/>
      <c r="E32" s="78"/>
      <c r="F32" s="78">
        <v>1830635809.52</v>
      </c>
      <c r="G32" s="78"/>
      <c r="H32" s="78"/>
      <c r="I32" s="78"/>
      <c r="J32" s="78">
        <v>1839119490.8199999</v>
      </c>
      <c r="K32" s="78">
        <v>12357565.789999999</v>
      </c>
      <c r="L32" s="78">
        <v>2818760.66</v>
      </c>
      <c r="M32" s="193">
        <v>9538805.1300000008</v>
      </c>
      <c r="N32" s="44">
        <v>1839119490.8199999</v>
      </c>
      <c r="O32" s="44">
        <v>25504938.300000001</v>
      </c>
      <c r="P32" s="54">
        <v>1734758647.5999999</v>
      </c>
      <c r="Q32" s="47">
        <f t="shared" si="13"/>
        <v>3.041799476565266E-3</v>
      </c>
      <c r="R32" s="54">
        <v>1813614552.52</v>
      </c>
      <c r="S32" s="47">
        <f t="shared" si="14"/>
        <v>3.0503976723394422E-3</v>
      </c>
      <c r="T32" s="48">
        <f t="shared" si="15"/>
        <v>4.5456412642240158E-2</v>
      </c>
      <c r="U32" s="84">
        <f t="shared" si="16"/>
        <v>1.5542225640411626E-3</v>
      </c>
      <c r="V32" s="49">
        <f t="shared" si="17"/>
        <v>5.2595548027258177E-3</v>
      </c>
      <c r="W32" s="50">
        <f t="shared" si="18"/>
        <v>99.999999973533505</v>
      </c>
      <c r="X32" s="50">
        <f t="shared" si="19"/>
        <v>0.52595548013337978</v>
      </c>
      <c r="Y32" s="44">
        <v>100</v>
      </c>
      <c r="Z32" s="44">
        <v>100</v>
      </c>
      <c r="AA32" s="189">
        <v>1283</v>
      </c>
      <c r="AB32" s="190">
        <v>18136145.530000001</v>
      </c>
      <c r="AC32" s="37"/>
      <c r="AD32" s="10"/>
      <c r="AE32" s="13"/>
      <c r="AF32" s="4"/>
      <c r="AG32" s="5"/>
      <c r="AH32" s="6"/>
      <c r="AI32" s="6"/>
      <c r="AJ32" s="6"/>
      <c r="AK32" s="7"/>
      <c r="AL32" s="5"/>
      <c r="AM32" s="6"/>
      <c r="AN32" s="6"/>
      <c r="AO32" s="6"/>
      <c r="AP32" s="7"/>
      <c r="AQ32" s="5"/>
      <c r="AR32" s="6"/>
      <c r="AS32" s="6"/>
      <c r="AT32" s="6"/>
      <c r="AU32" s="7"/>
    </row>
    <row r="33" spans="1:257" ht="16.5" customHeight="1">
      <c r="A33" s="217">
        <v>28</v>
      </c>
      <c r="B33" s="83" t="s">
        <v>45</v>
      </c>
      <c r="C33" s="83" t="s">
        <v>70</v>
      </c>
      <c r="D33" s="78"/>
      <c r="E33" s="78"/>
      <c r="F33" s="78">
        <v>8992683143.2199993</v>
      </c>
      <c r="G33" s="78"/>
      <c r="H33" s="78"/>
      <c r="I33" s="78"/>
      <c r="J33" s="78">
        <v>8992683143.2199993</v>
      </c>
      <c r="K33" s="78">
        <v>59888925.299999997</v>
      </c>
      <c r="L33" s="78">
        <v>13306215.189999999</v>
      </c>
      <c r="M33" s="193">
        <v>46582710.109999999</v>
      </c>
      <c r="N33" s="44">
        <v>9061231582.2900009</v>
      </c>
      <c r="O33" s="44">
        <v>165589428.83000001</v>
      </c>
      <c r="P33" s="54">
        <v>9632858731.6700001</v>
      </c>
      <c r="Q33" s="47">
        <f t="shared" si="13"/>
        <v>1.6890663544671503E-2</v>
      </c>
      <c r="R33" s="54">
        <v>8895642153.4599991</v>
      </c>
      <c r="S33" s="47">
        <f t="shared" si="14"/>
        <v>1.4961969775316834E-2</v>
      </c>
      <c r="T33" s="48">
        <f t="shared" si="15"/>
        <v>-7.6531442923194776E-2</v>
      </c>
      <c r="U33" s="84">
        <f t="shared" si="16"/>
        <v>1.4958127766891442E-3</v>
      </c>
      <c r="V33" s="49">
        <f t="shared" si="17"/>
        <v>5.236576438934366E-3</v>
      </c>
      <c r="W33" s="50">
        <f t="shared" si="18"/>
        <v>100.00215168927754</v>
      </c>
      <c r="X33" s="50">
        <f t="shared" si="19"/>
        <v>0.52366891137881133</v>
      </c>
      <c r="Y33" s="44">
        <v>100</v>
      </c>
      <c r="Z33" s="44">
        <v>100</v>
      </c>
      <c r="AA33" s="189">
        <v>5603</v>
      </c>
      <c r="AB33" s="190">
        <v>88954507.510000005</v>
      </c>
      <c r="AC33" s="25"/>
      <c r="AD33" s="12"/>
      <c r="AE33" s="4"/>
      <c r="AF33" s="4"/>
      <c r="AG33" s="5"/>
      <c r="AH33" s="6"/>
      <c r="AI33" s="6"/>
      <c r="AJ33" s="6"/>
      <c r="AK33" s="7"/>
      <c r="AL33" s="5"/>
      <c r="AM33" s="6"/>
      <c r="AN33" s="6"/>
      <c r="AO33" s="6"/>
      <c r="AP33" s="7"/>
      <c r="AQ33" s="5"/>
      <c r="AR33" s="6"/>
      <c r="AS33" s="6"/>
      <c r="AT33" s="6"/>
      <c r="AU33" s="7"/>
    </row>
    <row r="34" spans="1:257" ht="16.5" customHeight="1">
      <c r="A34" s="217">
        <v>29</v>
      </c>
      <c r="B34" s="83" t="s">
        <v>71</v>
      </c>
      <c r="C34" s="83" t="s">
        <v>170</v>
      </c>
      <c r="D34" s="78"/>
      <c r="E34" s="78"/>
      <c r="F34" s="78">
        <v>3829488395.04</v>
      </c>
      <c r="G34" s="78"/>
      <c r="H34" s="78"/>
      <c r="I34" s="78"/>
      <c r="J34" s="78">
        <v>11006134594.190001</v>
      </c>
      <c r="K34" s="78">
        <v>69210366.129999995</v>
      </c>
      <c r="L34" s="78">
        <v>15580105.42</v>
      </c>
      <c r="M34" s="193">
        <v>53630260.710000001</v>
      </c>
      <c r="N34" s="44">
        <v>11006134594.190001</v>
      </c>
      <c r="O34" s="44">
        <v>15580105.42</v>
      </c>
      <c r="P34" s="54">
        <v>10188293829.299999</v>
      </c>
      <c r="Q34" s="47">
        <f t="shared" si="13"/>
        <v>1.7864587030554872E-2</v>
      </c>
      <c r="R34" s="54">
        <v>10990554488.77</v>
      </c>
      <c r="S34" s="47">
        <f t="shared" si="14"/>
        <v>1.8485494496986901E-2</v>
      </c>
      <c r="T34" s="48">
        <f t="shared" si="15"/>
        <v>7.8743376752918176E-2</v>
      </c>
      <c r="U34" s="84">
        <f t="shared" si="16"/>
        <v>1.4175904806185658E-3</v>
      </c>
      <c r="V34" s="49">
        <f>M34/R34</f>
        <v>4.879668333822345E-3</v>
      </c>
      <c r="W34" s="50">
        <f t="shared" si="18"/>
        <v>99.999999997907295</v>
      </c>
      <c r="X34" s="50">
        <f t="shared" si="19"/>
        <v>0.48796683337202279</v>
      </c>
      <c r="Y34" s="44">
        <v>100</v>
      </c>
      <c r="Z34" s="44">
        <v>100</v>
      </c>
      <c r="AA34" s="189">
        <v>1756</v>
      </c>
      <c r="AB34" s="190">
        <v>109905544.89</v>
      </c>
      <c r="AC34" s="13"/>
      <c r="AD34" s="4"/>
      <c r="AE34" s="4"/>
      <c r="AF34" s="4"/>
      <c r="AG34" s="5"/>
      <c r="AH34" s="6"/>
      <c r="AI34" s="6"/>
      <c r="AJ34" s="6"/>
      <c r="AK34" s="7"/>
      <c r="AL34" s="5"/>
      <c r="AM34" s="6"/>
      <c r="AN34" s="6"/>
      <c r="AO34" s="6"/>
      <c r="AP34" s="7"/>
      <c r="AQ34" s="5"/>
      <c r="AR34" s="6"/>
      <c r="AS34" s="6"/>
      <c r="AT34" s="6"/>
      <c r="AU34" s="7"/>
    </row>
    <row r="35" spans="1:257" ht="16.5" customHeight="1">
      <c r="A35" s="217">
        <v>30</v>
      </c>
      <c r="B35" s="83" t="s">
        <v>71</v>
      </c>
      <c r="C35" s="83" t="s">
        <v>72</v>
      </c>
      <c r="D35" s="78"/>
      <c r="E35" s="78"/>
      <c r="F35" s="78">
        <v>139726656.11000001</v>
      </c>
      <c r="G35" s="78"/>
      <c r="H35" s="78"/>
      <c r="I35" s="78"/>
      <c r="J35" s="78">
        <v>409092848.87</v>
      </c>
      <c r="K35" s="78">
        <v>2389152.14</v>
      </c>
      <c r="L35" s="78">
        <v>331196.52</v>
      </c>
      <c r="M35" s="193">
        <v>2057955.62</v>
      </c>
      <c r="N35" s="44">
        <v>409092848.87</v>
      </c>
      <c r="O35" s="44">
        <v>331196.52</v>
      </c>
      <c r="P35" s="54">
        <v>381373291.38</v>
      </c>
      <c r="Q35" s="47">
        <f t="shared" si="13"/>
        <v>6.687161235371707E-4</v>
      </c>
      <c r="R35" s="54">
        <v>408761652.35000002</v>
      </c>
      <c r="S35" s="47">
        <f t="shared" si="14"/>
        <v>6.8751410884828246E-4</v>
      </c>
      <c r="T35" s="48">
        <f t="shared" si="15"/>
        <v>7.1815099769821825E-2</v>
      </c>
      <c r="U35" s="84">
        <f t="shared" si="16"/>
        <v>8.1024361775603826E-4</v>
      </c>
      <c r="V35" s="49">
        <f>M35/R35</f>
        <v>5.0346102873610231E-3</v>
      </c>
      <c r="W35" s="50">
        <f t="shared" si="18"/>
        <v>999417.24290953553</v>
      </c>
      <c r="X35" s="50">
        <f>M35/AB35</f>
        <v>5031.6763325183374</v>
      </c>
      <c r="Y35" s="44">
        <v>1000000</v>
      </c>
      <c r="Z35" s="44">
        <v>1000000</v>
      </c>
      <c r="AA35" s="189">
        <v>5</v>
      </c>
      <c r="AB35" s="245">
        <v>409</v>
      </c>
      <c r="AC35" s="13"/>
      <c r="AD35" s="4"/>
      <c r="AE35" s="4"/>
      <c r="AF35" s="4"/>
      <c r="AG35" s="5"/>
      <c r="AH35" s="6"/>
      <c r="AI35" s="6"/>
      <c r="AJ35" s="6"/>
      <c r="AK35" s="7"/>
      <c r="AL35" s="5"/>
      <c r="AM35" s="6"/>
      <c r="AN35" s="6"/>
      <c r="AO35" s="6"/>
      <c r="AP35" s="7"/>
      <c r="AQ35" s="5"/>
      <c r="AR35" s="6"/>
      <c r="AS35" s="6"/>
      <c r="AT35" s="6"/>
      <c r="AU35" s="7"/>
    </row>
    <row r="36" spans="1:257" ht="16.5" customHeight="1">
      <c r="A36" s="217">
        <v>31</v>
      </c>
      <c r="B36" s="83" t="s">
        <v>73</v>
      </c>
      <c r="C36" s="83" t="s">
        <v>74</v>
      </c>
      <c r="D36" s="78"/>
      <c r="E36" s="78"/>
      <c r="F36" s="78">
        <v>2034940926.8199999</v>
      </c>
      <c r="G36" s="78"/>
      <c r="H36" s="78"/>
      <c r="I36" s="78"/>
      <c r="J36" s="78">
        <v>2034940926.8199999</v>
      </c>
      <c r="K36" s="78">
        <v>37030758.670000002</v>
      </c>
      <c r="L36" s="78">
        <v>6118219.3300000001</v>
      </c>
      <c r="M36" s="193">
        <v>30912539.329999998</v>
      </c>
      <c r="N36" s="44">
        <v>4818022393.21</v>
      </c>
      <c r="O36" s="44">
        <v>23742832.399999999</v>
      </c>
      <c r="P36" s="54">
        <v>5668618915.5299997</v>
      </c>
      <c r="Q36" s="47">
        <f t="shared" si="13"/>
        <v>9.9395971156922332E-3</v>
      </c>
      <c r="R36" s="54">
        <v>4794279560.8100004</v>
      </c>
      <c r="S36" s="47">
        <f t="shared" si="14"/>
        <v>8.0637085716580969E-3</v>
      </c>
      <c r="T36" s="48">
        <f t="shared" si="15"/>
        <v>-0.15424204162404009</v>
      </c>
      <c r="U36" s="84">
        <f t="shared" si="16"/>
        <v>1.2761498891329394E-3</v>
      </c>
      <c r="V36" s="49">
        <f t="shared" si="17"/>
        <v>6.4477965746280513E-3</v>
      </c>
      <c r="W36" s="50">
        <f t="shared" si="18"/>
        <v>1.0137604066352046</v>
      </c>
      <c r="X36" s="50">
        <f t="shared" si="19"/>
        <v>6.5365208773960123E-3</v>
      </c>
      <c r="Y36" s="44">
        <v>1</v>
      </c>
      <c r="Z36" s="44">
        <v>1</v>
      </c>
      <c r="AA36" s="189">
        <v>1477</v>
      </c>
      <c r="AB36" s="190">
        <v>4729203793.5500002</v>
      </c>
      <c r="AC36" s="13"/>
      <c r="AD36" s="4"/>
      <c r="AE36" s="4"/>
      <c r="AF36" s="4"/>
      <c r="AG36" s="5"/>
      <c r="AH36" s="6"/>
      <c r="AI36" s="6"/>
      <c r="AJ36" s="6"/>
      <c r="AK36" s="7"/>
      <c r="AL36" s="5"/>
      <c r="AM36" s="6"/>
      <c r="AN36" s="6"/>
      <c r="AO36" s="6"/>
      <c r="AP36" s="7"/>
      <c r="AQ36" s="5"/>
      <c r="AR36" s="6"/>
      <c r="AS36" s="6"/>
      <c r="AT36" s="6"/>
      <c r="AU36" s="7"/>
    </row>
    <row r="37" spans="1:257" ht="16.5" customHeight="1">
      <c r="A37" s="217">
        <v>32</v>
      </c>
      <c r="B37" s="83" t="s">
        <v>75</v>
      </c>
      <c r="C37" s="83" t="s">
        <v>76</v>
      </c>
      <c r="D37" s="78"/>
      <c r="E37" s="78"/>
      <c r="F37" s="78">
        <v>14181516901.99</v>
      </c>
      <c r="G37" s="78"/>
      <c r="H37" s="78"/>
      <c r="I37" s="78"/>
      <c r="J37" s="78">
        <v>14181516901.99</v>
      </c>
      <c r="K37" s="78">
        <v>72087807.189999998</v>
      </c>
      <c r="L37" s="78">
        <v>14248734.060000001</v>
      </c>
      <c r="M37" s="193">
        <v>57839073.130000003</v>
      </c>
      <c r="N37" s="44">
        <v>14428550592.34</v>
      </c>
      <c r="O37" s="44">
        <v>26870542.469999999</v>
      </c>
      <c r="P37" s="54">
        <v>12251172963.450001</v>
      </c>
      <c r="Q37" s="47">
        <f t="shared" si="13"/>
        <v>2.1481726901369767E-2</v>
      </c>
      <c r="R37" s="54">
        <v>14401680049.870001</v>
      </c>
      <c r="S37" s="47">
        <f t="shared" si="14"/>
        <v>2.4222815835293853E-2</v>
      </c>
      <c r="T37" s="48">
        <f t="shared" si="15"/>
        <v>0.17553479106333708</v>
      </c>
      <c r="U37" s="84">
        <f t="shared" si="16"/>
        <v>9.8937998974144817E-4</v>
      </c>
      <c r="V37" s="49">
        <f t="shared" si="17"/>
        <v>4.01613373784971E-3</v>
      </c>
      <c r="W37" s="50">
        <f t="shared" si="18"/>
        <v>1.0106518595221747</v>
      </c>
      <c r="X37" s="50">
        <f t="shared" si="19"/>
        <v>4.0589130302475509E-3</v>
      </c>
      <c r="Y37" s="44">
        <v>1</v>
      </c>
      <c r="Z37" s="44">
        <v>1</v>
      </c>
      <c r="AA37" s="189">
        <v>2517</v>
      </c>
      <c r="AB37" s="190">
        <v>14249892199.950001</v>
      </c>
      <c r="AC37" s="39"/>
      <c r="AD37" s="16"/>
      <c r="AE37" s="16"/>
      <c r="AF37" s="16"/>
      <c r="AG37" s="5"/>
      <c r="AH37" s="6"/>
      <c r="AI37" s="6"/>
      <c r="AJ37" s="6"/>
      <c r="AK37" s="7"/>
      <c r="AL37" s="5"/>
      <c r="AM37" s="6"/>
      <c r="AN37" s="6"/>
      <c r="AO37" s="6"/>
      <c r="AP37" s="7"/>
      <c r="AQ37" s="5"/>
      <c r="AR37" s="6"/>
      <c r="AS37" s="6"/>
      <c r="AT37" s="6"/>
      <c r="AU37" s="7"/>
    </row>
    <row r="38" spans="1:257" ht="16.5" customHeight="1">
      <c r="A38" s="217">
        <v>33</v>
      </c>
      <c r="B38" s="83" t="s">
        <v>32</v>
      </c>
      <c r="C38" s="83" t="s">
        <v>77</v>
      </c>
      <c r="D38" s="78"/>
      <c r="E38" s="78"/>
      <c r="F38" s="78">
        <v>558180237.74000001</v>
      </c>
      <c r="G38" s="78"/>
      <c r="H38" s="78"/>
      <c r="I38" s="78"/>
      <c r="J38" s="78">
        <v>558180237.74000001</v>
      </c>
      <c r="K38" s="78">
        <v>3429877.17</v>
      </c>
      <c r="L38" s="78">
        <v>1115548.73</v>
      </c>
      <c r="M38" s="193">
        <v>2314328.44</v>
      </c>
      <c r="N38" s="44">
        <v>579103076.21000004</v>
      </c>
      <c r="O38" s="44">
        <v>13110039.140000001</v>
      </c>
      <c r="P38" s="54">
        <v>533837660.97000003</v>
      </c>
      <c r="Q38" s="47">
        <f t="shared" si="13"/>
        <v>9.3605362334172584E-4</v>
      </c>
      <c r="R38" s="54">
        <v>565993037.07000005</v>
      </c>
      <c r="S38" s="47">
        <f t="shared" si="14"/>
        <v>9.5196845461991873E-4</v>
      </c>
      <c r="T38" s="48">
        <f t="shared" si="15"/>
        <v>6.0234371703136648E-2</v>
      </c>
      <c r="U38" s="84">
        <f t="shared" si="16"/>
        <v>1.9709583986667186E-3</v>
      </c>
      <c r="V38" s="49">
        <f t="shared" si="17"/>
        <v>4.0889698077924801E-3</v>
      </c>
      <c r="W38" s="50">
        <f t="shared" si="18"/>
        <v>102.33299259342296</v>
      </c>
      <c r="X38" s="50">
        <f t="shared" si="19"/>
        <v>0.4184365170555579</v>
      </c>
      <c r="Y38" s="44">
        <v>100</v>
      </c>
      <c r="Z38" s="44">
        <v>100</v>
      </c>
      <c r="AA38" s="189">
        <v>573</v>
      </c>
      <c r="AB38" s="190">
        <v>5530895</v>
      </c>
      <c r="AC38" s="13"/>
      <c r="AD38" s="4"/>
      <c r="AE38" s="4"/>
      <c r="AF38" s="4"/>
      <c r="AG38" s="5"/>
      <c r="AH38" s="6"/>
      <c r="AI38" s="6"/>
      <c r="AJ38" s="6"/>
      <c r="AK38" s="7"/>
      <c r="AL38" s="5"/>
      <c r="AM38" s="6"/>
      <c r="AN38" s="6"/>
      <c r="AO38" s="6"/>
      <c r="AP38" s="7"/>
      <c r="AQ38" s="5"/>
      <c r="AR38" s="6"/>
      <c r="AS38" s="6"/>
      <c r="AT38" s="6"/>
      <c r="AU38" s="7"/>
    </row>
    <row r="39" spans="1:257" ht="16.5" customHeight="1">
      <c r="A39" s="217">
        <v>34</v>
      </c>
      <c r="B39" s="83" t="s">
        <v>26</v>
      </c>
      <c r="C39" s="116" t="s">
        <v>78</v>
      </c>
      <c r="D39" s="78"/>
      <c r="E39" s="78"/>
      <c r="F39" s="78">
        <v>4553890790.6899996</v>
      </c>
      <c r="G39" s="78"/>
      <c r="H39" s="78"/>
      <c r="I39" s="78"/>
      <c r="J39" s="78">
        <v>4621334662.1000004</v>
      </c>
      <c r="K39" s="195">
        <v>29879596.23</v>
      </c>
      <c r="L39" s="78">
        <v>4803936.18</v>
      </c>
      <c r="M39" s="193">
        <v>25075660.050000001</v>
      </c>
      <c r="N39" s="44">
        <v>4621334662.1000004</v>
      </c>
      <c r="O39" s="44">
        <v>10003982.810000001</v>
      </c>
      <c r="P39" s="54">
        <v>4377844160.6199999</v>
      </c>
      <c r="Q39" s="47">
        <f t="shared" si="13"/>
        <v>7.6762978496641814E-3</v>
      </c>
      <c r="R39" s="54">
        <v>4611330679.1999998</v>
      </c>
      <c r="S39" s="47">
        <f t="shared" si="14"/>
        <v>7.7559988425732586E-3</v>
      </c>
      <c r="T39" s="48">
        <f t="shared" si="15"/>
        <v>5.3333675209428437E-2</v>
      </c>
      <c r="U39" s="84">
        <f t="shared" si="16"/>
        <v>1.0417678787749427E-3</v>
      </c>
      <c r="V39" s="49">
        <f t="shared" si="17"/>
        <v>5.4378360162082914E-3</v>
      </c>
      <c r="W39" s="50">
        <f t="shared" si="18"/>
        <v>0.22416594282617283</v>
      </c>
      <c r="X39" s="50">
        <f t="shared" si="19"/>
        <v>1.2189776375074511E-3</v>
      </c>
      <c r="Y39" s="44">
        <v>0.99</v>
      </c>
      <c r="Z39" s="44">
        <v>0.99</v>
      </c>
      <c r="AA39" s="198">
        <v>815</v>
      </c>
      <c r="AB39" s="197">
        <v>20571058302</v>
      </c>
      <c r="AC39" s="13"/>
      <c r="AD39" s="4"/>
      <c r="AE39" s="4"/>
      <c r="AF39" s="4"/>
      <c r="AG39" s="5"/>
      <c r="AH39" s="6"/>
      <c r="AI39" s="6"/>
      <c r="AJ39" s="6"/>
      <c r="AK39" s="7"/>
      <c r="AL39" s="5"/>
      <c r="AM39" s="6"/>
      <c r="AN39" s="6"/>
      <c r="AO39" s="6"/>
      <c r="AP39" s="7"/>
      <c r="AQ39" s="5"/>
      <c r="AR39" s="6"/>
      <c r="AS39" s="6"/>
      <c r="AT39" s="6"/>
      <c r="AU39" s="7"/>
    </row>
    <row r="40" spans="1:257" ht="16.5" customHeight="1">
      <c r="A40" s="217">
        <v>35</v>
      </c>
      <c r="B40" s="83" t="s">
        <v>79</v>
      </c>
      <c r="C40" s="83" t="s">
        <v>80</v>
      </c>
      <c r="D40" s="78"/>
      <c r="E40" s="78"/>
      <c r="F40" s="78">
        <v>241817742.46000001</v>
      </c>
      <c r="G40" s="78"/>
      <c r="H40" s="78"/>
      <c r="I40" s="78">
        <v>14173202.09</v>
      </c>
      <c r="J40" s="78">
        <v>630507052.98000002</v>
      </c>
      <c r="K40" s="78">
        <v>4461551.63</v>
      </c>
      <c r="L40" s="78">
        <v>1224476.42</v>
      </c>
      <c r="M40" s="193">
        <v>3237075.21</v>
      </c>
      <c r="N40" s="44">
        <v>636559662.77999997</v>
      </c>
      <c r="O40" s="44">
        <v>11072740.18</v>
      </c>
      <c r="P40" s="54">
        <v>678279640.26999998</v>
      </c>
      <c r="Q40" s="47">
        <f t="shared" si="13"/>
        <v>1.1893243233533043E-3</v>
      </c>
      <c r="R40" s="54">
        <v>625486922.60000002</v>
      </c>
      <c r="S40" s="47">
        <f t="shared" si="14"/>
        <v>1.052033823905237E-3</v>
      </c>
      <c r="T40" s="48">
        <f t="shared" si="15"/>
        <v>-7.7833263060918326E-2</v>
      </c>
      <c r="U40" s="84">
        <f t="shared" si="16"/>
        <v>1.9576371235870823E-3</v>
      </c>
      <c r="V40" s="49">
        <f t="shared" si="17"/>
        <v>5.1752883921925182E-3</v>
      </c>
      <c r="W40" s="50">
        <f t="shared" si="18"/>
        <v>10.000382158484765</v>
      </c>
      <c r="X40" s="50">
        <f t="shared" si="19"/>
        <v>5.1754861702295367E-2</v>
      </c>
      <c r="Y40" s="44">
        <v>10</v>
      </c>
      <c r="Z40" s="44">
        <v>10</v>
      </c>
      <c r="AA40" s="189">
        <v>272</v>
      </c>
      <c r="AB40" s="190">
        <v>62546302</v>
      </c>
      <c r="AC40" s="13"/>
      <c r="AD40" s="4"/>
      <c r="AE40" s="4"/>
      <c r="AF40" s="4"/>
      <c r="AG40" s="5"/>
      <c r="AH40" s="6"/>
      <c r="AI40" s="6"/>
      <c r="AJ40" s="6"/>
      <c r="AK40" s="7"/>
      <c r="AL40" s="5"/>
      <c r="AM40" s="6"/>
      <c r="AN40" s="6"/>
      <c r="AO40" s="6"/>
      <c r="AP40" s="7"/>
      <c r="AQ40" s="5"/>
      <c r="AR40" s="6"/>
      <c r="AS40" s="6"/>
      <c r="AT40" s="6"/>
      <c r="AU40" s="7"/>
    </row>
    <row r="41" spans="1:257" ht="16.5" customHeight="1">
      <c r="A41" s="217">
        <v>36</v>
      </c>
      <c r="B41" s="83" t="s">
        <v>81</v>
      </c>
      <c r="C41" s="83" t="s">
        <v>82</v>
      </c>
      <c r="D41" s="78"/>
      <c r="E41" s="78"/>
      <c r="F41" s="78">
        <v>500022720.19999999</v>
      </c>
      <c r="G41" s="78"/>
      <c r="H41" s="78"/>
      <c r="I41" s="78">
        <v>31828480.710000001</v>
      </c>
      <c r="J41" s="78">
        <v>531851200.91000003</v>
      </c>
      <c r="K41" s="78">
        <v>4569484.62</v>
      </c>
      <c r="L41" s="78">
        <v>994617.05</v>
      </c>
      <c r="M41" s="193">
        <v>3574867.58</v>
      </c>
      <c r="N41" s="44">
        <v>637472154.21000004</v>
      </c>
      <c r="O41" s="44">
        <v>2720419.66</v>
      </c>
      <c r="P41" s="54">
        <v>735082751.09000003</v>
      </c>
      <c r="Q41" s="47">
        <f t="shared" si="13"/>
        <v>1.2889253099220106E-3</v>
      </c>
      <c r="R41" s="54">
        <v>634481734.53999996</v>
      </c>
      <c r="S41" s="47">
        <f t="shared" si="14"/>
        <v>1.0671625916838052E-3</v>
      </c>
      <c r="T41" s="48">
        <f t="shared" si="15"/>
        <v>-0.13685672313875716</v>
      </c>
      <c r="U41" s="84">
        <f t="shared" si="16"/>
        <v>1.5676054894174355E-3</v>
      </c>
      <c r="V41" s="49">
        <f t="shared" si="17"/>
        <v>5.6343112581354032E-3</v>
      </c>
      <c r="W41" s="50">
        <f t="shared" si="18"/>
        <v>1.0117492382420714</v>
      </c>
      <c r="X41" s="50">
        <f t="shared" si="19"/>
        <v>5.700510123437222E-3</v>
      </c>
      <c r="Y41" s="44">
        <v>1</v>
      </c>
      <c r="Z41" s="44">
        <v>1</v>
      </c>
      <c r="AA41" s="189">
        <v>141</v>
      </c>
      <c r="AB41" s="190">
        <v>627113627.13</v>
      </c>
      <c r="AC41" s="13"/>
      <c r="AD41" s="4"/>
      <c r="AE41" s="4"/>
      <c r="AF41" s="4"/>
      <c r="AG41" s="5"/>
      <c r="AH41" s="6"/>
      <c r="AI41" s="6"/>
      <c r="AJ41" s="6"/>
      <c r="AK41" s="7"/>
      <c r="AL41" s="5"/>
      <c r="AM41" s="6"/>
      <c r="AN41" s="6"/>
      <c r="AO41" s="6"/>
      <c r="AP41" s="7"/>
      <c r="AQ41" s="5"/>
      <c r="AR41" s="6"/>
      <c r="AS41" s="6"/>
      <c r="AT41" s="6"/>
      <c r="AU41" s="7"/>
    </row>
    <row r="42" spans="1:257" ht="16.5" customHeight="1">
      <c r="A42" s="217">
        <v>37</v>
      </c>
      <c r="B42" s="83" t="s">
        <v>83</v>
      </c>
      <c r="C42" s="83" t="s">
        <v>152</v>
      </c>
      <c r="D42" s="78"/>
      <c r="E42" s="78"/>
      <c r="F42" s="78">
        <v>5783053280.1499996</v>
      </c>
      <c r="G42" s="78"/>
      <c r="H42" s="78"/>
      <c r="I42" s="78"/>
      <c r="J42" s="78">
        <v>5783053280.1499996</v>
      </c>
      <c r="K42" s="78">
        <v>39158431.210000001</v>
      </c>
      <c r="L42" s="78">
        <v>9836929.7200000007</v>
      </c>
      <c r="M42" s="193">
        <v>38236002.350000001</v>
      </c>
      <c r="N42" s="44">
        <v>5793474559.8400002</v>
      </c>
      <c r="O42" s="44">
        <v>126174692.84</v>
      </c>
      <c r="P42" s="54">
        <v>5533554536.0200005</v>
      </c>
      <c r="Q42" s="47">
        <f t="shared" si="13"/>
        <v>9.702769497357825E-3</v>
      </c>
      <c r="R42" s="54">
        <v>5667299867</v>
      </c>
      <c r="S42" s="47">
        <f t="shared" si="14"/>
        <v>9.5320796244855836E-3</v>
      </c>
      <c r="T42" s="48">
        <f>((R42-P42)/P42)</f>
        <v>2.4169876723794909E-2</v>
      </c>
      <c r="U42" s="84">
        <f t="shared" si="16"/>
        <v>1.7357348209646095E-3</v>
      </c>
      <c r="V42" s="49">
        <f>M42/R42</f>
        <v>6.7467759333935387E-3</v>
      </c>
      <c r="W42" s="50">
        <f t="shared" si="18"/>
        <v>100</v>
      </c>
      <c r="X42" s="50">
        <f t="shared" si="19"/>
        <v>0.67467759333935384</v>
      </c>
      <c r="Y42" s="44">
        <v>100</v>
      </c>
      <c r="Z42" s="44">
        <v>100</v>
      </c>
      <c r="AA42" s="189">
        <v>1156</v>
      </c>
      <c r="AB42" s="190">
        <v>56672998.670000002</v>
      </c>
      <c r="AC42" s="3"/>
      <c r="AD42" s="9"/>
      <c r="AE42" s="9"/>
      <c r="AF42" s="9"/>
      <c r="AG42" s="5"/>
      <c r="AH42" s="6"/>
      <c r="AI42" s="6"/>
      <c r="AJ42" s="6"/>
      <c r="AK42" s="7"/>
      <c r="AL42" s="5"/>
      <c r="AM42" s="6"/>
      <c r="AN42" s="6"/>
      <c r="AO42" s="6"/>
      <c r="AP42" s="7"/>
      <c r="AQ42" s="5"/>
      <c r="AR42" s="6"/>
      <c r="AS42" s="6"/>
      <c r="AT42" s="6"/>
      <c r="AU42" s="7"/>
    </row>
    <row r="43" spans="1:257" ht="16.5" customHeight="1">
      <c r="A43" s="217">
        <v>38</v>
      </c>
      <c r="B43" s="83" t="s">
        <v>174</v>
      </c>
      <c r="C43" s="83" t="s">
        <v>84</v>
      </c>
      <c r="D43" s="78"/>
      <c r="E43" s="78"/>
      <c r="F43" s="78">
        <v>192141561.41999999</v>
      </c>
      <c r="G43" s="78"/>
      <c r="H43" s="78"/>
      <c r="I43" s="78"/>
      <c r="J43" s="78">
        <v>192141561.41999999</v>
      </c>
      <c r="K43" s="78">
        <v>2449039.92</v>
      </c>
      <c r="L43" s="78">
        <v>464720.09</v>
      </c>
      <c r="M43" s="193">
        <v>1984319.83</v>
      </c>
      <c r="N43" s="44">
        <v>374806188.31999999</v>
      </c>
      <c r="O43" s="44">
        <v>3840165.4</v>
      </c>
      <c r="P43" s="54">
        <v>350668110.54000002</v>
      </c>
      <c r="Q43" s="47">
        <f t="shared" si="13"/>
        <v>6.1487635560393734E-4</v>
      </c>
      <c r="R43" s="54">
        <v>370966022.87</v>
      </c>
      <c r="S43" s="47">
        <f t="shared" si="14"/>
        <v>6.2394398584160536E-4</v>
      </c>
      <c r="T43" s="48">
        <f t="shared" si="15"/>
        <v>5.7883542072710487E-2</v>
      </c>
      <c r="U43" s="84">
        <f t="shared" si="16"/>
        <v>1.2527295260214568E-3</v>
      </c>
      <c r="V43" s="49">
        <f t="shared" si="17"/>
        <v>5.3490608510401985E-3</v>
      </c>
      <c r="W43" s="50">
        <f t="shared" si="18"/>
        <v>0.99607559907929266</v>
      </c>
      <c r="X43" s="50">
        <f t="shared" si="19"/>
        <v>5.3280689917114569E-3</v>
      </c>
      <c r="Y43" s="44">
        <v>1</v>
      </c>
      <c r="Z43" s="44">
        <v>1</v>
      </c>
      <c r="AA43" s="189">
        <f>SUM(422,17,9)</f>
        <v>448</v>
      </c>
      <c r="AB43" s="190">
        <v>372427578</v>
      </c>
      <c r="AC43" s="10"/>
      <c r="AD43" s="10"/>
      <c r="AE43" s="10"/>
      <c r="AF43" s="11"/>
      <c r="AG43" s="5"/>
      <c r="AH43" s="6"/>
      <c r="AI43" s="6"/>
      <c r="AJ43" s="6"/>
      <c r="AK43" s="7"/>
      <c r="AL43" s="5"/>
      <c r="AM43" s="6"/>
      <c r="AN43" s="6"/>
      <c r="AO43" s="6"/>
      <c r="AP43" s="7"/>
      <c r="AQ43" s="5"/>
      <c r="AR43" s="6"/>
      <c r="AS43" s="6"/>
      <c r="AT43" s="6"/>
      <c r="AU43" s="7"/>
    </row>
    <row r="44" spans="1:257" ht="16.5" customHeight="1">
      <c r="A44" s="217">
        <v>39</v>
      </c>
      <c r="B44" s="83" t="s">
        <v>51</v>
      </c>
      <c r="C44" s="83" t="s">
        <v>85</v>
      </c>
      <c r="D44" s="78"/>
      <c r="E44" s="78"/>
      <c r="F44" s="78">
        <v>264431126.36000001</v>
      </c>
      <c r="G44" s="78"/>
      <c r="H44" s="78"/>
      <c r="I44" s="78"/>
      <c r="J44" s="78">
        <v>264431126.36000001</v>
      </c>
      <c r="K44" s="78">
        <v>1895435.31</v>
      </c>
      <c r="L44" s="78">
        <v>383535.46</v>
      </c>
      <c r="M44" s="193">
        <v>1511899.85</v>
      </c>
      <c r="N44" s="44">
        <v>267920003.94999999</v>
      </c>
      <c r="O44" s="44">
        <v>383535.46</v>
      </c>
      <c r="P44" s="54">
        <v>262160373.03</v>
      </c>
      <c r="Q44" s="47">
        <f t="shared" si="13"/>
        <v>4.5968313030867348E-4</v>
      </c>
      <c r="R44" s="54">
        <v>267536468.49000001</v>
      </c>
      <c r="S44" s="47">
        <f t="shared" si="14"/>
        <v>4.4998129266985522E-4</v>
      </c>
      <c r="T44" s="48">
        <f t="shared" si="15"/>
        <v>2.0506895828168514E-2</v>
      </c>
      <c r="U44" s="84">
        <f>(L44/R44)</f>
        <v>1.4335819791773017E-3</v>
      </c>
      <c r="V44" s="49">
        <f t="shared" si="17"/>
        <v>5.6511916245785086E-3</v>
      </c>
      <c r="W44" s="50">
        <f t="shared" si="18"/>
        <v>101.48352924362513</v>
      </c>
      <c r="X44" s="50">
        <f t="shared" si="19"/>
        <v>0.57350287049424253</v>
      </c>
      <c r="Y44" s="44">
        <v>100</v>
      </c>
      <c r="Z44" s="44">
        <v>100</v>
      </c>
      <c r="AA44" s="189">
        <v>706</v>
      </c>
      <c r="AB44" s="190">
        <v>2636255.0699999998</v>
      </c>
      <c r="AC44" s="40"/>
      <c r="AD44" s="15"/>
      <c r="AE44" s="15"/>
      <c r="AF44" s="15"/>
      <c r="AG44" s="5"/>
      <c r="AH44" s="6"/>
      <c r="AI44" s="6"/>
      <c r="AJ44" s="6"/>
      <c r="AK44" s="7"/>
      <c r="AL44" s="5"/>
      <c r="AM44" s="6"/>
      <c r="AN44" s="6"/>
      <c r="AO44" s="6"/>
      <c r="AP44" s="7"/>
      <c r="AQ44" s="5"/>
      <c r="AR44" s="6"/>
      <c r="AS44" s="6"/>
      <c r="AT44" s="6"/>
      <c r="AU44" s="7"/>
    </row>
    <row r="45" spans="1:257" ht="16.5" customHeight="1">
      <c r="A45" s="217">
        <v>40</v>
      </c>
      <c r="B45" s="83" t="s">
        <v>86</v>
      </c>
      <c r="C45" s="83" t="s">
        <v>87</v>
      </c>
      <c r="D45" s="78"/>
      <c r="E45" s="78"/>
      <c r="F45" s="78">
        <v>108679405.23999999</v>
      </c>
      <c r="G45" s="78"/>
      <c r="H45" s="78"/>
      <c r="I45" s="78"/>
      <c r="J45" s="78">
        <v>108679405.23999999</v>
      </c>
      <c r="K45" s="78">
        <v>541841.73</v>
      </c>
      <c r="L45" s="78">
        <v>130962.14</v>
      </c>
      <c r="M45" s="193">
        <v>410879.49</v>
      </c>
      <c r="N45" s="44">
        <v>112726184.86</v>
      </c>
      <c r="O45" s="44">
        <v>113174597.29000001</v>
      </c>
      <c r="P45" s="54">
        <v>109201722.91</v>
      </c>
      <c r="Q45" s="47">
        <f t="shared" si="13"/>
        <v>1.9147893803395227E-4</v>
      </c>
      <c r="R45" s="54">
        <v>110036399.31</v>
      </c>
      <c r="S45" s="47">
        <f t="shared" si="14"/>
        <v>1.8507503474839696E-4</v>
      </c>
      <c r="T45" s="48">
        <f>((R45-P45)/P45)</f>
        <v>7.6434361817525097E-3</v>
      </c>
      <c r="U45" s="131">
        <f>(L45/R45)</f>
        <v>1.1901710781270383E-3</v>
      </c>
      <c r="V45" s="49">
        <f t="shared" si="17"/>
        <v>3.7340324890352866E-3</v>
      </c>
      <c r="W45" s="50">
        <f t="shared" si="18"/>
        <v>0.96887103674259789</v>
      </c>
      <c r="X45" s="50">
        <f t="shared" si="19"/>
        <v>3.6177959288821613E-3</v>
      </c>
      <c r="Y45" s="44">
        <v>1</v>
      </c>
      <c r="Z45" s="44">
        <v>1</v>
      </c>
      <c r="AA45" s="189">
        <v>38</v>
      </c>
      <c r="AB45" s="190">
        <v>113571770.79000001</v>
      </c>
      <c r="AC45" s="39"/>
      <c r="AD45" s="16"/>
      <c r="AE45" s="16"/>
      <c r="AF45" s="16"/>
      <c r="AG45" s="5"/>
      <c r="AH45" s="6"/>
      <c r="AI45" s="6"/>
      <c r="AJ45" s="6"/>
      <c r="AK45" s="7"/>
      <c r="AL45" s="5"/>
      <c r="AM45" s="6"/>
      <c r="AN45" s="6"/>
      <c r="AO45" s="6"/>
      <c r="AP45" s="7"/>
      <c r="AQ45" s="5"/>
      <c r="AR45" s="6"/>
      <c r="AS45" s="6"/>
      <c r="AT45" s="6"/>
      <c r="AU45" s="7"/>
    </row>
    <row r="46" spans="1:257" ht="16.5" customHeight="1">
      <c r="A46" s="217">
        <v>41</v>
      </c>
      <c r="B46" s="83" t="s">
        <v>88</v>
      </c>
      <c r="C46" s="86" t="s">
        <v>89</v>
      </c>
      <c r="D46" s="78"/>
      <c r="E46" s="78"/>
      <c r="F46" s="78">
        <v>563995733.01999998</v>
      </c>
      <c r="G46" s="78"/>
      <c r="H46" s="78"/>
      <c r="I46" s="78"/>
      <c r="J46" s="78">
        <v>835182900.72000003</v>
      </c>
      <c r="K46" s="78">
        <v>7397547.4500000002</v>
      </c>
      <c r="L46" s="78">
        <v>1481755.73</v>
      </c>
      <c r="M46" s="193">
        <v>5915791.7199999997</v>
      </c>
      <c r="N46" s="44">
        <v>1377239870.23</v>
      </c>
      <c r="O46" s="44">
        <v>6309353.75</v>
      </c>
      <c r="P46" s="54">
        <v>1291994724.76</v>
      </c>
      <c r="Q46" s="47">
        <f t="shared" si="13"/>
        <v>2.2654384129671902E-3</v>
      </c>
      <c r="R46" s="54">
        <v>1370930516.47</v>
      </c>
      <c r="S46" s="47">
        <f t="shared" si="14"/>
        <v>2.3058280220394742E-3</v>
      </c>
      <c r="T46" s="48">
        <f t="shared" si="15"/>
        <v>6.1096063472444201E-2</v>
      </c>
      <c r="U46" s="84">
        <f t="shared" si="16"/>
        <v>1.0808394095824514E-3</v>
      </c>
      <c r="V46" s="49">
        <f t="shared" si="17"/>
        <v>4.3151652464725439E-3</v>
      </c>
      <c r="W46" s="50">
        <f t="shared" si="18"/>
        <v>1.0234931248609331</v>
      </c>
      <c r="X46" s="50">
        <f t="shared" si="19"/>
        <v>4.416541962403482E-3</v>
      </c>
      <c r="Y46" s="44">
        <v>1</v>
      </c>
      <c r="Z46" s="44">
        <v>1.02</v>
      </c>
      <c r="AA46" s="189">
        <v>32</v>
      </c>
      <c r="AB46" s="190">
        <v>1339462360</v>
      </c>
      <c r="AC46" s="39"/>
      <c r="AD46" s="16"/>
      <c r="AE46" s="16"/>
      <c r="AF46" s="16"/>
      <c r="AG46" s="5"/>
      <c r="AH46" s="6"/>
      <c r="AI46" s="6"/>
      <c r="AJ46" s="6"/>
      <c r="AK46" s="7"/>
      <c r="AL46" s="5"/>
      <c r="AM46" s="6"/>
      <c r="AN46" s="6"/>
      <c r="AO46" s="6"/>
      <c r="AP46" s="7"/>
      <c r="AQ46" s="5"/>
      <c r="AR46" s="6"/>
      <c r="AS46" s="6"/>
      <c r="AT46" s="6"/>
      <c r="AU46" s="7"/>
    </row>
    <row r="47" spans="1:257" ht="16.5" customHeight="1">
      <c r="A47" s="217">
        <v>42</v>
      </c>
      <c r="B47" s="82" t="s">
        <v>90</v>
      </c>
      <c r="C47" s="83" t="s">
        <v>91</v>
      </c>
      <c r="D47" s="78"/>
      <c r="E47" s="78"/>
      <c r="F47" s="78">
        <v>112990050.84999999</v>
      </c>
      <c r="G47" s="78"/>
      <c r="H47" s="78"/>
      <c r="I47" s="78"/>
      <c r="J47" s="78">
        <f>31030915.09+112990050.85+8211412.6</f>
        <v>152232378.53999999</v>
      </c>
      <c r="K47" s="78">
        <v>189556.49</v>
      </c>
      <c r="L47" s="78">
        <v>54492.01</v>
      </c>
      <c r="M47" s="193">
        <v>135064.48000000001</v>
      </c>
      <c r="N47" s="44">
        <v>160840523.56999999</v>
      </c>
      <c r="O47" s="44">
        <v>3735532.19</v>
      </c>
      <c r="P47" s="54">
        <v>159211960.81</v>
      </c>
      <c r="Q47" s="47">
        <f t="shared" si="13"/>
        <v>2.7916901277580793E-4</v>
      </c>
      <c r="R47" s="54">
        <v>157820514</v>
      </c>
      <c r="S47" s="47">
        <f t="shared" si="14"/>
        <v>2.6544522808558872E-4</v>
      </c>
      <c r="T47" s="48">
        <f>((R47-P47)/P47)</f>
        <v>-8.7395871699647229E-3</v>
      </c>
      <c r="U47" s="84">
        <f>(L47/R47)</f>
        <v>3.4527837109946303E-4</v>
      </c>
      <c r="V47" s="49">
        <f>M47/R47</f>
        <v>8.558106711019837E-4</v>
      </c>
      <c r="W47" s="50">
        <f>R47/AB47</f>
        <v>0.99655230145433393</v>
      </c>
      <c r="X47" s="50">
        <f>M47/AB47</f>
        <v>8.5286009389585994E-4</v>
      </c>
      <c r="Y47" s="44">
        <v>1</v>
      </c>
      <c r="Z47" s="44">
        <v>1</v>
      </c>
      <c r="AA47" s="189">
        <v>20</v>
      </c>
      <c r="AB47" s="245">
        <v>158366514</v>
      </c>
      <c r="AC47" s="39"/>
      <c r="AD47" s="16"/>
      <c r="AE47" s="16"/>
      <c r="AF47" s="16"/>
      <c r="AG47" s="5"/>
      <c r="AH47" s="6"/>
      <c r="AI47" s="6"/>
      <c r="AJ47" s="6"/>
      <c r="AK47" s="7"/>
      <c r="AL47" s="5"/>
      <c r="AM47" s="6"/>
      <c r="AN47" s="6"/>
      <c r="AO47" s="6"/>
      <c r="AP47" s="7"/>
      <c r="AQ47" s="5"/>
      <c r="AR47" s="6"/>
      <c r="AS47" s="6"/>
      <c r="AT47" s="6"/>
      <c r="AU47" s="7"/>
      <c r="AV47" s="31"/>
      <c r="AW47" s="31"/>
      <c r="AX47" s="31"/>
      <c r="AY47" s="31"/>
      <c r="AZ47" s="31"/>
      <c r="BA47" s="31"/>
      <c r="BB47" s="31"/>
      <c r="BC47" s="31"/>
      <c r="BD47" s="31"/>
      <c r="BE47" s="31"/>
      <c r="BF47" s="31"/>
      <c r="BG47" s="31"/>
      <c r="BH47" s="31"/>
      <c r="BI47" s="31"/>
      <c r="BJ47" s="31"/>
      <c r="BK47" s="31"/>
      <c r="BL47" s="31"/>
      <c r="BM47" s="31"/>
      <c r="BN47" s="31"/>
      <c r="BO47" s="31"/>
      <c r="BP47" s="31"/>
      <c r="BQ47" s="31"/>
      <c r="BR47" s="31"/>
      <c r="BS47" s="31"/>
      <c r="BT47" s="31"/>
      <c r="BU47" s="31"/>
      <c r="BV47" s="31"/>
      <c r="BW47" s="31"/>
      <c r="BX47" s="31"/>
      <c r="BY47" s="31"/>
      <c r="BZ47" s="31"/>
      <c r="CA47" s="31"/>
      <c r="CB47" s="31"/>
      <c r="CC47" s="31"/>
      <c r="CD47" s="31"/>
      <c r="CE47" s="31"/>
      <c r="CF47" s="31"/>
      <c r="CG47" s="31"/>
      <c r="CH47" s="31"/>
      <c r="CI47" s="31"/>
      <c r="CJ47" s="31"/>
      <c r="CK47" s="31"/>
      <c r="CL47" s="31"/>
      <c r="CM47" s="31"/>
      <c r="CN47" s="31"/>
      <c r="CO47" s="31"/>
      <c r="CP47" s="31"/>
      <c r="CQ47" s="31"/>
      <c r="CR47" s="31"/>
      <c r="CS47" s="31"/>
      <c r="CT47" s="31"/>
      <c r="CU47" s="31"/>
      <c r="CV47" s="31"/>
      <c r="CW47" s="31"/>
      <c r="CX47" s="31"/>
      <c r="CY47" s="31"/>
      <c r="CZ47" s="31"/>
      <c r="DA47" s="31"/>
      <c r="DB47" s="31"/>
      <c r="DC47" s="31"/>
      <c r="DD47" s="31"/>
      <c r="DE47" s="31"/>
      <c r="DF47" s="31"/>
      <c r="DG47" s="31"/>
      <c r="DH47" s="31"/>
      <c r="DI47" s="31"/>
      <c r="DJ47" s="31"/>
      <c r="DK47" s="31"/>
      <c r="DL47" s="31"/>
      <c r="DM47" s="31"/>
      <c r="DN47" s="31"/>
      <c r="DO47" s="31"/>
      <c r="DP47" s="31"/>
      <c r="DQ47" s="31"/>
      <c r="DR47" s="31"/>
      <c r="DS47" s="31"/>
      <c r="DT47" s="31"/>
      <c r="DU47" s="31"/>
      <c r="DV47" s="31"/>
      <c r="DW47" s="31"/>
      <c r="DX47" s="31"/>
      <c r="DY47" s="31"/>
      <c r="DZ47" s="31"/>
      <c r="EA47" s="31"/>
      <c r="EB47" s="31"/>
      <c r="EC47" s="31"/>
      <c r="ED47" s="31"/>
      <c r="EE47" s="31"/>
      <c r="EF47" s="31"/>
      <c r="EG47" s="31"/>
      <c r="EH47" s="31"/>
      <c r="EI47" s="31"/>
      <c r="EJ47" s="31"/>
      <c r="EK47" s="31"/>
      <c r="EL47" s="31"/>
      <c r="EM47" s="31"/>
      <c r="EN47" s="31"/>
      <c r="EO47" s="31"/>
      <c r="EP47" s="31"/>
      <c r="EQ47" s="31"/>
      <c r="ER47" s="31"/>
      <c r="ES47" s="31"/>
      <c r="ET47" s="31"/>
      <c r="EU47" s="31"/>
      <c r="EV47" s="31"/>
      <c r="EW47" s="31"/>
      <c r="EX47" s="31"/>
      <c r="EY47" s="31"/>
      <c r="EZ47" s="31"/>
      <c r="FA47" s="31"/>
      <c r="FB47" s="31"/>
      <c r="FC47" s="31"/>
      <c r="FD47" s="31"/>
      <c r="FE47" s="31"/>
      <c r="FF47" s="31"/>
      <c r="FG47" s="31"/>
      <c r="FH47" s="31"/>
      <c r="FI47" s="31"/>
      <c r="FJ47" s="31"/>
      <c r="FK47" s="31"/>
      <c r="FL47" s="31"/>
      <c r="FM47" s="31"/>
      <c r="FN47" s="31"/>
      <c r="FO47" s="31"/>
      <c r="FP47" s="31"/>
      <c r="FQ47" s="31"/>
      <c r="FR47" s="31"/>
      <c r="FS47" s="31"/>
      <c r="FT47" s="31"/>
      <c r="FU47" s="31"/>
      <c r="FV47" s="31"/>
      <c r="FW47" s="31"/>
      <c r="FX47" s="31"/>
      <c r="FY47" s="31"/>
      <c r="FZ47" s="31"/>
      <c r="GA47" s="31"/>
      <c r="GB47" s="31"/>
      <c r="GC47" s="31"/>
      <c r="GD47" s="31"/>
      <c r="GE47" s="31"/>
      <c r="GF47" s="31"/>
      <c r="GG47" s="31"/>
      <c r="GH47" s="31"/>
      <c r="GI47" s="31"/>
      <c r="GJ47" s="31"/>
      <c r="GK47" s="31"/>
      <c r="GL47" s="31"/>
      <c r="GM47" s="31"/>
      <c r="GN47" s="31"/>
      <c r="GO47" s="31"/>
      <c r="GP47" s="31"/>
      <c r="GQ47" s="31"/>
      <c r="GR47" s="31"/>
      <c r="GS47" s="31"/>
      <c r="GT47" s="31"/>
      <c r="GU47" s="31"/>
      <c r="GV47" s="31"/>
      <c r="GW47" s="31"/>
      <c r="GX47" s="31"/>
      <c r="GY47" s="31"/>
      <c r="GZ47" s="31"/>
      <c r="HA47" s="31"/>
      <c r="HB47" s="31"/>
      <c r="HC47" s="31"/>
      <c r="HD47" s="31"/>
      <c r="HE47" s="31"/>
      <c r="HF47" s="31"/>
      <c r="HG47" s="31"/>
      <c r="HH47" s="31"/>
      <c r="HI47" s="31"/>
      <c r="HJ47" s="31"/>
      <c r="HK47" s="31"/>
      <c r="HL47" s="31"/>
      <c r="HM47" s="31"/>
      <c r="HN47" s="31"/>
      <c r="HO47" s="31"/>
      <c r="HP47" s="31"/>
      <c r="HQ47" s="31"/>
      <c r="HR47" s="31"/>
      <c r="HS47" s="31"/>
      <c r="HT47" s="31"/>
      <c r="HU47" s="31"/>
      <c r="HV47" s="31"/>
      <c r="HW47" s="31"/>
      <c r="HX47" s="31"/>
      <c r="HY47" s="31"/>
      <c r="HZ47" s="31"/>
      <c r="IA47" s="31"/>
      <c r="IB47" s="31"/>
      <c r="IC47" s="31"/>
      <c r="ID47" s="31"/>
      <c r="IE47" s="31"/>
      <c r="IF47" s="31"/>
      <c r="IG47" s="31"/>
      <c r="IH47" s="31"/>
      <c r="II47" s="31"/>
      <c r="IJ47" s="31"/>
      <c r="IK47" s="31"/>
      <c r="IL47" s="31"/>
      <c r="IM47" s="31"/>
      <c r="IN47" s="31"/>
      <c r="IO47" s="31"/>
      <c r="IP47" s="31"/>
      <c r="IQ47" s="31"/>
      <c r="IR47" s="31"/>
      <c r="IS47" s="31"/>
      <c r="IT47" s="31"/>
      <c r="IU47" s="31"/>
      <c r="IV47" s="31"/>
      <c r="IW47" s="31"/>
    </row>
    <row r="48" spans="1:257" ht="16.5" customHeight="1">
      <c r="A48" s="217">
        <v>43</v>
      </c>
      <c r="B48" s="82" t="s">
        <v>160</v>
      </c>
      <c r="C48" s="82" t="s">
        <v>161</v>
      </c>
      <c r="D48" s="78"/>
      <c r="E48" s="78"/>
      <c r="F48" s="78">
        <v>208366795.81999999</v>
      </c>
      <c r="G48" s="78"/>
      <c r="H48" s="78"/>
      <c r="I48" s="78"/>
      <c r="J48" s="78">
        <v>208982386.03999999</v>
      </c>
      <c r="K48" s="78">
        <v>6530556.8099999996</v>
      </c>
      <c r="L48" s="78">
        <v>1411481.42</v>
      </c>
      <c r="M48" s="193">
        <v>5119075.3899999997</v>
      </c>
      <c r="N48" s="44">
        <v>829801866.34000003</v>
      </c>
      <c r="O48" s="44">
        <v>805287613.51999998</v>
      </c>
      <c r="P48" s="54">
        <v>751268433.39999998</v>
      </c>
      <c r="Q48" s="47">
        <f t="shared" si="13"/>
        <v>1.3173059725845218E-3</v>
      </c>
      <c r="R48" s="54">
        <v>805416315.55999994</v>
      </c>
      <c r="S48" s="47">
        <f t="shared" si="14"/>
        <v>1.3546649429089978E-3</v>
      </c>
      <c r="T48" s="48">
        <f>((R48-P48)/P48)</f>
        <v>7.2075279291243508E-2</v>
      </c>
      <c r="U48" s="84">
        <f>(L48/R48)</f>
        <v>1.7524867484446319E-3</v>
      </c>
      <c r="V48" s="49">
        <f>M48/R48</f>
        <v>6.3558128772704895E-3</v>
      </c>
      <c r="W48" s="50">
        <f>R48/AB48</f>
        <v>1.0001598212090179</v>
      </c>
      <c r="X48" s="50">
        <f>M48/AB48</f>
        <v>6.3568286709688266E-3</v>
      </c>
      <c r="Y48" s="44">
        <v>1</v>
      </c>
      <c r="Z48" s="44">
        <v>1</v>
      </c>
      <c r="AA48" s="189">
        <v>174</v>
      </c>
      <c r="AB48" s="190">
        <v>805287613.51999998</v>
      </c>
      <c r="AC48" s="39"/>
      <c r="AD48" s="16"/>
      <c r="AE48" s="16"/>
      <c r="AF48" s="16"/>
      <c r="AG48" s="5"/>
      <c r="AH48" s="6"/>
      <c r="AI48" s="6"/>
      <c r="AJ48" s="6"/>
      <c r="AK48" s="7"/>
      <c r="AL48" s="5"/>
      <c r="AM48" s="6"/>
      <c r="AN48" s="6"/>
      <c r="AO48" s="6"/>
      <c r="AP48" s="7"/>
      <c r="AQ48" s="5"/>
      <c r="AR48" s="6"/>
      <c r="AS48" s="6"/>
      <c r="AT48" s="6"/>
      <c r="AU48" s="7"/>
      <c r="AV48" s="31"/>
      <c r="AW48" s="31"/>
      <c r="AX48" s="31"/>
      <c r="AY48" s="31"/>
      <c r="AZ48" s="31"/>
      <c r="BA48" s="31"/>
      <c r="BB48" s="31"/>
      <c r="BC48" s="31"/>
      <c r="BD48" s="31"/>
      <c r="BE48" s="31"/>
      <c r="BF48" s="31"/>
      <c r="BG48" s="31"/>
      <c r="BH48" s="31"/>
      <c r="BI48" s="31"/>
      <c r="BJ48" s="31"/>
      <c r="BK48" s="31"/>
      <c r="BL48" s="31"/>
      <c r="BM48" s="31"/>
      <c r="BN48" s="31"/>
      <c r="BO48" s="31"/>
      <c r="BP48" s="31"/>
      <c r="BQ48" s="31"/>
      <c r="BR48" s="31"/>
      <c r="BS48" s="31"/>
      <c r="BT48" s="31"/>
      <c r="BU48" s="31"/>
      <c r="BV48" s="31"/>
      <c r="BW48" s="31"/>
      <c r="BX48" s="31"/>
      <c r="BY48" s="31"/>
      <c r="BZ48" s="31"/>
      <c r="CA48" s="31"/>
      <c r="CB48" s="31"/>
      <c r="CC48" s="31"/>
      <c r="CD48" s="31"/>
      <c r="CE48" s="31"/>
      <c r="CF48" s="31"/>
      <c r="CG48" s="31"/>
      <c r="CH48" s="31"/>
      <c r="CI48" s="31"/>
      <c r="CJ48" s="31"/>
      <c r="CK48" s="31"/>
      <c r="CL48" s="31"/>
      <c r="CM48" s="31"/>
      <c r="CN48" s="31"/>
      <c r="CO48" s="31"/>
      <c r="CP48" s="31"/>
      <c r="CQ48" s="31"/>
      <c r="CR48" s="31"/>
      <c r="CS48" s="31"/>
      <c r="CT48" s="31"/>
      <c r="CU48" s="31"/>
      <c r="CV48" s="31"/>
      <c r="CW48" s="31"/>
      <c r="CX48" s="31"/>
      <c r="CY48" s="31"/>
      <c r="CZ48" s="31"/>
      <c r="DA48" s="31"/>
      <c r="DB48" s="31"/>
      <c r="DC48" s="31"/>
      <c r="DD48" s="31"/>
      <c r="DE48" s="31"/>
      <c r="DF48" s="31"/>
      <c r="DG48" s="31"/>
      <c r="DH48" s="31"/>
      <c r="DI48" s="31"/>
      <c r="DJ48" s="31"/>
      <c r="DK48" s="31"/>
      <c r="DL48" s="31"/>
      <c r="DM48" s="31"/>
      <c r="DN48" s="31"/>
      <c r="DO48" s="31"/>
      <c r="DP48" s="31"/>
      <c r="DQ48" s="31"/>
      <c r="DR48" s="31"/>
      <c r="DS48" s="31"/>
      <c r="DT48" s="31"/>
      <c r="DU48" s="31"/>
      <c r="DV48" s="31"/>
      <c r="DW48" s="31"/>
      <c r="DX48" s="31"/>
      <c r="DY48" s="31"/>
      <c r="DZ48" s="31"/>
      <c r="EA48" s="31"/>
      <c r="EB48" s="31"/>
      <c r="EC48" s="31"/>
      <c r="ED48" s="31"/>
      <c r="EE48" s="31"/>
      <c r="EF48" s="31"/>
      <c r="EG48" s="31"/>
      <c r="EH48" s="31"/>
      <c r="EI48" s="31"/>
      <c r="EJ48" s="31"/>
      <c r="EK48" s="31"/>
      <c r="EL48" s="31"/>
      <c r="EM48" s="31"/>
      <c r="EN48" s="31"/>
      <c r="EO48" s="31"/>
      <c r="EP48" s="31"/>
      <c r="EQ48" s="31"/>
      <c r="ER48" s="31"/>
      <c r="ES48" s="31"/>
      <c r="ET48" s="31"/>
      <c r="EU48" s="31"/>
      <c r="EV48" s="31"/>
      <c r="EW48" s="31"/>
      <c r="EX48" s="31"/>
      <c r="EY48" s="31"/>
      <c r="EZ48" s="31"/>
      <c r="FA48" s="31"/>
      <c r="FB48" s="31"/>
      <c r="FC48" s="31"/>
      <c r="FD48" s="31"/>
      <c r="FE48" s="31"/>
      <c r="FF48" s="31"/>
      <c r="FG48" s="31"/>
      <c r="FH48" s="31"/>
      <c r="FI48" s="31"/>
      <c r="FJ48" s="31"/>
      <c r="FK48" s="31"/>
      <c r="FL48" s="31"/>
      <c r="FM48" s="31"/>
      <c r="FN48" s="31"/>
      <c r="FO48" s="31"/>
      <c r="FP48" s="31"/>
      <c r="FQ48" s="31"/>
      <c r="FR48" s="31"/>
      <c r="FS48" s="31"/>
      <c r="FT48" s="31"/>
      <c r="FU48" s="31"/>
      <c r="FV48" s="31"/>
      <c r="FW48" s="31"/>
      <c r="FX48" s="31"/>
      <c r="FY48" s="31"/>
      <c r="FZ48" s="31"/>
      <c r="GA48" s="31"/>
      <c r="GB48" s="31"/>
      <c r="GC48" s="31"/>
      <c r="GD48" s="31"/>
      <c r="GE48" s="31"/>
      <c r="GF48" s="31"/>
      <c r="GG48" s="31"/>
      <c r="GH48" s="31"/>
      <c r="GI48" s="31"/>
      <c r="GJ48" s="31"/>
      <c r="GK48" s="31"/>
      <c r="GL48" s="31"/>
      <c r="GM48" s="31"/>
      <c r="GN48" s="31"/>
      <c r="GO48" s="31"/>
      <c r="GP48" s="31"/>
      <c r="GQ48" s="31"/>
      <c r="GR48" s="31"/>
      <c r="GS48" s="31"/>
      <c r="GT48" s="31"/>
      <c r="GU48" s="31"/>
      <c r="GV48" s="31"/>
      <c r="GW48" s="31"/>
      <c r="GX48" s="31"/>
      <c r="GY48" s="31"/>
      <c r="GZ48" s="31"/>
      <c r="HA48" s="31"/>
      <c r="HB48" s="31"/>
      <c r="HC48" s="31"/>
      <c r="HD48" s="31"/>
      <c r="HE48" s="31"/>
      <c r="HF48" s="31"/>
      <c r="HG48" s="31"/>
      <c r="HH48" s="31"/>
      <c r="HI48" s="31"/>
      <c r="HJ48" s="31"/>
      <c r="HK48" s="31"/>
      <c r="HL48" s="31"/>
      <c r="HM48" s="31"/>
      <c r="HN48" s="31"/>
      <c r="HO48" s="31"/>
      <c r="HP48" s="31"/>
      <c r="HQ48" s="31"/>
      <c r="HR48" s="31"/>
      <c r="HS48" s="31"/>
      <c r="HT48" s="31"/>
      <c r="HU48" s="31"/>
      <c r="HV48" s="31"/>
      <c r="HW48" s="31"/>
      <c r="HX48" s="31"/>
      <c r="HY48" s="31"/>
      <c r="HZ48" s="31"/>
      <c r="IA48" s="31"/>
      <c r="IB48" s="31"/>
      <c r="IC48" s="31"/>
      <c r="ID48" s="31"/>
      <c r="IE48" s="31"/>
      <c r="IF48" s="31"/>
      <c r="IG48" s="31"/>
      <c r="IH48" s="31"/>
      <c r="II48" s="31"/>
      <c r="IJ48" s="31"/>
      <c r="IK48" s="31"/>
      <c r="IL48" s="31"/>
      <c r="IM48" s="31"/>
      <c r="IN48" s="31"/>
      <c r="IO48" s="31"/>
      <c r="IP48" s="31"/>
      <c r="IQ48" s="31"/>
      <c r="IR48" s="31"/>
      <c r="IS48" s="31"/>
      <c r="IT48" s="31"/>
      <c r="IU48" s="31"/>
      <c r="IV48" s="31"/>
      <c r="IW48" s="31"/>
    </row>
    <row r="49" spans="1:257" ht="16.5" customHeight="1">
      <c r="A49" s="217">
        <v>44</v>
      </c>
      <c r="B49" s="82" t="s">
        <v>156</v>
      </c>
      <c r="C49" s="83" t="s">
        <v>157</v>
      </c>
      <c r="D49" s="78"/>
      <c r="E49" s="78"/>
      <c r="F49" s="78">
        <v>4645281.75</v>
      </c>
      <c r="G49" s="78"/>
      <c r="H49" s="78"/>
      <c r="I49" s="78"/>
      <c r="J49" s="78">
        <v>4645281.75</v>
      </c>
      <c r="K49" s="78">
        <v>15704.55</v>
      </c>
      <c r="L49" s="78">
        <v>8994.34</v>
      </c>
      <c r="M49" s="193">
        <v>6710.21</v>
      </c>
      <c r="N49" s="44">
        <v>7065203.8899999997</v>
      </c>
      <c r="O49" s="44">
        <v>223343.89</v>
      </c>
      <c r="P49" s="54">
        <v>7031104.5800000001</v>
      </c>
      <c r="Q49" s="47">
        <f t="shared" si="13"/>
        <v>1.2328637335636503E-5</v>
      </c>
      <c r="R49" s="54">
        <v>6841860</v>
      </c>
      <c r="S49" s="47">
        <f t="shared" si="14"/>
        <v>1.1507623706191112E-5</v>
      </c>
      <c r="T49" s="48">
        <f>((R49-P49)/P49)</f>
        <v>-2.691534137300516E-2</v>
      </c>
      <c r="U49" s="84">
        <f>(L49/R49)</f>
        <v>1.31460450813083E-3</v>
      </c>
      <c r="V49" s="49">
        <f>M49/R49</f>
        <v>9.8075815640776042E-4</v>
      </c>
      <c r="W49" s="50">
        <f>R49/AB49</f>
        <v>109.42598960415833</v>
      </c>
      <c r="X49" s="50">
        <f>M49/AB49</f>
        <v>0.10732043182726909</v>
      </c>
      <c r="Y49" s="44">
        <v>100</v>
      </c>
      <c r="Z49" s="44">
        <v>100</v>
      </c>
      <c r="AA49" s="189">
        <v>71</v>
      </c>
      <c r="AB49" s="190">
        <v>62525</v>
      </c>
      <c r="AC49" s="39"/>
      <c r="AD49" s="16"/>
      <c r="AE49" s="16"/>
      <c r="AF49" s="16"/>
      <c r="AG49" s="5"/>
      <c r="AH49" s="6"/>
      <c r="AI49" s="6"/>
      <c r="AJ49" s="6"/>
      <c r="AK49" s="7"/>
      <c r="AL49" s="5"/>
      <c r="AM49" s="6"/>
      <c r="AN49" s="6"/>
      <c r="AO49" s="6"/>
      <c r="AP49" s="7"/>
      <c r="AQ49" s="5"/>
      <c r="AR49" s="6"/>
      <c r="AS49" s="6"/>
      <c r="AT49" s="6"/>
      <c r="AU49" s="7"/>
      <c r="AV49" s="31"/>
      <c r="AW49" s="31"/>
      <c r="AX49" s="31"/>
      <c r="AY49" s="31"/>
      <c r="AZ49" s="31"/>
      <c r="BA49" s="31"/>
      <c r="BB49" s="31"/>
      <c r="BC49" s="31"/>
      <c r="BD49" s="31"/>
      <c r="BE49" s="31"/>
      <c r="BF49" s="31"/>
      <c r="BG49" s="31"/>
      <c r="BH49" s="31"/>
      <c r="BI49" s="31"/>
      <c r="BJ49" s="31"/>
      <c r="BK49" s="31"/>
      <c r="BL49" s="31"/>
      <c r="BM49" s="31"/>
      <c r="BN49" s="31"/>
      <c r="BO49" s="31"/>
      <c r="BP49" s="31"/>
      <c r="BQ49" s="31"/>
      <c r="BR49" s="31"/>
      <c r="BS49" s="31"/>
      <c r="BT49" s="31"/>
      <c r="BU49" s="31"/>
      <c r="BV49" s="31"/>
      <c r="BW49" s="31"/>
      <c r="BX49" s="31"/>
      <c r="BY49" s="31"/>
      <c r="BZ49" s="31"/>
      <c r="CA49" s="31"/>
      <c r="CB49" s="31"/>
      <c r="CC49" s="31"/>
      <c r="CD49" s="31"/>
      <c r="CE49" s="31"/>
      <c r="CF49" s="31"/>
      <c r="CG49" s="31"/>
      <c r="CH49" s="31"/>
      <c r="CI49" s="31"/>
      <c r="CJ49" s="31"/>
      <c r="CK49" s="31"/>
      <c r="CL49" s="31"/>
      <c r="CM49" s="31"/>
      <c r="CN49" s="31"/>
      <c r="CO49" s="31"/>
      <c r="CP49" s="31"/>
      <c r="CQ49" s="31"/>
      <c r="CR49" s="31"/>
      <c r="CS49" s="31"/>
      <c r="CT49" s="31"/>
      <c r="CU49" s="31"/>
      <c r="CV49" s="31"/>
      <c r="CW49" s="31"/>
      <c r="CX49" s="31"/>
      <c r="CY49" s="31"/>
      <c r="CZ49" s="31"/>
      <c r="DA49" s="31"/>
      <c r="DB49" s="31"/>
      <c r="DC49" s="31"/>
      <c r="DD49" s="31"/>
      <c r="DE49" s="31"/>
      <c r="DF49" s="31"/>
      <c r="DG49" s="31"/>
      <c r="DH49" s="31"/>
      <c r="DI49" s="31"/>
      <c r="DJ49" s="31"/>
      <c r="DK49" s="31"/>
      <c r="DL49" s="31"/>
      <c r="DM49" s="31"/>
      <c r="DN49" s="31"/>
      <c r="DO49" s="31"/>
      <c r="DP49" s="31"/>
      <c r="DQ49" s="31"/>
      <c r="DR49" s="31"/>
      <c r="DS49" s="31"/>
      <c r="DT49" s="31"/>
      <c r="DU49" s="31"/>
      <c r="DV49" s="31"/>
      <c r="DW49" s="31"/>
      <c r="DX49" s="31"/>
      <c r="DY49" s="31"/>
      <c r="DZ49" s="31"/>
      <c r="EA49" s="31"/>
      <c r="EB49" s="31"/>
      <c r="EC49" s="31"/>
      <c r="ED49" s="31"/>
      <c r="EE49" s="31"/>
      <c r="EF49" s="31"/>
      <c r="EG49" s="31"/>
      <c r="EH49" s="31"/>
      <c r="EI49" s="31"/>
      <c r="EJ49" s="31"/>
      <c r="EK49" s="31"/>
      <c r="EL49" s="31"/>
      <c r="EM49" s="31"/>
      <c r="EN49" s="31"/>
      <c r="EO49" s="31"/>
      <c r="EP49" s="31"/>
      <c r="EQ49" s="31"/>
      <c r="ER49" s="31"/>
      <c r="ES49" s="31"/>
      <c r="ET49" s="31"/>
      <c r="EU49" s="31"/>
      <c r="EV49" s="31"/>
      <c r="EW49" s="31"/>
      <c r="EX49" s="31"/>
      <c r="EY49" s="31"/>
      <c r="EZ49" s="31"/>
      <c r="FA49" s="31"/>
      <c r="FB49" s="31"/>
      <c r="FC49" s="31"/>
      <c r="FD49" s="31"/>
      <c r="FE49" s="31"/>
      <c r="FF49" s="31"/>
      <c r="FG49" s="31"/>
      <c r="FH49" s="31"/>
      <c r="FI49" s="31"/>
      <c r="FJ49" s="31"/>
      <c r="FK49" s="31"/>
      <c r="FL49" s="31"/>
      <c r="FM49" s="31"/>
      <c r="FN49" s="31"/>
      <c r="FO49" s="31"/>
      <c r="FP49" s="31"/>
      <c r="FQ49" s="31"/>
      <c r="FR49" s="31"/>
      <c r="FS49" s="31"/>
      <c r="FT49" s="31"/>
      <c r="FU49" s="31"/>
      <c r="FV49" s="31"/>
      <c r="FW49" s="31"/>
      <c r="FX49" s="31"/>
      <c r="FY49" s="31"/>
      <c r="FZ49" s="31"/>
      <c r="GA49" s="31"/>
      <c r="GB49" s="31"/>
      <c r="GC49" s="31"/>
      <c r="GD49" s="31"/>
      <c r="GE49" s="31"/>
      <c r="GF49" s="31"/>
      <c r="GG49" s="31"/>
      <c r="GH49" s="31"/>
      <c r="GI49" s="31"/>
      <c r="GJ49" s="31"/>
      <c r="GK49" s="31"/>
      <c r="GL49" s="31"/>
      <c r="GM49" s="31"/>
      <c r="GN49" s="31"/>
      <c r="GO49" s="31"/>
      <c r="GP49" s="31"/>
      <c r="GQ49" s="31"/>
      <c r="GR49" s="31"/>
      <c r="GS49" s="31"/>
      <c r="GT49" s="31"/>
      <c r="GU49" s="31"/>
      <c r="GV49" s="31"/>
      <c r="GW49" s="31"/>
      <c r="GX49" s="31"/>
      <c r="GY49" s="31"/>
      <c r="GZ49" s="31"/>
      <c r="HA49" s="31"/>
      <c r="HB49" s="31"/>
      <c r="HC49" s="31"/>
      <c r="HD49" s="31"/>
      <c r="HE49" s="31"/>
      <c r="HF49" s="31"/>
      <c r="HG49" s="31"/>
      <c r="HH49" s="31"/>
      <c r="HI49" s="31"/>
      <c r="HJ49" s="31"/>
      <c r="HK49" s="31"/>
      <c r="HL49" s="31"/>
      <c r="HM49" s="31"/>
      <c r="HN49" s="31"/>
      <c r="HO49" s="31"/>
      <c r="HP49" s="31"/>
      <c r="HQ49" s="31"/>
      <c r="HR49" s="31"/>
      <c r="HS49" s="31"/>
      <c r="HT49" s="31"/>
      <c r="HU49" s="31"/>
      <c r="HV49" s="31"/>
      <c r="HW49" s="31"/>
      <c r="HX49" s="31"/>
      <c r="HY49" s="31"/>
      <c r="HZ49" s="31"/>
      <c r="IA49" s="31"/>
      <c r="IB49" s="31"/>
      <c r="IC49" s="31"/>
      <c r="ID49" s="31"/>
      <c r="IE49" s="31"/>
      <c r="IF49" s="31"/>
      <c r="IG49" s="31"/>
      <c r="IH49" s="31"/>
      <c r="II49" s="31"/>
      <c r="IJ49" s="31"/>
      <c r="IK49" s="31"/>
      <c r="IL49" s="31"/>
      <c r="IM49" s="31"/>
      <c r="IN49" s="31"/>
      <c r="IO49" s="31"/>
      <c r="IP49" s="31"/>
      <c r="IQ49" s="31"/>
      <c r="IR49" s="31"/>
      <c r="IS49" s="31"/>
      <c r="IT49" s="31"/>
      <c r="IU49" s="31"/>
      <c r="IV49" s="31"/>
      <c r="IW49" s="31"/>
    </row>
    <row r="50" spans="1:257" ht="16.5" customHeight="1">
      <c r="A50" s="221">
        <v>45</v>
      </c>
      <c r="B50" s="222" t="s">
        <v>154</v>
      </c>
      <c r="C50" s="83" t="s">
        <v>171</v>
      </c>
      <c r="D50" s="78"/>
      <c r="E50" s="78"/>
      <c r="F50" s="78">
        <v>484607021.58999997</v>
      </c>
      <c r="G50" s="78"/>
      <c r="H50" s="78"/>
      <c r="I50" s="78"/>
      <c r="J50" s="78">
        <v>484607021.58999997</v>
      </c>
      <c r="K50" s="78">
        <v>6194758.7000000002</v>
      </c>
      <c r="L50" s="78">
        <v>1276073.42</v>
      </c>
      <c r="M50" s="193">
        <v>4918685.28</v>
      </c>
      <c r="N50" s="44">
        <v>878902110.80999994</v>
      </c>
      <c r="O50" s="44">
        <v>16109322.57</v>
      </c>
      <c r="P50" s="54">
        <v>832743348</v>
      </c>
      <c r="Q50" s="47">
        <f t="shared" si="13"/>
        <v>1.4601675475513609E-3</v>
      </c>
      <c r="R50" s="54">
        <v>862792788.24000001</v>
      </c>
      <c r="S50" s="47">
        <f t="shared" si="14"/>
        <v>1.4511689428724575E-3</v>
      </c>
      <c r="T50" s="48">
        <f>((R50-P50)/P50)</f>
        <v>3.608487574493361E-2</v>
      </c>
      <c r="U50" s="84">
        <f t="shared" si="16"/>
        <v>1.4790033451752022E-3</v>
      </c>
      <c r="V50" s="49">
        <f t="shared" si="17"/>
        <v>5.7008882631408679E-3</v>
      </c>
      <c r="W50" s="50">
        <f t="shared" si="18"/>
        <v>100.27947712904478</v>
      </c>
      <c r="X50" s="50">
        <f t="shared" si="19"/>
        <v>0.57168209419887439</v>
      </c>
      <c r="Y50" s="44">
        <v>100</v>
      </c>
      <c r="Z50" s="44">
        <v>100</v>
      </c>
      <c r="AA50" s="189">
        <v>488</v>
      </c>
      <c r="AB50" s="190">
        <v>8603882</v>
      </c>
      <c r="AC50" s="39"/>
      <c r="AD50" s="16"/>
      <c r="AE50" s="16"/>
      <c r="AF50" s="16"/>
      <c r="AG50" s="5"/>
      <c r="AH50" s="6"/>
      <c r="AI50" s="6"/>
      <c r="AJ50" s="6"/>
      <c r="AK50" s="7"/>
      <c r="AL50" s="5"/>
      <c r="AM50" s="6"/>
      <c r="AN50" s="6"/>
      <c r="AO50" s="6"/>
      <c r="AP50" s="7"/>
      <c r="AQ50" s="5"/>
      <c r="AR50" s="6"/>
      <c r="AS50" s="6"/>
      <c r="AT50" s="6"/>
      <c r="AU50" s="7"/>
    </row>
    <row r="51" spans="1:257" ht="16.5" customHeight="1">
      <c r="A51" s="149" t="s">
        <v>92</v>
      </c>
      <c r="B51" s="119"/>
      <c r="C51" s="59" t="s">
        <v>53</v>
      </c>
      <c r="D51" s="60"/>
      <c r="E51" s="60"/>
      <c r="F51" s="60">
        <f t="shared" ref="F51" si="20">SUM(F22:F50)</f>
        <v>468134458376.28003</v>
      </c>
      <c r="G51" s="60"/>
      <c r="H51" s="60"/>
      <c r="I51" s="60">
        <f t="shared" ref="I51" si="21">SUM(I22:I50)</f>
        <v>46001682.799999997</v>
      </c>
      <c r="J51" s="60">
        <f t="shared" ref="J51" si="22">SUM(J22:J50)</f>
        <v>474281534017.73987</v>
      </c>
      <c r="K51" s="60">
        <f t="shared" ref="K51" si="23">SUM(K22:K50)</f>
        <v>4203367770.8300004</v>
      </c>
      <c r="L51" s="60">
        <f t="shared" ref="L51" si="24">SUM(L22:L50)</f>
        <v>854977885.6099999</v>
      </c>
      <c r="M51" s="60">
        <f t="shared" ref="M51:N51" si="25">SUM(M22:M50)</f>
        <v>3561395416.5</v>
      </c>
      <c r="N51" s="60">
        <f t="shared" si="25"/>
        <v>599231186407.23962</v>
      </c>
      <c r="O51" s="60">
        <f>SUM(O22:O50)</f>
        <v>5579541255.670001</v>
      </c>
      <c r="P51" s="61">
        <f>SUM(P22:P50)</f>
        <v>570306708566.75</v>
      </c>
      <c r="Q51" s="118">
        <f>(P51/$P$149)</f>
        <v>0.42918898047134013</v>
      </c>
      <c r="R51" s="61">
        <f>SUM(R22:R50)</f>
        <v>594550202082.04004</v>
      </c>
      <c r="S51" s="118">
        <f>(R51/$R$149)</f>
        <v>0.42917577009617791</v>
      </c>
      <c r="T51" s="62">
        <f t="shared" si="15"/>
        <v>4.2509570992452256E-2</v>
      </c>
      <c r="U51" s="76"/>
      <c r="V51" s="63"/>
      <c r="W51" s="64"/>
      <c r="X51" s="64"/>
      <c r="Y51" s="60"/>
      <c r="Z51" s="60"/>
      <c r="AA51" s="65">
        <f>SUM(AA22:AA50)</f>
        <v>628798</v>
      </c>
      <c r="AB51" s="147"/>
      <c r="AC51" s="13"/>
      <c r="AD51" s="4"/>
      <c r="AE51" s="4"/>
      <c r="AF51" s="4"/>
      <c r="AG51" s="5"/>
      <c r="AH51" s="6"/>
      <c r="AI51" s="6"/>
      <c r="AJ51" s="6"/>
      <c r="AK51" s="7"/>
      <c r="AL51" s="5"/>
      <c r="AM51" s="6"/>
      <c r="AN51" s="6"/>
      <c r="AO51" s="6"/>
      <c r="AP51" s="7"/>
      <c r="AQ51" s="5"/>
      <c r="AR51" s="6"/>
      <c r="AS51" s="6"/>
      <c r="AT51" s="6"/>
      <c r="AU51" s="7"/>
    </row>
    <row r="52" spans="1:257" ht="16.5" customHeight="1">
      <c r="A52" s="232" t="s">
        <v>191</v>
      </c>
      <c r="B52" s="233"/>
      <c r="C52" s="233"/>
      <c r="D52" s="70"/>
      <c r="E52" s="70"/>
      <c r="F52" s="70"/>
      <c r="G52" s="70"/>
      <c r="H52" s="70"/>
      <c r="I52" s="70"/>
      <c r="J52" s="70"/>
      <c r="K52" s="70"/>
      <c r="L52" s="70"/>
      <c r="M52" s="211"/>
      <c r="N52" s="70"/>
      <c r="O52" s="70"/>
      <c r="P52" s="70">
        <v>0</v>
      </c>
      <c r="Q52" s="48"/>
      <c r="R52" s="70">
        <v>0</v>
      </c>
      <c r="S52" s="48"/>
      <c r="T52" s="48"/>
      <c r="U52" s="48"/>
      <c r="V52" s="71"/>
      <c r="W52" s="72"/>
      <c r="X52" s="72"/>
      <c r="Y52" s="70"/>
      <c r="Z52" s="70"/>
      <c r="AA52" s="70"/>
      <c r="AB52" s="150"/>
      <c r="AC52" s="13"/>
      <c r="AD52" s="4"/>
      <c r="AE52" s="4"/>
      <c r="AF52" s="4"/>
      <c r="AG52" s="5"/>
      <c r="AH52" s="6"/>
      <c r="AI52" s="6"/>
      <c r="AJ52" s="6"/>
      <c r="AK52" s="7"/>
      <c r="AL52" s="5"/>
      <c r="AM52" s="6"/>
      <c r="AN52" s="6"/>
      <c r="AO52" s="6"/>
      <c r="AP52" s="7"/>
      <c r="AQ52" s="5"/>
      <c r="AR52" s="6"/>
      <c r="AS52" s="6"/>
      <c r="AT52" s="6"/>
      <c r="AU52" s="7"/>
    </row>
    <row r="53" spans="1:257" ht="16.5" customHeight="1">
      <c r="A53" s="217">
        <v>46</v>
      </c>
      <c r="B53" s="83" t="s">
        <v>24</v>
      </c>
      <c r="C53" s="83" t="s">
        <v>93</v>
      </c>
      <c r="D53" s="44"/>
      <c r="E53" s="44"/>
      <c r="F53" s="44">
        <v>15603748118.049999</v>
      </c>
      <c r="G53" s="44">
        <v>65448277702.839996</v>
      </c>
      <c r="H53" s="44"/>
      <c r="I53" s="44"/>
      <c r="J53" s="44">
        <v>81067066916.779999</v>
      </c>
      <c r="K53" s="44">
        <v>493095590.91000003</v>
      </c>
      <c r="L53" s="44">
        <v>143469096.84999999</v>
      </c>
      <c r="M53" s="193">
        <v>349626494.06</v>
      </c>
      <c r="N53" s="44">
        <v>83680934067.929993</v>
      </c>
      <c r="O53" s="44">
        <v>697517197.36000001</v>
      </c>
      <c r="P53" s="54">
        <v>81369138856.330002</v>
      </c>
      <c r="Q53" s="47">
        <f t="shared" ref="Q53:Q79" si="26">(P53/$P$80)</f>
        <v>0.211183885043536</v>
      </c>
      <c r="R53" s="54">
        <v>82983416870.570007</v>
      </c>
      <c r="S53" s="47">
        <f t="shared" ref="S53:S79" si="27">(R53/$R$80)</f>
        <v>0.20467861754018768</v>
      </c>
      <c r="T53" s="48">
        <f t="shared" ref="T53:T55" si="28">((R53-P53)/P53)</f>
        <v>1.9838946766909588E-2</v>
      </c>
      <c r="U53" s="84">
        <f t="shared" ref="U53:U55" si="29">(L53/R53)</f>
        <v>1.7288887618808232E-3</v>
      </c>
      <c r="V53" s="49">
        <f t="shared" ref="V53:V55" si="30">M53/R53</f>
        <v>4.213209183773616E-3</v>
      </c>
      <c r="W53" s="50">
        <f t="shared" ref="W53:W54" si="31">R53/AB53</f>
        <v>236.69099395779693</v>
      </c>
      <c r="X53" s="50">
        <f t="shared" ref="X53:X54" si="32">M53/AB53</f>
        <v>0.99722866945949562</v>
      </c>
      <c r="Y53" s="188">
        <v>236.69</v>
      </c>
      <c r="Z53" s="188">
        <v>236.69</v>
      </c>
      <c r="AA53" s="189">
        <v>7005</v>
      </c>
      <c r="AB53" s="190">
        <v>350598117.32999998</v>
      </c>
      <c r="AC53" s="13"/>
      <c r="AD53" s="4"/>
      <c r="AE53" s="4"/>
      <c r="AF53" s="4"/>
      <c r="AG53" s="5"/>
      <c r="AH53" s="6"/>
      <c r="AI53" s="6"/>
      <c r="AJ53" s="6"/>
      <c r="AK53" s="7"/>
      <c r="AL53" s="5"/>
      <c r="AM53" s="6"/>
      <c r="AN53" s="6"/>
      <c r="AO53" s="6"/>
      <c r="AP53" s="7"/>
      <c r="AQ53" s="5"/>
      <c r="AR53" s="6"/>
      <c r="AS53" s="6"/>
      <c r="AT53" s="6"/>
      <c r="AU53" s="7"/>
    </row>
    <row r="54" spans="1:257" ht="16.5" customHeight="1">
      <c r="A54" s="217">
        <v>47</v>
      </c>
      <c r="B54" s="83" t="s">
        <v>32</v>
      </c>
      <c r="C54" s="83" t="s">
        <v>94</v>
      </c>
      <c r="D54" s="44"/>
      <c r="E54" s="44"/>
      <c r="F54" s="44">
        <v>247250994.25999999</v>
      </c>
      <c r="G54" s="44">
        <v>1119752188.3800001</v>
      </c>
      <c r="H54" s="44"/>
      <c r="I54" s="44"/>
      <c r="J54" s="44">
        <v>1367003182.6400001</v>
      </c>
      <c r="K54" s="44">
        <v>11235109.130000001</v>
      </c>
      <c r="L54" s="44">
        <v>1695225.5</v>
      </c>
      <c r="M54" s="193">
        <v>9539883.6300000008</v>
      </c>
      <c r="N54" s="44">
        <v>1407849531.1700001</v>
      </c>
      <c r="O54" s="44">
        <v>26472107</v>
      </c>
      <c r="P54" s="54">
        <v>1340937570.25</v>
      </c>
      <c r="Q54" s="47">
        <f t="shared" si="26"/>
        <v>3.4802433658077795E-3</v>
      </c>
      <c r="R54" s="54">
        <v>1381377424.1700001</v>
      </c>
      <c r="S54" s="47">
        <f t="shared" si="27"/>
        <v>3.407167746796095E-3</v>
      </c>
      <c r="T54" s="48">
        <f t="shared" si="28"/>
        <v>3.0157894608367639E-2</v>
      </c>
      <c r="U54" s="84">
        <f t="shared" si="29"/>
        <v>1.2271993666166765E-3</v>
      </c>
      <c r="V54" s="49">
        <f t="shared" si="30"/>
        <v>6.9060659766696526E-3</v>
      </c>
      <c r="W54" s="50">
        <f t="shared" si="31"/>
        <v>317.81586780940864</v>
      </c>
      <c r="X54" s="50">
        <f t="shared" si="32"/>
        <v>2.1948573515242971</v>
      </c>
      <c r="Y54" s="188">
        <v>317.8159</v>
      </c>
      <c r="Z54" s="188">
        <v>317.8159</v>
      </c>
      <c r="AA54" s="189">
        <v>97</v>
      </c>
      <c r="AB54" s="190">
        <v>4346470.91</v>
      </c>
      <c r="AC54" s="13"/>
      <c r="AD54" s="4"/>
      <c r="AE54" s="4"/>
      <c r="AF54" s="4"/>
      <c r="AG54" s="5"/>
      <c r="AH54" s="6"/>
      <c r="AI54" s="6"/>
      <c r="AJ54" s="6"/>
      <c r="AK54" s="7"/>
      <c r="AL54" s="5"/>
      <c r="AM54" s="6"/>
      <c r="AN54" s="6"/>
      <c r="AO54" s="6"/>
      <c r="AP54" s="7"/>
      <c r="AQ54" s="5"/>
      <c r="AR54" s="6"/>
      <c r="AS54" s="6"/>
      <c r="AT54" s="6"/>
      <c r="AU54" s="7"/>
    </row>
    <row r="55" spans="1:257" ht="16.5" customHeight="1">
      <c r="A55" s="217">
        <v>48</v>
      </c>
      <c r="B55" s="83" t="s">
        <v>38</v>
      </c>
      <c r="C55" s="83" t="s">
        <v>192</v>
      </c>
      <c r="D55" s="44"/>
      <c r="E55" s="44"/>
      <c r="F55" s="44">
        <v>14243092798.110001</v>
      </c>
      <c r="G55" s="44">
        <v>30146370092.650002</v>
      </c>
      <c r="H55" s="44"/>
      <c r="I55" s="44"/>
      <c r="J55" s="44">
        <v>44437651952.400002</v>
      </c>
      <c r="K55" s="44">
        <v>1662641001.8699999</v>
      </c>
      <c r="L55" s="44">
        <v>46777369.32</v>
      </c>
      <c r="M55" s="193">
        <v>1615863632.54</v>
      </c>
      <c r="N55" s="44">
        <v>44586746607.910004</v>
      </c>
      <c r="O55" s="44">
        <v>149094655.53999999</v>
      </c>
      <c r="P55" s="54">
        <v>41966673784.25</v>
      </c>
      <c r="Q55" s="47">
        <f t="shared" si="26"/>
        <v>0.1089194913044501</v>
      </c>
      <c r="R55" s="54">
        <v>44437651952.360001</v>
      </c>
      <c r="S55" s="47">
        <f t="shared" si="27"/>
        <v>0.10960547915889393</v>
      </c>
      <c r="T55" s="48">
        <f t="shared" si="28"/>
        <v>5.8879533336696162E-2</v>
      </c>
      <c r="U55" s="84">
        <f t="shared" si="29"/>
        <v>1.0526516875857511E-3</v>
      </c>
      <c r="V55" s="49">
        <f t="shared" si="30"/>
        <v>3.636248905032851E-2</v>
      </c>
      <c r="W55" s="50">
        <f>R55/AB55</f>
        <v>1419.2813863917961</v>
      </c>
      <c r="X55" s="50">
        <f>M55/AB55</f>
        <v>51.608603872006761</v>
      </c>
      <c r="Y55" s="188">
        <v>1419.28</v>
      </c>
      <c r="Z55" s="188">
        <v>1419.28</v>
      </c>
      <c r="AA55" s="189">
        <v>2062</v>
      </c>
      <c r="AB55" s="190">
        <v>31309966</v>
      </c>
      <c r="AC55" s="13"/>
      <c r="AD55" s="4"/>
      <c r="AE55" s="4"/>
      <c r="AF55" s="4"/>
      <c r="AG55" s="5"/>
      <c r="AH55" s="6"/>
      <c r="AI55" s="6"/>
      <c r="AJ55" s="6"/>
      <c r="AK55" s="7"/>
      <c r="AL55" s="5"/>
      <c r="AM55" s="6"/>
      <c r="AN55" s="6"/>
      <c r="AO55" s="6"/>
      <c r="AP55" s="7"/>
      <c r="AQ55" s="5"/>
      <c r="AR55" s="6"/>
      <c r="AS55" s="6"/>
      <c r="AT55" s="6"/>
      <c r="AU55" s="7"/>
    </row>
    <row r="56" spans="1:257" ht="16.5" customHeight="1">
      <c r="A56" s="217">
        <v>49</v>
      </c>
      <c r="B56" s="82" t="s">
        <v>160</v>
      </c>
      <c r="C56" s="83" t="s">
        <v>162</v>
      </c>
      <c r="D56" s="44"/>
      <c r="E56" s="44"/>
      <c r="F56" s="44"/>
      <c r="G56" s="44">
        <v>490079298.49000001</v>
      </c>
      <c r="H56" s="53"/>
      <c r="I56" s="52">
        <v>292418.56</v>
      </c>
      <c r="J56" s="52">
        <v>490371717.05000001</v>
      </c>
      <c r="K56" s="52">
        <v>5235938.92</v>
      </c>
      <c r="L56" s="44">
        <v>1162688.6100000001</v>
      </c>
      <c r="M56" s="193">
        <v>4073250.31</v>
      </c>
      <c r="N56" s="44">
        <v>630494849.92999995</v>
      </c>
      <c r="O56" s="44">
        <v>612943177.25</v>
      </c>
      <c r="P56" s="54">
        <v>617727362.21000004</v>
      </c>
      <c r="Q56" s="47">
        <f t="shared" si="26"/>
        <v>1.6032376166539076E-3</v>
      </c>
      <c r="R56" s="54">
        <v>621890612.51999998</v>
      </c>
      <c r="S56" s="47">
        <f t="shared" si="27"/>
        <v>1.5338933443816364E-3</v>
      </c>
      <c r="T56" s="48">
        <f>((R56-P56)/P56)</f>
        <v>6.7396242496129246E-3</v>
      </c>
      <c r="U56" s="84">
        <f>(L56/R56)</f>
        <v>1.8696030886985098E-3</v>
      </c>
      <c r="V56" s="49">
        <f>M56/R56</f>
        <v>6.5497858111968274E-3</v>
      </c>
      <c r="W56" s="50">
        <f>R56/AB56</f>
        <v>1.0166204863027577</v>
      </c>
      <c r="X56" s="50">
        <f>M56/AB56</f>
        <v>6.6586464365578218E-3</v>
      </c>
      <c r="Y56" s="188">
        <v>1.02</v>
      </c>
      <c r="Z56" s="188">
        <v>1.02</v>
      </c>
      <c r="AA56" s="189">
        <v>37</v>
      </c>
      <c r="AB56" s="190">
        <v>611723470.95000005</v>
      </c>
      <c r="AC56" s="13"/>
      <c r="AD56" s="4"/>
      <c r="AE56" s="4"/>
      <c r="AF56" s="4"/>
      <c r="AG56" s="5"/>
      <c r="AH56" s="6"/>
      <c r="AI56" s="6"/>
      <c r="AJ56" s="6"/>
      <c r="AK56" s="7"/>
      <c r="AL56" s="5"/>
      <c r="AM56" s="6"/>
      <c r="AN56" s="6"/>
      <c r="AO56" s="6"/>
      <c r="AP56" s="7"/>
      <c r="AQ56" s="5"/>
      <c r="AR56" s="6"/>
      <c r="AS56" s="6"/>
      <c r="AT56" s="6"/>
      <c r="AU56" s="7"/>
      <c r="AV56" s="31"/>
      <c r="AW56" s="31"/>
      <c r="AX56" s="31"/>
      <c r="AY56" s="31"/>
      <c r="AZ56" s="31"/>
      <c r="BA56" s="31"/>
      <c r="BB56" s="31"/>
      <c r="BC56" s="31"/>
      <c r="BD56" s="31"/>
      <c r="BE56" s="31"/>
      <c r="BF56" s="31"/>
      <c r="BG56" s="31"/>
      <c r="BH56" s="31"/>
      <c r="BI56" s="31"/>
      <c r="BJ56" s="31"/>
      <c r="BK56" s="31"/>
      <c r="BL56" s="31"/>
      <c r="BM56" s="31"/>
      <c r="BN56" s="31"/>
      <c r="BO56" s="31"/>
      <c r="BP56" s="31"/>
      <c r="BQ56" s="31"/>
      <c r="BR56" s="31"/>
      <c r="BS56" s="31"/>
      <c r="BT56" s="31"/>
      <c r="BU56" s="31"/>
      <c r="BV56" s="31"/>
      <c r="BW56" s="31"/>
      <c r="BX56" s="31"/>
      <c r="BY56" s="31"/>
      <c r="BZ56" s="31"/>
      <c r="CA56" s="31"/>
      <c r="CB56" s="31"/>
      <c r="CC56" s="31"/>
      <c r="CD56" s="31"/>
      <c r="CE56" s="31"/>
      <c r="CF56" s="31"/>
      <c r="CG56" s="31"/>
      <c r="CH56" s="31"/>
      <c r="CI56" s="31"/>
      <c r="CJ56" s="31"/>
      <c r="CK56" s="31"/>
      <c r="CL56" s="31"/>
      <c r="CM56" s="31"/>
      <c r="CN56" s="31"/>
      <c r="CO56" s="31"/>
      <c r="CP56" s="31"/>
      <c r="CQ56" s="31"/>
      <c r="CR56" s="31"/>
      <c r="CS56" s="31"/>
      <c r="CT56" s="31"/>
      <c r="CU56" s="31"/>
      <c r="CV56" s="31"/>
      <c r="CW56" s="31"/>
      <c r="CX56" s="31"/>
      <c r="CY56" s="31"/>
      <c r="CZ56" s="31"/>
      <c r="DA56" s="31"/>
      <c r="DB56" s="31"/>
      <c r="DC56" s="31"/>
      <c r="DD56" s="31"/>
      <c r="DE56" s="31"/>
      <c r="DF56" s="31"/>
      <c r="DG56" s="31"/>
      <c r="DH56" s="31"/>
      <c r="DI56" s="31"/>
      <c r="DJ56" s="31"/>
      <c r="DK56" s="31"/>
      <c r="DL56" s="31"/>
      <c r="DM56" s="31"/>
      <c r="DN56" s="31"/>
      <c r="DO56" s="31"/>
      <c r="DP56" s="31"/>
      <c r="DQ56" s="31"/>
      <c r="DR56" s="31"/>
      <c r="DS56" s="31"/>
      <c r="DT56" s="31"/>
      <c r="DU56" s="31"/>
      <c r="DV56" s="31"/>
      <c r="DW56" s="31"/>
      <c r="DX56" s="31"/>
      <c r="DY56" s="31"/>
      <c r="DZ56" s="31"/>
      <c r="EA56" s="31"/>
      <c r="EB56" s="31"/>
      <c r="EC56" s="31"/>
      <c r="ED56" s="31"/>
      <c r="EE56" s="31"/>
      <c r="EF56" s="31"/>
      <c r="EG56" s="31"/>
      <c r="EH56" s="31"/>
      <c r="EI56" s="31"/>
      <c r="EJ56" s="31"/>
      <c r="EK56" s="31"/>
      <c r="EL56" s="31"/>
      <c r="EM56" s="31"/>
      <c r="EN56" s="31"/>
      <c r="EO56" s="31"/>
      <c r="EP56" s="31"/>
      <c r="EQ56" s="31"/>
      <c r="ER56" s="31"/>
      <c r="ES56" s="31"/>
      <c r="ET56" s="31"/>
      <c r="EU56" s="31"/>
      <c r="EV56" s="31"/>
      <c r="EW56" s="31"/>
      <c r="EX56" s="31"/>
      <c r="EY56" s="31"/>
      <c r="EZ56" s="31"/>
      <c r="FA56" s="31"/>
      <c r="FB56" s="31"/>
      <c r="FC56" s="31"/>
      <c r="FD56" s="31"/>
      <c r="FE56" s="31"/>
      <c r="FF56" s="31"/>
      <c r="FG56" s="31"/>
      <c r="FH56" s="31"/>
      <c r="FI56" s="31"/>
      <c r="FJ56" s="31"/>
      <c r="FK56" s="31"/>
      <c r="FL56" s="31"/>
      <c r="FM56" s="31"/>
      <c r="FN56" s="31"/>
      <c r="FO56" s="31"/>
      <c r="FP56" s="31"/>
      <c r="FQ56" s="31"/>
      <c r="FR56" s="31"/>
      <c r="FS56" s="31"/>
      <c r="FT56" s="31"/>
      <c r="FU56" s="31"/>
      <c r="FV56" s="31"/>
      <c r="FW56" s="31"/>
      <c r="FX56" s="31"/>
      <c r="FY56" s="31"/>
      <c r="FZ56" s="31"/>
      <c r="GA56" s="31"/>
      <c r="GB56" s="31"/>
      <c r="GC56" s="31"/>
      <c r="GD56" s="31"/>
      <c r="GE56" s="31"/>
      <c r="GF56" s="31"/>
      <c r="GG56" s="31"/>
      <c r="GH56" s="31"/>
      <c r="GI56" s="31"/>
      <c r="GJ56" s="31"/>
      <c r="GK56" s="31"/>
      <c r="GL56" s="31"/>
      <c r="GM56" s="31"/>
      <c r="GN56" s="31"/>
      <c r="GO56" s="31"/>
      <c r="GP56" s="31"/>
      <c r="GQ56" s="31"/>
      <c r="GR56" s="31"/>
      <c r="GS56" s="31"/>
      <c r="GT56" s="31"/>
      <c r="GU56" s="31"/>
      <c r="GV56" s="31"/>
      <c r="GW56" s="31"/>
      <c r="GX56" s="31"/>
      <c r="GY56" s="31"/>
      <c r="GZ56" s="31"/>
      <c r="HA56" s="31"/>
      <c r="HB56" s="31"/>
      <c r="HC56" s="31"/>
      <c r="HD56" s="31"/>
      <c r="HE56" s="31"/>
      <c r="HF56" s="31"/>
      <c r="HG56" s="31"/>
      <c r="HH56" s="31"/>
      <c r="HI56" s="31"/>
      <c r="HJ56" s="31"/>
      <c r="HK56" s="31"/>
      <c r="HL56" s="31"/>
      <c r="HM56" s="31"/>
      <c r="HN56" s="31"/>
      <c r="HO56" s="31"/>
      <c r="HP56" s="31"/>
      <c r="HQ56" s="31"/>
      <c r="HR56" s="31"/>
      <c r="HS56" s="31"/>
      <c r="HT56" s="31"/>
      <c r="HU56" s="31"/>
      <c r="HV56" s="31"/>
      <c r="HW56" s="31"/>
      <c r="HX56" s="31"/>
      <c r="HY56" s="31"/>
      <c r="HZ56" s="31"/>
      <c r="IA56" s="31"/>
      <c r="IB56" s="31"/>
      <c r="IC56" s="31"/>
      <c r="ID56" s="31"/>
      <c r="IE56" s="31"/>
      <c r="IF56" s="31"/>
      <c r="IG56" s="31"/>
      <c r="IH56" s="31"/>
      <c r="II56" s="31"/>
      <c r="IJ56" s="31"/>
      <c r="IK56" s="31"/>
      <c r="IL56" s="31"/>
      <c r="IM56" s="31"/>
      <c r="IN56" s="31"/>
      <c r="IO56" s="31"/>
      <c r="IP56" s="31"/>
      <c r="IQ56" s="31"/>
      <c r="IR56" s="31"/>
      <c r="IS56" s="31"/>
      <c r="IT56" s="31"/>
      <c r="IU56" s="31"/>
      <c r="IV56" s="31"/>
      <c r="IW56" s="31"/>
    </row>
    <row r="57" spans="1:257" ht="16.5" customHeight="1">
      <c r="A57" s="217">
        <v>50</v>
      </c>
      <c r="B57" s="83" t="s">
        <v>83</v>
      </c>
      <c r="C57" s="117" t="s">
        <v>99</v>
      </c>
      <c r="D57" s="44"/>
      <c r="E57" s="44"/>
      <c r="F57" s="44">
        <v>764521715.07000005</v>
      </c>
      <c r="G57" s="44">
        <v>2156797585.71</v>
      </c>
      <c r="H57" s="44"/>
      <c r="I57" s="44"/>
      <c r="J57" s="44">
        <v>2921319300.7800002</v>
      </c>
      <c r="K57" s="44">
        <v>17808884.719999999</v>
      </c>
      <c r="L57" s="44">
        <v>5723312.6799999997</v>
      </c>
      <c r="M57" s="193">
        <v>12085572.039999999</v>
      </c>
      <c r="N57" s="44">
        <v>2921889652.4099998</v>
      </c>
      <c r="O57" s="44">
        <v>32089069.050000001</v>
      </c>
      <c r="P57" s="54">
        <v>2906059230.25</v>
      </c>
      <c r="Q57" s="47">
        <f t="shared" si="26"/>
        <v>7.5423297706815997E-3</v>
      </c>
      <c r="R57" s="54">
        <v>2889800583.3600001</v>
      </c>
      <c r="S57" s="47">
        <f t="shared" si="27"/>
        <v>7.1276938293766585E-3</v>
      </c>
      <c r="T57" s="48">
        <f>((R57-P57)/P57)</f>
        <v>-5.5947403689363831E-3</v>
      </c>
      <c r="U57" s="84">
        <f t="shared" ref="U57:U78" si="33">(L57/R57)</f>
        <v>1.9805216709263191E-3</v>
      </c>
      <c r="V57" s="49">
        <f t="shared" ref="V57:V78" si="34">M57/R57</f>
        <v>4.1821474151506966E-3</v>
      </c>
      <c r="W57" s="50">
        <f t="shared" ref="W57:W75" si="35">R57/AB57</f>
        <v>3503.5511709621451</v>
      </c>
      <c r="X57" s="50">
        <f t="shared" ref="X57:X75" si="36">M57/AB57</f>
        <v>14.65236747348753</v>
      </c>
      <c r="Y57" s="188">
        <v>3503.55</v>
      </c>
      <c r="Z57" s="188">
        <v>3503.55</v>
      </c>
      <c r="AA57" s="189">
        <v>1058</v>
      </c>
      <c r="AB57" s="190">
        <v>824820.43</v>
      </c>
      <c r="AC57" s="13"/>
      <c r="AD57" s="4"/>
      <c r="AE57" s="4"/>
      <c r="AF57" s="4"/>
      <c r="AG57" s="5"/>
      <c r="AH57" s="6"/>
      <c r="AI57" s="6"/>
      <c r="AJ57" s="6"/>
      <c r="AK57" s="7"/>
      <c r="AL57" s="5"/>
      <c r="AM57" s="6"/>
      <c r="AN57" s="6"/>
      <c r="AO57" s="6"/>
      <c r="AP57" s="7"/>
      <c r="AQ57" s="5"/>
      <c r="AR57" s="6"/>
      <c r="AS57" s="6"/>
      <c r="AT57" s="6"/>
      <c r="AU57" s="7"/>
    </row>
    <row r="58" spans="1:257" ht="16.5" customHeight="1">
      <c r="A58" s="217">
        <v>51</v>
      </c>
      <c r="B58" s="83" t="s">
        <v>34</v>
      </c>
      <c r="C58" s="83" t="s">
        <v>100</v>
      </c>
      <c r="D58" s="44"/>
      <c r="E58" s="44"/>
      <c r="F58" s="44">
        <v>1439618724</v>
      </c>
      <c r="G58" s="44">
        <v>98129037549</v>
      </c>
      <c r="H58" s="44"/>
      <c r="I58" s="44"/>
      <c r="J58" s="44">
        <v>99568656273</v>
      </c>
      <c r="K58" s="44">
        <v>714711862</v>
      </c>
      <c r="L58" s="44">
        <v>171139308</v>
      </c>
      <c r="M58" s="193">
        <v>543572554</v>
      </c>
      <c r="N58" s="44">
        <v>120937761475.42999</v>
      </c>
      <c r="O58" s="44">
        <v>401951134.45999998</v>
      </c>
      <c r="P58" s="54">
        <v>112420292981</v>
      </c>
      <c r="Q58" s="47">
        <f t="shared" si="26"/>
        <v>0.29177344830180929</v>
      </c>
      <c r="R58" s="54">
        <v>120535810341</v>
      </c>
      <c r="S58" s="47">
        <f t="shared" si="27"/>
        <v>0.29730160500816549</v>
      </c>
      <c r="T58" s="48">
        <f>((R58-P58)/P58)</f>
        <v>7.2189078544490123E-2</v>
      </c>
      <c r="U58" s="84">
        <f t="shared" si="33"/>
        <v>1.4198212756511193E-3</v>
      </c>
      <c r="V58" s="49">
        <f t="shared" si="34"/>
        <v>4.5096353727760597E-3</v>
      </c>
      <c r="W58" s="50">
        <f t="shared" si="35"/>
        <v>1.9818710528321024</v>
      </c>
      <c r="X58" s="50">
        <f t="shared" si="36"/>
        <v>8.93751580413258E-3</v>
      </c>
      <c r="Y58" s="188">
        <v>1.98</v>
      </c>
      <c r="Z58" s="188">
        <v>1.98</v>
      </c>
      <c r="AA58" s="189">
        <v>2440</v>
      </c>
      <c r="AB58" s="190">
        <v>60819199195</v>
      </c>
      <c r="AC58" s="13"/>
      <c r="AD58" s="4"/>
      <c r="AE58" s="4"/>
      <c r="AF58" s="4"/>
      <c r="AG58" s="5"/>
      <c r="AH58" s="6"/>
      <c r="AI58" s="6"/>
      <c r="AJ58" s="6"/>
      <c r="AK58" s="7"/>
      <c r="AL58" s="5"/>
      <c r="AM58" s="6"/>
      <c r="AN58" s="6"/>
      <c r="AO58" s="6"/>
      <c r="AP58" s="7"/>
      <c r="AQ58" s="5"/>
      <c r="AR58" s="6"/>
      <c r="AS58" s="6"/>
      <c r="AT58" s="6"/>
      <c r="AU58" s="7"/>
    </row>
    <row r="59" spans="1:257" ht="16.5" customHeight="1">
      <c r="A59" s="217">
        <v>52</v>
      </c>
      <c r="B59" s="83" t="s">
        <v>45</v>
      </c>
      <c r="C59" s="83" t="s">
        <v>101</v>
      </c>
      <c r="D59" s="44">
        <v>22413750</v>
      </c>
      <c r="E59" s="44"/>
      <c r="F59" s="44">
        <v>240750761.49000001</v>
      </c>
      <c r="G59" s="44">
        <v>10489388300.719999</v>
      </c>
      <c r="H59" s="44"/>
      <c r="I59" s="44"/>
      <c r="J59" s="44">
        <v>10752552812.209999</v>
      </c>
      <c r="K59" s="44">
        <v>40822229.57</v>
      </c>
      <c r="L59" s="44">
        <v>4099371.41</v>
      </c>
      <c r="M59" s="193">
        <v>36794108.159999996</v>
      </c>
      <c r="N59" s="44">
        <v>10779308548.969999</v>
      </c>
      <c r="O59" s="44">
        <v>245668341.66999999</v>
      </c>
      <c r="P59" s="54">
        <v>10616638899.4</v>
      </c>
      <c r="Q59" s="47">
        <f t="shared" si="26"/>
        <v>2.7554218717225663E-2</v>
      </c>
      <c r="R59" s="54">
        <v>10533640207.299999</v>
      </c>
      <c r="S59" s="47">
        <f t="shared" si="27"/>
        <v>2.5981226088323765E-2</v>
      </c>
      <c r="T59" s="48">
        <f t="shared" ref="T59:T101" si="37">((R59-P59)/P59)</f>
        <v>-7.8177936432114181E-3</v>
      </c>
      <c r="U59" s="84">
        <f t="shared" si="33"/>
        <v>3.8916949215325042E-4</v>
      </c>
      <c r="V59" s="49">
        <f t="shared" si="34"/>
        <v>3.4930097702122985E-3</v>
      </c>
      <c r="W59" s="50">
        <f t="shared" si="35"/>
        <v>1.0047215368370814</v>
      </c>
      <c r="X59" s="50">
        <f t="shared" si="36"/>
        <v>3.509502144514641E-3</v>
      </c>
      <c r="Y59" s="188">
        <v>1</v>
      </c>
      <c r="Z59" s="188">
        <v>1</v>
      </c>
      <c r="AA59" s="189">
        <v>4532</v>
      </c>
      <c r="AB59" s="190">
        <v>10484138959</v>
      </c>
      <c r="AC59" s="13"/>
      <c r="AD59" s="4"/>
      <c r="AE59" s="4"/>
      <c r="AF59" s="4"/>
      <c r="AG59" s="5"/>
      <c r="AH59" s="6"/>
      <c r="AI59" s="6"/>
      <c r="AJ59" s="6"/>
      <c r="AK59" s="7"/>
      <c r="AL59" s="5"/>
      <c r="AM59" s="6"/>
      <c r="AN59" s="6"/>
      <c r="AO59" s="6"/>
      <c r="AP59" s="7"/>
      <c r="AQ59" s="5"/>
      <c r="AR59" s="6"/>
      <c r="AS59" s="6"/>
      <c r="AT59" s="6"/>
      <c r="AU59" s="7"/>
    </row>
    <row r="60" spans="1:257" ht="16.5" customHeight="1">
      <c r="A60" s="217">
        <v>53</v>
      </c>
      <c r="B60" s="82" t="s">
        <v>75</v>
      </c>
      <c r="C60" s="82" t="s">
        <v>113</v>
      </c>
      <c r="D60" s="44"/>
      <c r="E60" s="44"/>
      <c r="F60" s="44">
        <v>954780606.24000001</v>
      </c>
      <c r="G60" s="44">
        <v>3030549852.3499999</v>
      </c>
      <c r="H60" s="44"/>
      <c r="I60" s="44"/>
      <c r="J60" s="44">
        <v>3985330458.5900002</v>
      </c>
      <c r="K60" s="44">
        <v>27721084.109999999</v>
      </c>
      <c r="L60" s="44">
        <v>5821141.7699999996</v>
      </c>
      <c r="M60" s="193">
        <v>21899942.34</v>
      </c>
      <c r="N60" s="44">
        <v>4093007653.1599998</v>
      </c>
      <c r="O60" s="44">
        <v>11461682.640000001</v>
      </c>
      <c r="P60" s="54">
        <v>4185560708.02</v>
      </c>
      <c r="Q60" s="47">
        <f t="shared" si="26"/>
        <v>1.0863123093461045E-2</v>
      </c>
      <c r="R60" s="54">
        <v>4081545970.52</v>
      </c>
      <c r="S60" s="47">
        <f t="shared" si="27"/>
        <v>1.0067134111574923E-2</v>
      </c>
      <c r="T60" s="48">
        <f>((R60-P60)/P60)</f>
        <v>-2.4850849087123785E-2</v>
      </c>
      <c r="U60" s="84">
        <f>(L60/R60)</f>
        <v>1.4262100223897197E-3</v>
      </c>
      <c r="V60" s="49">
        <f>M60/R60</f>
        <v>5.3655998237378396E-3</v>
      </c>
      <c r="W60" s="50">
        <f>R60/AB60</f>
        <v>22.297809200521833</v>
      </c>
      <c r="X60" s="50">
        <f>M60/AB60</f>
        <v>0.11964112111605991</v>
      </c>
      <c r="Y60" s="188">
        <v>22.298300000000001</v>
      </c>
      <c r="Z60" s="188">
        <v>22.298300000000001</v>
      </c>
      <c r="AA60" s="189">
        <v>1406</v>
      </c>
      <c r="AB60" s="190">
        <v>183046950.21000001</v>
      </c>
      <c r="AC60" s="13"/>
      <c r="AD60" s="4"/>
      <c r="AE60" s="4"/>
      <c r="AF60" s="4"/>
      <c r="AG60" s="5"/>
      <c r="AH60" s="6"/>
      <c r="AI60" s="6"/>
      <c r="AJ60" s="6"/>
      <c r="AK60" s="7"/>
      <c r="AL60" s="5"/>
      <c r="AM60" s="6"/>
      <c r="AN60" s="6"/>
      <c r="AO60" s="6"/>
      <c r="AP60" s="7"/>
      <c r="AQ60" s="5"/>
      <c r="AR60" s="6"/>
      <c r="AS60" s="6"/>
      <c r="AT60" s="6"/>
      <c r="AU60" s="7"/>
      <c r="AV60" s="31"/>
      <c r="AW60" s="31"/>
      <c r="AX60" s="31"/>
      <c r="AY60" s="31"/>
      <c r="AZ60" s="31"/>
      <c r="BA60" s="31"/>
      <c r="BB60" s="31"/>
      <c r="BC60" s="31"/>
      <c r="BD60" s="31"/>
      <c r="BE60" s="31"/>
      <c r="BF60" s="31"/>
      <c r="BG60" s="31"/>
      <c r="BH60" s="31"/>
      <c r="BI60" s="31"/>
      <c r="BJ60" s="31"/>
      <c r="BK60" s="31"/>
      <c r="BL60" s="31"/>
      <c r="BM60" s="31"/>
      <c r="BN60" s="31"/>
      <c r="BO60" s="31"/>
      <c r="BP60" s="31"/>
      <c r="BQ60" s="31"/>
      <c r="BR60" s="31"/>
      <c r="BS60" s="31"/>
      <c r="BT60" s="31"/>
      <c r="BU60" s="31"/>
      <c r="BV60" s="31"/>
      <c r="BW60" s="31"/>
      <c r="BX60" s="31"/>
      <c r="BY60" s="31"/>
      <c r="BZ60" s="31"/>
      <c r="CA60" s="31"/>
      <c r="CB60" s="31"/>
      <c r="CC60" s="31"/>
      <c r="CD60" s="31"/>
      <c r="CE60" s="31"/>
      <c r="CF60" s="31"/>
      <c r="CG60" s="31"/>
      <c r="CH60" s="31"/>
      <c r="CI60" s="31"/>
      <c r="CJ60" s="31"/>
      <c r="CK60" s="31"/>
      <c r="CL60" s="31"/>
      <c r="CM60" s="31"/>
      <c r="CN60" s="31"/>
      <c r="CO60" s="31"/>
      <c r="CP60" s="31"/>
      <c r="CQ60" s="31"/>
      <c r="CR60" s="31"/>
      <c r="CS60" s="31"/>
      <c r="CT60" s="31"/>
      <c r="CU60" s="31"/>
      <c r="CV60" s="31"/>
      <c r="CW60" s="31"/>
      <c r="CX60" s="31"/>
      <c r="CY60" s="31"/>
      <c r="CZ60" s="31"/>
      <c r="DA60" s="31"/>
      <c r="DB60" s="31"/>
      <c r="DC60" s="31"/>
      <c r="DD60" s="31"/>
      <c r="DE60" s="31"/>
      <c r="DF60" s="31"/>
      <c r="DG60" s="31"/>
      <c r="DH60" s="31"/>
      <c r="DI60" s="31"/>
      <c r="DJ60" s="31"/>
      <c r="DK60" s="31"/>
      <c r="DL60" s="31"/>
      <c r="DM60" s="31"/>
      <c r="DN60" s="31"/>
      <c r="DO60" s="31"/>
      <c r="DP60" s="31"/>
      <c r="DQ60" s="31"/>
      <c r="DR60" s="31"/>
      <c r="DS60" s="31"/>
      <c r="DT60" s="31"/>
      <c r="DU60" s="31"/>
      <c r="DV60" s="31"/>
      <c r="DW60" s="31"/>
      <c r="DX60" s="31"/>
      <c r="DY60" s="31"/>
      <c r="DZ60" s="31"/>
      <c r="EA60" s="31"/>
      <c r="EB60" s="31"/>
      <c r="EC60" s="31"/>
      <c r="ED60" s="31"/>
      <c r="EE60" s="31"/>
      <c r="EF60" s="31"/>
      <c r="EG60" s="31"/>
      <c r="EH60" s="31"/>
      <c r="EI60" s="31"/>
      <c r="EJ60" s="31"/>
      <c r="EK60" s="31"/>
      <c r="EL60" s="31"/>
      <c r="EM60" s="31"/>
      <c r="EN60" s="31"/>
      <c r="EO60" s="31"/>
      <c r="EP60" s="31"/>
      <c r="EQ60" s="31"/>
      <c r="ER60" s="31"/>
      <c r="ES60" s="31"/>
      <c r="ET60" s="31"/>
      <c r="EU60" s="31"/>
      <c r="EV60" s="31"/>
      <c r="EW60" s="31"/>
      <c r="EX60" s="31"/>
      <c r="EY60" s="31"/>
      <c r="EZ60" s="31"/>
      <c r="FA60" s="31"/>
      <c r="FB60" s="31"/>
      <c r="FC60" s="31"/>
      <c r="FD60" s="31"/>
      <c r="FE60" s="31"/>
      <c r="FF60" s="31"/>
      <c r="FG60" s="31"/>
      <c r="FH60" s="31"/>
      <c r="FI60" s="31"/>
      <c r="FJ60" s="31"/>
      <c r="FK60" s="31"/>
      <c r="FL60" s="31"/>
      <c r="FM60" s="31"/>
      <c r="FN60" s="31"/>
      <c r="FO60" s="31"/>
      <c r="FP60" s="31"/>
      <c r="FQ60" s="31"/>
      <c r="FR60" s="31"/>
      <c r="FS60" s="31"/>
      <c r="FT60" s="31"/>
      <c r="FU60" s="31"/>
      <c r="FV60" s="31"/>
      <c r="FW60" s="31"/>
      <c r="FX60" s="31"/>
      <c r="FY60" s="31"/>
      <c r="FZ60" s="31"/>
      <c r="GA60" s="31"/>
      <c r="GB60" s="31"/>
      <c r="GC60" s="31"/>
      <c r="GD60" s="31"/>
      <c r="GE60" s="31"/>
      <c r="GF60" s="31"/>
      <c r="GG60" s="31"/>
      <c r="GH60" s="31"/>
      <c r="GI60" s="31"/>
      <c r="GJ60" s="31"/>
      <c r="GK60" s="31"/>
      <c r="GL60" s="31"/>
      <c r="GM60" s="31"/>
      <c r="GN60" s="31"/>
      <c r="GO60" s="31"/>
      <c r="GP60" s="31"/>
      <c r="GQ60" s="31"/>
      <c r="GR60" s="31"/>
      <c r="GS60" s="31"/>
      <c r="GT60" s="31"/>
      <c r="GU60" s="31"/>
      <c r="GV60" s="31"/>
      <c r="GW60" s="31"/>
      <c r="GX60" s="31"/>
      <c r="GY60" s="31"/>
      <c r="GZ60" s="31"/>
      <c r="HA60" s="31"/>
      <c r="HB60" s="31"/>
      <c r="HC60" s="31"/>
      <c r="HD60" s="31"/>
      <c r="HE60" s="31"/>
      <c r="HF60" s="31"/>
      <c r="HG60" s="31"/>
      <c r="HH60" s="31"/>
      <c r="HI60" s="31"/>
      <c r="HJ60" s="31"/>
      <c r="HK60" s="31"/>
      <c r="HL60" s="31"/>
      <c r="HM60" s="31"/>
      <c r="HN60" s="31"/>
      <c r="HO60" s="31"/>
      <c r="HP60" s="31"/>
      <c r="HQ60" s="31"/>
      <c r="HR60" s="31"/>
      <c r="HS60" s="31"/>
      <c r="HT60" s="31"/>
      <c r="HU60" s="31"/>
      <c r="HV60" s="31"/>
      <c r="HW60" s="31"/>
      <c r="HX60" s="31"/>
      <c r="HY60" s="31"/>
      <c r="HZ60" s="31"/>
      <c r="IA60" s="31"/>
      <c r="IB60" s="31"/>
      <c r="IC60" s="31"/>
      <c r="ID60" s="31"/>
      <c r="IE60" s="31"/>
      <c r="IF60" s="31"/>
      <c r="IG60" s="31"/>
      <c r="IH60" s="31"/>
      <c r="II60" s="31"/>
      <c r="IJ60" s="31"/>
      <c r="IK60" s="31"/>
      <c r="IL60" s="31"/>
      <c r="IM60" s="31"/>
      <c r="IN60" s="31"/>
      <c r="IO60" s="31"/>
      <c r="IP60" s="31"/>
      <c r="IQ60" s="31"/>
      <c r="IR60" s="31"/>
      <c r="IS60" s="31"/>
      <c r="IT60" s="31"/>
      <c r="IU60" s="31"/>
      <c r="IV60" s="31"/>
      <c r="IW60" s="31"/>
    </row>
    <row r="61" spans="1:257" ht="16.5" customHeight="1">
      <c r="A61" s="217">
        <v>54</v>
      </c>
      <c r="B61" s="83" t="s">
        <v>102</v>
      </c>
      <c r="C61" s="83" t="s">
        <v>103</v>
      </c>
      <c r="D61" s="44"/>
      <c r="E61" s="44"/>
      <c r="F61" s="44">
        <v>62829313.880000003</v>
      </c>
      <c r="G61" s="44">
        <v>371561824.06999999</v>
      </c>
      <c r="H61" s="44"/>
      <c r="I61" s="44"/>
      <c r="J61" s="44">
        <v>434391137.94999999</v>
      </c>
      <c r="K61" s="44">
        <v>2613867.5299999998</v>
      </c>
      <c r="L61" s="44">
        <v>833522.42</v>
      </c>
      <c r="M61" s="193">
        <v>1780345.11</v>
      </c>
      <c r="N61" s="44">
        <v>480240950.10000002</v>
      </c>
      <c r="O61" s="44">
        <v>5101877.18</v>
      </c>
      <c r="P61" s="54">
        <v>473358727.81</v>
      </c>
      <c r="Q61" s="47">
        <f t="shared" si="26"/>
        <v>1.22854606258875E-3</v>
      </c>
      <c r="R61" s="54">
        <v>475139072.92000002</v>
      </c>
      <c r="S61" s="47">
        <f t="shared" si="27"/>
        <v>1.1719306368918865E-3</v>
      </c>
      <c r="T61" s="48">
        <f t="shared" si="37"/>
        <v>3.7610907022604251E-3</v>
      </c>
      <c r="U61" s="84">
        <f t="shared" si="33"/>
        <v>1.7542704178747717E-3</v>
      </c>
      <c r="V61" s="49">
        <f t="shared" si="34"/>
        <v>3.7469979032849609E-3</v>
      </c>
      <c r="W61" s="50">
        <f t="shared" si="35"/>
        <v>2.07819962384115</v>
      </c>
      <c r="X61" s="50">
        <f t="shared" si="36"/>
        <v>7.7870096331403831E-3</v>
      </c>
      <c r="Y61" s="188">
        <v>2.0840000000000001</v>
      </c>
      <c r="Z61" s="188">
        <v>2.0840000000000001</v>
      </c>
      <c r="AA61" s="189">
        <v>1438</v>
      </c>
      <c r="AB61" s="190">
        <v>228630140.94949999</v>
      </c>
      <c r="AC61" s="13"/>
      <c r="AD61" s="4"/>
      <c r="AE61" s="4"/>
      <c r="AF61" s="4"/>
      <c r="AG61" s="5"/>
      <c r="AH61" s="6"/>
      <c r="AI61" s="6"/>
      <c r="AJ61" s="6"/>
      <c r="AK61" s="7"/>
      <c r="AL61" s="5"/>
      <c r="AM61" s="6"/>
      <c r="AN61" s="6"/>
      <c r="AO61" s="6"/>
      <c r="AP61" s="7"/>
      <c r="AQ61" s="5"/>
      <c r="AR61" s="6"/>
      <c r="AS61" s="6"/>
      <c r="AT61" s="6"/>
      <c r="AU61" s="7"/>
    </row>
    <row r="62" spans="1:257" ht="18" customHeight="1">
      <c r="A62" s="217">
        <v>55</v>
      </c>
      <c r="B62" s="83" t="s">
        <v>24</v>
      </c>
      <c r="C62" s="83" t="s">
        <v>104</v>
      </c>
      <c r="D62" s="44"/>
      <c r="E62" s="44"/>
      <c r="F62" s="44">
        <v>4089272152.3099999</v>
      </c>
      <c r="G62" s="44">
        <v>19692994313.119999</v>
      </c>
      <c r="H62" s="44"/>
      <c r="I62" s="44"/>
      <c r="J62" s="44">
        <v>23782266465.43</v>
      </c>
      <c r="K62" s="44">
        <v>150095079.78</v>
      </c>
      <c r="L62" s="44">
        <v>40969522.200000003</v>
      </c>
      <c r="M62" s="193">
        <v>109125557.58</v>
      </c>
      <c r="N62" s="44">
        <v>23895730768.490002</v>
      </c>
      <c r="O62" s="44">
        <v>89070032.010000005</v>
      </c>
      <c r="P62" s="54">
        <v>24187710071.639999</v>
      </c>
      <c r="Q62" s="47">
        <f t="shared" si="26"/>
        <v>6.277631366180085E-2</v>
      </c>
      <c r="R62" s="54">
        <v>23806660736.48</v>
      </c>
      <c r="S62" s="47">
        <f t="shared" si="27"/>
        <v>5.871913439514078E-2</v>
      </c>
      <c r="T62" s="48">
        <f t="shared" si="37"/>
        <v>-1.5753840856839885E-2</v>
      </c>
      <c r="U62" s="84">
        <f t="shared" si="33"/>
        <v>1.7209268722522093E-3</v>
      </c>
      <c r="V62" s="49">
        <f t="shared" si="34"/>
        <v>4.5838246189975765E-3</v>
      </c>
      <c r="W62" s="50">
        <f t="shared" si="35"/>
        <v>316.00432196909179</v>
      </c>
      <c r="X62" s="50">
        <f t="shared" si="36"/>
        <v>1.4485083907515597</v>
      </c>
      <c r="Y62" s="188">
        <v>316</v>
      </c>
      <c r="Z62" s="188">
        <v>316</v>
      </c>
      <c r="AA62" s="189">
        <v>9769</v>
      </c>
      <c r="AB62" s="190">
        <v>75336503.590000004</v>
      </c>
      <c r="AC62" s="13"/>
      <c r="AD62" s="4"/>
      <c r="AE62" s="4"/>
      <c r="AF62" s="4"/>
      <c r="AG62" s="5"/>
      <c r="AH62" s="6"/>
      <c r="AI62" s="6"/>
      <c r="AJ62" s="6"/>
      <c r="AK62" s="7"/>
      <c r="AL62" s="5"/>
      <c r="AM62" s="6"/>
      <c r="AN62" s="6"/>
      <c r="AO62" s="6"/>
      <c r="AP62" s="7"/>
      <c r="AQ62" s="5"/>
      <c r="AR62" s="6"/>
      <c r="AS62" s="6"/>
      <c r="AT62" s="6"/>
      <c r="AU62" s="7"/>
    </row>
    <row r="63" spans="1:257" ht="16.5" customHeight="1">
      <c r="A63" s="217">
        <v>56</v>
      </c>
      <c r="B63" s="83" t="s">
        <v>105</v>
      </c>
      <c r="C63" s="83" t="s">
        <v>106</v>
      </c>
      <c r="D63" s="44"/>
      <c r="E63" s="44"/>
      <c r="F63" s="44"/>
      <c r="G63" s="44">
        <v>4543334962.8100004</v>
      </c>
      <c r="H63" s="44"/>
      <c r="I63" s="44"/>
      <c r="J63" s="44">
        <v>4543334962.8100004</v>
      </c>
      <c r="K63" s="44">
        <v>54751759.100000001</v>
      </c>
      <c r="L63" s="44">
        <v>8249830.54</v>
      </c>
      <c r="M63" s="193">
        <v>46501928.560000002</v>
      </c>
      <c r="N63" s="44">
        <v>6403607048</v>
      </c>
      <c r="O63" s="44">
        <v>76467278</v>
      </c>
      <c r="P63" s="54">
        <v>6463164190</v>
      </c>
      <c r="Q63" s="47">
        <f t="shared" si="26"/>
        <v>1.6774371002357936E-2</v>
      </c>
      <c r="R63" s="54">
        <v>6327139770</v>
      </c>
      <c r="S63" s="47">
        <f t="shared" si="27"/>
        <v>1.5605891754578044E-2</v>
      </c>
      <c r="T63" s="48">
        <f t="shared" si="37"/>
        <v>-2.1046103116250867E-2</v>
      </c>
      <c r="U63" s="84">
        <f t="shared" si="33"/>
        <v>1.303879926774559E-3</v>
      </c>
      <c r="V63" s="49">
        <f t="shared" si="34"/>
        <v>7.3495971719303435E-3</v>
      </c>
      <c r="W63" s="50">
        <f t="shared" si="35"/>
        <v>1.0199999999806548</v>
      </c>
      <c r="X63" s="50">
        <f t="shared" si="36"/>
        <v>7.4965891152267705E-3</v>
      </c>
      <c r="Y63" s="188">
        <v>1.02</v>
      </c>
      <c r="Z63" s="188">
        <v>1.02</v>
      </c>
      <c r="AA63" s="189">
        <v>2104</v>
      </c>
      <c r="AB63" s="190">
        <v>6203078206</v>
      </c>
      <c r="AC63" s="13"/>
      <c r="AD63" s="4"/>
      <c r="AE63" s="4"/>
      <c r="AF63" s="4"/>
      <c r="AG63" s="5"/>
      <c r="AH63" s="6"/>
      <c r="AI63" s="6"/>
      <c r="AJ63" s="6"/>
      <c r="AK63" s="7"/>
      <c r="AL63" s="5"/>
      <c r="AM63" s="6"/>
      <c r="AN63" s="6"/>
      <c r="AO63" s="6"/>
      <c r="AP63" s="7"/>
      <c r="AQ63" s="5"/>
      <c r="AR63" s="6"/>
      <c r="AS63" s="6"/>
      <c r="AT63" s="6"/>
      <c r="AU63" s="7"/>
    </row>
    <row r="64" spans="1:257" ht="15.75" customHeight="1">
      <c r="A64" s="217">
        <v>57</v>
      </c>
      <c r="B64" s="82" t="s">
        <v>26</v>
      </c>
      <c r="C64" s="116" t="s">
        <v>193</v>
      </c>
      <c r="D64" s="44"/>
      <c r="E64" s="44"/>
      <c r="F64" s="44">
        <v>723081696.12</v>
      </c>
      <c r="G64" s="44">
        <v>5296407741.6999998</v>
      </c>
      <c r="H64" s="44"/>
      <c r="I64" s="44"/>
      <c r="J64" s="44">
        <v>6030372689.4899998</v>
      </c>
      <c r="K64" s="195">
        <v>44011377.289999999</v>
      </c>
      <c r="L64" s="195">
        <v>2320490.65</v>
      </c>
      <c r="M64" s="193">
        <v>41690886.640000001</v>
      </c>
      <c r="N64" s="44">
        <v>6030372689.4899998</v>
      </c>
      <c r="O64" s="44">
        <v>15027698.359999999</v>
      </c>
      <c r="P64" s="54">
        <v>6132432664.3000002</v>
      </c>
      <c r="Q64" s="47">
        <f t="shared" si="26"/>
        <v>1.5915996814239459E-2</v>
      </c>
      <c r="R64" s="54">
        <v>6015344991.1300001</v>
      </c>
      <c r="S64" s="47">
        <f t="shared" si="27"/>
        <v>1.483684985799168E-2</v>
      </c>
      <c r="T64" s="48">
        <f t="shared" si="37"/>
        <v>-1.9093185295229867E-2</v>
      </c>
      <c r="U64" s="84">
        <f>(L65/R64)</f>
        <v>1.0218676644588075E-2</v>
      </c>
      <c r="V64" s="49">
        <f t="shared" si="34"/>
        <v>6.9307557091863896E-3</v>
      </c>
      <c r="W64" s="50">
        <f t="shared" si="35"/>
        <v>0.55632710843506239</v>
      </c>
      <c r="X64" s="50">
        <f t="shared" si="36"/>
        <v>3.8557672829614646E-3</v>
      </c>
      <c r="Y64" s="196">
        <v>3.99</v>
      </c>
      <c r="Z64" s="196">
        <v>3.99</v>
      </c>
      <c r="AA64" s="195">
        <v>929</v>
      </c>
      <c r="AB64" s="197">
        <v>10812604491</v>
      </c>
      <c r="AC64" s="13"/>
      <c r="AD64" s="4"/>
      <c r="AE64" s="4"/>
      <c r="AF64" s="4"/>
      <c r="AG64" s="5"/>
      <c r="AH64" s="6"/>
      <c r="AI64" s="6"/>
      <c r="AJ64" s="6"/>
      <c r="AK64" s="7"/>
      <c r="AL64" s="5"/>
      <c r="AM64" s="6"/>
      <c r="AN64" s="6"/>
      <c r="AO64" s="6"/>
      <c r="AP64" s="7"/>
      <c r="AQ64" s="5"/>
      <c r="AR64" s="6"/>
      <c r="AS64" s="6"/>
      <c r="AT64" s="6"/>
      <c r="AU64" s="7"/>
    </row>
    <row r="65" spans="1:257" ht="16.5" customHeight="1">
      <c r="A65" s="217">
        <v>58</v>
      </c>
      <c r="B65" s="83" t="s">
        <v>24</v>
      </c>
      <c r="C65" s="82" t="s">
        <v>107</v>
      </c>
      <c r="D65" s="44"/>
      <c r="E65" s="44"/>
      <c r="F65" s="44">
        <v>25759095303.23</v>
      </c>
      <c r="G65" s="44">
        <v>29149841768.77</v>
      </c>
      <c r="H65" s="44"/>
      <c r="I65" s="44"/>
      <c r="J65" s="44">
        <v>54935138661.040001</v>
      </c>
      <c r="K65" s="44">
        <v>407126719.69</v>
      </c>
      <c r="L65" s="44">
        <v>61468865.369999997</v>
      </c>
      <c r="M65" s="193">
        <v>345657854.31999999</v>
      </c>
      <c r="N65" s="44">
        <v>56422005543.550003</v>
      </c>
      <c r="O65" s="44">
        <v>106384409.64</v>
      </c>
      <c r="P65" s="54">
        <v>52300033752.75</v>
      </c>
      <c r="Q65" s="47">
        <f t="shared" si="26"/>
        <v>0.13573849337788074</v>
      </c>
      <c r="R65" s="54">
        <v>56315621133.910004</v>
      </c>
      <c r="S65" s="47">
        <f t="shared" si="27"/>
        <v>0.13890249298343338</v>
      </c>
      <c r="T65" s="48">
        <f t="shared" si="37"/>
        <v>7.6779823893495275E-2</v>
      </c>
      <c r="U65" s="84">
        <f>(L66/R65)</f>
        <v>4.8309998988216925E-6</v>
      </c>
      <c r="V65" s="49">
        <f t="shared" si="34"/>
        <v>6.1378680969899641E-3</v>
      </c>
      <c r="W65" s="50">
        <f t="shared" si="35"/>
        <v>4312.764411330264</v>
      </c>
      <c r="X65" s="50">
        <f t="shared" si="36"/>
        <v>26.471179090137728</v>
      </c>
      <c r="Y65" s="188">
        <v>4312.76</v>
      </c>
      <c r="Z65" s="101">
        <v>4312.76</v>
      </c>
      <c r="AA65" s="189">
        <v>450</v>
      </c>
      <c r="AB65" s="190">
        <v>13057894.140000001</v>
      </c>
      <c r="AC65" s="13"/>
      <c r="AD65" s="4"/>
      <c r="AE65" s="4"/>
      <c r="AF65" s="4"/>
      <c r="AG65" s="5"/>
      <c r="AH65" s="6"/>
      <c r="AI65" s="6"/>
      <c r="AJ65" s="6"/>
      <c r="AK65" s="7"/>
      <c r="AL65" s="5"/>
      <c r="AM65" s="6"/>
      <c r="AN65" s="6"/>
      <c r="AO65" s="6"/>
      <c r="AP65" s="7"/>
      <c r="AQ65" s="5"/>
      <c r="AR65" s="6"/>
      <c r="AS65" s="6"/>
      <c r="AT65" s="6"/>
      <c r="AU65" s="7"/>
    </row>
    <row r="66" spans="1:257" ht="16.5" customHeight="1">
      <c r="A66" s="217">
        <v>59</v>
      </c>
      <c r="B66" s="83" t="s">
        <v>24</v>
      </c>
      <c r="C66" s="82" t="s">
        <v>108</v>
      </c>
      <c r="D66" s="78">
        <v>71595258.549999997</v>
      </c>
      <c r="E66" s="44"/>
      <c r="F66" s="44">
        <v>143774652.19999999</v>
      </c>
      <c r="G66" s="44">
        <v>31509590.649999999</v>
      </c>
      <c r="H66" s="44"/>
      <c r="I66" s="44"/>
      <c r="J66" s="44">
        <v>246879501.40000001</v>
      </c>
      <c r="K66" s="44">
        <v>1290589.97</v>
      </c>
      <c r="L66" s="44">
        <v>272060.76</v>
      </c>
      <c r="M66" s="193">
        <v>2245443.7599999998</v>
      </c>
      <c r="N66" s="44">
        <v>250554527.15000001</v>
      </c>
      <c r="O66" s="44">
        <v>2990005.16</v>
      </c>
      <c r="P66" s="54">
        <v>245252609.72999999</v>
      </c>
      <c r="Q66" s="47">
        <f t="shared" si="26"/>
        <v>6.365238672526312E-4</v>
      </c>
      <c r="R66" s="54">
        <v>247564521.99000001</v>
      </c>
      <c r="S66" s="47">
        <f t="shared" si="27"/>
        <v>6.1061795264399487E-4</v>
      </c>
      <c r="T66" s="48">
        <f t="shared" si="37"/>
        <v>9.4266571211830026E-3</v>
      </c>
      <c r="U66" s="84">
        <f t="shared" si="33"/>
        <v>1.0989489035548861E-3</v>
      </c>
      <c r="V66" s="49">
        <f t="shared" si="34"/>
        <v>9.0701355022538375E-3</v>
      </c>
      <c r="W66" s="50">
        <f t="shared" si="35"/>
        <v>3914.8385101683371</v>
      </c>
      <c r="X66" s="50">
        <f t="shared" si="36"/>
        <v>35.508115756668353</v>
      </c>
      <c r="Y66" s="101">
        <v>3900.56</v>
      </c>
      <c r="Z66" s="101">
        <v>3922.75</v>
      </c>
      <c r="AA66" s="189">
        <v>15</v>
      </c>
      <c r="AB66" s="190">
        <v>63237.48</v>
      </c>
      <c r="AC66" s="13"/>
      <c r="AD66" s="4"/>
      <c r="AE66" s="4"/>
      <c r="AF66" s="4"/>
      <c r="AG66" s="5"/>
      <c r="AH66" s="6"/>
      <c r="AI66" s="6"/>
      <c r="AJ66" s="6"/>
      <c r="AK66" s="7"/>
      <c r="AL66" s="5"/>
      <c r="AM66" s="6"/>
      <c r="AN66" s="6"/>
      <c r="AO66" s="6"/>
      <c r="AP66" s="7"/>
      <c r="AQ66" s="5"/>
      <c r="AR66" s="6"/>
      <c r="AS66" s="6"/>
      <c r="AT66" s="6"/>
      <c r="AU66" s="7"/>
    </row>
    <row r="67" spans="1:257" ht="16.5" customHeight="1">
      <c r="A67" s="217">
        <v>60</v>
      </c>
      <c r="B67" s="82" t="s">
        <v>47</v>
      </c>
      <c r="C67" s="82" t="s">
        <v>110</v>
      </c>
      <c r="D67" s="44"/>
      <c r="E67" s="44"/>
      <c r="F67" s="44">
        <v>6323720.54</v>
      </c>
      <c r="G67" s="44">
        <v>45517856.840000004</v>
      </c>
      <c r="H67" s="44"/>
      <c r="I67" s="44"/>
      <c r="J67" s="44">
        <v>51841577.380000003</v>
      </c>
      <c r="K67" s="44">
        <v>374859.22</v>
      </c>
      <c r="L67" s="44">
        <v>60543.01</v>
      </c>
      <c r="M67" s="193">
        <v>314316.21000000002</v>
      </c>
      <c r="N67" s="44">
        <v>54236514.520000003</v>
      </c>
      <c r="O67" s="44">
        <v>43370.91</v>
      </c>
      <c r="P67" s="54">
        <v>53610396</v>
      </c>
      <c r="Q67" s="47">
        <f t="shared" si="26"/>
        <v>1.3913938214330369E-4</v>
      </c>
      <c r="R67" s="54">
        <v>54279885.43</v>
      </c>
      <c r="S67" s="47">
        <f t="shared" si="27"/>
        <v>1.3388135038329933E-4</v>
      </c>
      <c r="T67" s="48">
        <f>((R67-P67)/P67)</f>
        <v>1.2488052317315465E-2</v>
      </c>
      <c r="U67" s="84">
        <f>(L67/R67)</f>
        <v>1.115385736730727E-3</v>
      </c>
      <c r="V67" s="49">
        <f>M67/R67</f>
        <v>5.790657211414826E-3</v>
      </c>
      <c r="W67" s="50">
        <f>R67/AB67</f>
        <v>11.609024309493648</v>
      </c>
      <c r="X67" s="50">
        <f>M67/AB67</f>
        <v>6.7223880335259417E-2</v>
      </c>
      <c r="Y67" s="101">
        <v>11.542</v>
      </c>
      <c r="Z67" s="101">
        <v>11.5221</v>
      </c>
      <c r="AA67" s="189">
        <v>47</v>
      </c>
      <c r="AB67" s="190">
        <v>4675663</v>
      </c>
      <c r="AC67" s="13"/>
      <c r="AD67" s="4"/>
      <c r="AE67" s="4"/>
      <c r="AF67" s="4"/>
      <c r="AG67" s="5"/>
      <c r="AH67" s="6"/>
      <c r="AI67" s="6"/>
      <c r="AJ67" s="6"/>
      <c r="AK67" s="7"/>
      <c r="AL67" s="5"/>
      <c r="AM67" s="6"/>
      <c r="AN67" s="6"/>
      <c r="AO67" s="6"/>
      <c r="AP67" s="7"/>
      <c r="AQ67" s="5"/>
      <c r="AR67" s="6"/>
      <c r="AS67" s="6"/>
      <c r="AT67" s="6"/>
      <c r="AU67" s="7"/>
      <c r="AV67" s="31"/>
      <c r="AW67" s="31"/>
      <c r="AX67" s="31"/>
      <c r="AY67" s="31"/>
      <c r="AZ67" s="31"/>
      <c r="BA67" s="31"/>
      <c r="BB67" s="31"/>
      <c r="BC67" s="31"/>
      <c r="BD67" s="31"/>
      <c r="BE67" s="31"/>
      <c r="BF67" s="31"/>
      <c r="BG67" s="31"/>
      <c r="BH67" s="31"/>
      <c r="BI67" s="31"/>
      <c r="BJ67" s="31"/>
      <c r="BK67" s="31"/>
      <c r="BL67" s="31"/>
      <c r="BM67" s="31"/>
      <c r="BN67" s="31"/>
      <c r="BO67" s="31"/>
      <c r="BP67" s="31"/>
      <c r="BQ67" s="31"/>
      <c r="BR67" s="31"/>
      <c r="BS67" s="31"/>
      <c r="BT67" s="31"/>
      <c r="BU67" s="31"/>
      <c r="BV67" s="31"/>
      <c r="BW67" s="31"/>
      <c r="BX67" s="31"/>
      <c r="BY67" s="31"/>
      <c r="BZ67" s="31"/>
      <c r="CA67" s="31"/>
      <c r="CB67" s="31"/>
      <c r="CC67" s="31"/>
      <c r="CD67" s="31"/>
      <c r="CE67" s="31"/>
      <c r="CF67" s="31"/>
      <c r="CG67" s="31"/>
      <c r="CH67" s="31"/>
      <c r="CI67" s="31"/>
      <c r="CJ67" s="31"/>
      <c r="CK67" s="31"/>
      <c r="CL67" s="31"/>
      <c r="CM67" s="31"/>
      <c r="CN67" s="31"/>
      <c r="CO67" s="31"/>
      <c r="CP67" s="31"/>
      <c r="CQ67" s="31"/>
      <c r="CR67" s="31"/>
      <c r="CS67" s="31"/>
      <c r="CT67" s="31"/>
      <c r="CU67" s="31"/>
      <c r="CV67" s="31"/>
      <c r="CW67" s="31"/>
      <c r="CX67" s="31"/>
      <c r="CY67" s="31"/>
      <c r="CZ67" s="31"/>
      <c r="DA67" s="31"/>
      <c r="DB67" s="31"/>
      <c r="DC67" s="31"/>
      <c r="DD67" s="31"/>
      <c r="DE67" s="31"/>
      <c r="DF67" s="31"/>
      <c r="DG67" s="31"/>
      <c r="DH67" s="31"/>
      <c r="DI67" s="31"/>
      <c r="DJ67" s="31"/>
      <c r="DK67" s="31"/>
      <c r="DL67" s="31"/>
      <c r="DM67" s="31"/>
      <c r="DN67" s="31"/>
      <c r="DO67" s="31"/>
      <c r="DP67" s="31"/>
      <c r="DQ67" s="31"/>
      <c r="DR67" s="31"/>
      <c r="DS67" s="31"/>
      <c r="DT67" s="31"/>
      <c r="DU67" s="31"/>
      <c r="DV67" s="31"/>
      <c r="DW67" s="31"/>
      <c r="DX67" s="31"/>
      <c r="DY67" s="31"/>
      <c r="DZ67" s="31"/>
      <c r="EA67" s="31"/>
      <c r="EB67" s="31"/>
      <c r="EC67" s="31"/>
      <c r="ED67" s="31"/>
      <c r="EE67" s="31"/>
      <c r="EF67" s="31"/>
      <c r="EG67" s="31"/>
      <c r="EH67" s="31"/>
      <c r="EI67" s="31"/>
      <c r="EJ67" s="31"/>
      <c r="EK67" s="31"/>
      <c r="EL67" s="31"/>
      <c r="EM67" s="31"/>
      <c r="EN67" s="31"/>
      <c r="EO67" s="31"/>
      <c r="EP67" s="31"/>
      <c r="EQ67" s="31"/>
      <c r="ER67" s="31"/>
      <c r="ES67" s="31"/>
      <c r="ET67" s="31"/>
      <c r="EU67" s="31"/>
      <c r="EV67" s="31"/>
      <c r="EW67" s="31"/>
      <c r="EX67" s="31"/>
      <c r="EY67" s="31"/>
      <c r="EZ67" s="31"/>
      <c r="FA67" s="31"/>
      <c r="FB67" s="31"/>
      <c r="FC67" s="31"/>
      <c r="FD67" s="31"/>
      <c r="FE67" s="31"/>
      <c r="FF67" s="31"/>
      <c r="FG67" s="31"/>
      <c r="FH67" s="31"/>
      <c r="FI67" s="31"/>
      <c r="FJ67" s="31"/>
      <c r="FK67" s="31"/>
      <c r="FL67" s="31"/>
      <c r="FM67" s="31"/>
      <c r="FN67" s="31"/>
      <c r="FO67" s="31"/>
      <c r="FP67" s="31"/>
      <c r="FQ67" s="31"/>
      <c r="FR67" s="31"/>
      <c r="FS67" s="31"/>
      <c r="FT67" s="31"/>
      <c r="FU67" s="31"/>
      <c r="FV67" s="31"/>
      <c r="FW67" s="31"/>
      <c r="FX67" s="31"/>
      <c r="FY67" s="31"/>
      <c r="FZ67" s="31"/>
      <c r="GA67" s="31"/>
      <c r="GB67" s="31"/>
      <c r="GC67" s="31"/>
      <c r="GD67" s="31"/>
      <c r="GE67" s="31"/>
      <c r="GF67" s="31"/>
      <c r="GG67" s="31"/>
      <c r="GH67" s="31"/>
      <c r="GI67" s="31"/>
      <c r="GJ67" s="31"/>
      <c r="GK67" s="31"/>
      <c r="GL67" s="31"/>
      <c r="GM67" s="31"/>
      <c r="GN67" s="31"/>
      <c r="GO67" s="31"/>
      <c r="GP67" s="31"/>
      <c r="GQ67" s="31"/>
      <c r="GR67" s="31"/>
      <c r="GS67" s="31"/>
      <c r="GT67" s="31"/>
      <c r="GU67" s="31"/>
      <c r="GV67" s="31"/>
      <c r="GW67" s="31"/>
      <c r="GX67" s="31"/>
      <c r="GY67" s="31"/>
      <c r="GZ67" s="31"/>
      <c r="HA67" s="31"/>
      <c r="HB67" s="31"/>
      <c r="HC67" s="31"/>
      <c r="HD67" s="31"/>
      <c r="HE67" s="31"/>
      <c r="HF67" s="31"/>
      <c r="HG67" s="31"/>
      <c r="HH67" s="31"/>
      <c r="HI67" s="31"/>
      <c r="HJ67" s="31"/>
      <c r="HK67" s="31"/>
      <c r="HL67" s="31"/>
      <c r="HM67" s="31"/>
      <c r="HN67" s="31"/>
      <c r="HO67" s="31"/>
      <c r="HP67" s="31"/>
      <c r="HQ67" s="31"/>
      <c r="HR67" s="31"/>
      <c r="HS67" s="31"/>
      <c r="HT67" s="31"/>
      <c r="HU67" s="31"/>
      <c r="HV67" s="31"/>
      <c r="HW67" s="31"/>
      <c r="HX67" s="31"/>
      <c r="HY67" s="31"/>
      <c r="HZ67" s="31"/>
      <c r="IA67" s="31"/>
      <c r="IB67" s="31"/>
      <c r="IC67" s="31"/>
      <c r="ID67" s="31"/>
      <c r="IE67" s="31"/>
      <c r="IF67" s="31"/>
      <c r="IG67" s="31"/>
      <c r="IH67" s="31"/>
      <c r="II67" s="31"/>
      <c r="IJ67" s="31"/>
      <c r="IK67" s="31"/>
      <c r="IL67" s="31"/>
      <c r="IM67" s="31"/>
      <c r="IN67" s="31"/>
      <c r="IO67" s="31"/>
      <c r="IP67" s="31"/>
      <c r="IQ67" s="31"/>
      <c r="IR67" s="31"/>
      <c r="IS67" s="31"/>
      <c r="IT67" s="31"/>
      <c r="IU67" s="31"/>
      <c r="IV67" s="31"/>
      <c r="IW67" s="31"/>
    </row>
    <row r="68" spans="1:257" ht="16.5" customHeight="1">
      <c r="A68" s="217">
        <v>61</v>
      </c>
      <c r="B68" s="83" t="s">
        <v>109</v>
      </c>
      <c r="C68" s="82" t="s">
        <v>204</v>
      </c>
      <c r="D68" s="44"/>
      <c r="E68" s="44"/>
      <c r="F68" s="44">
        <v>7567554754.29</v>
      </c>
      <c r="G68" s="44">
        <v>4288141312.8499999</v>
      </c>
      <c r="H68" s="44"/>
      <c r="I68" s="44"/>
      <c r="J68" s="44">
        <v>11871693205.719999</v>
      </c>
      <c r="K68" s="44">
        <v>136692601.44999999</v>
      </c>
      <c r="L68" s="44">
        <v>31561273.199999999</v>
      </c>
      <c r="M68" s="193">
        <v>105131328.25</v>
      </c>
      <c r="N68" s="44">
        <v>14371396535.73</v>
      </c>
      <c r="O68" s="44">
        <v>274019749.14999998</v>
      </c>
      <c r="P68" s="54">
        <v>13888645322</v>
      </c>
      <c r="Q68" s="47">
        <f t="shared" si="26"/>
        <v>3.6046320734332296E-2</v>
      </c>
      <c r="R68" s="54">
        <v>14097376786.58</v>
      </c>
      <c r="S68" s="47">
        <f t="shared" si="27"/>
        <v>3.4771183212674431E-2</v>
      </c>
      <c r="T68" s="48">
        <f t="shared" si="37"/>
        <v>1.5028929009322707E-2</v>
      </c>
      <c r="U68" s="84">
        <f t="shared" si="33"/>
        <v>2.238804685283347E-3</v>
      </c>
      <c r="V68" s="49">
        <f t="shared" si="34"/>
        <v>7.4575099922192462E-3</v>
      </c>
      <c r="W68" s="50">
        <f t="shared" si="35"/>
        <v>1158.474101506793</v>
      </c>
      <c r="X68" s="50">
        <f t="shared" si="36"/>
        <v>8.6393321877141229</v>
      </c>
      <c r="Y68" s="101">
        <v>1159.52</v>
      </c>
      <c r="Z68" s="101">
        <v>1159.52</v>
      </c>
      <c r="AA68" s="189">
        <v>5469</v>
      </c>
      <c r="AB68" s="190">
        <v>12168918.380000001</v>
      </c>
      <c r="AC68" s="13"/>
      <c r="AD68" s="4"/>
      <c r="AE68" s="4"/>
      <c r="AF68" s="4"/>
      <c r="AG68" s="5"/>
      <c r="AH68" s="6"/>
      <c r="AI68" s="6"/>
      <c r="AJ68" s="6"/>
      <c r="AK68" s="7"/>
      <c r="AL68" s="5"/>
      <c r="AM68" s="6"/>
      <c r="AN68" s="6"/>
      <c r="AO68" s="6"/>
      <c r="AP68" s="7"/>
      <c r="AQ68" s="5"/>
      <c r="AR68" s="6"/>
      <c r="AS68" s="6"/>
      <c r="AT68" s="6"/>
      <c r="AU68" s="7"/>
    </row>
    <row r="69" spans="1:257" ht="18.75" customHeight="1">
      <c r="A69" s="217">
        <v>62</v>
      </c>
      <c r="B69" s="83" t="s">
        <v>79</v>
      </c>
      <c r="C69" s="83" t="s">
        <v>151</v>
      </c>
      <c r="D69" s="44"/>
      <c r="E69" s="44"/>
      <c r="F69" s="44"/>
      <c r="G69" s="44">
        <v>15000000</v>
      </c>
      <c r="H69" s="44"/>
      <c r="I69" s="44"/>
      <c r="J69" s="44">
        <v>25753645.870000001</v>
      </c>
      <c r="K69" s="44">
        <v>198885.3</v>
      </c>
      <c r="L69" s="44">
        <v>154611.79999999999</v>
      </c>
      <c r="M69" s="193">
        <v>44243.5</v>
      </c>
      <c r="N69" s="44">
        <v>25933023.27</v>
      </c>
      <c r="O69" s="44">
        <v>1895163.75</v>
      </c>
      <c r="P69" s="54">
        <v>20612717.149999999</v>
      </c>
      <c r="Q69" s="47">
        <f t="shared" si="26"/>
        <v>5.3497846360726003E-5</v>
      </c>
      <c r="R69" s="54">
        <v>24037859.52</v>
      </c>
      <c r="S69" s="47">
        <f t="shared" si="27"/>
        <v>5.9289386249937919E-5</v>
      </c>
      <c r="T69" s="48">
        <f t="shared" si="37"/>
        <v>0.16616646631664478</v>
      </c>
      <c r="U69" s="84">
        <f t="shared" si="33"/>
        <v>6.4320119631017794E-3</v>
      </c>
      <c r="V69" s="49">
        <f t="shared" si="34"/>
        <v>1.8405756953188152E-3</v>
      </c>
      <c r="W69" s="50">
        <f t="shared" si="35"/>
        <v>0.90091640126806649</v>
      </c>
      <c r="X69" s="50">
        <f t="shared" si="36"/>
        <v>1.6582048316880964E-3</v>
      </c>
      <c r="Y69" s="101">
        <v>0.89090000000000003</v>
      </c>
      <c r="Z69" s="101">
        <v>0.91090000000000004</v>
      </c>
      <c r="AA69" s="189">
        <v>751</v>
      </c>
      <c r="AB69" s="190">
        <v>26681565</v>
      </c>
      <c r="AC69" s="37"/>
      <c r="AD69" s="33"/>
      <c r="AE69" s="34"/>
      <c r="AF69" s="4"/>
      <c r="AG69" s="5"/>
      <c r="AH69" s="6"/>
      <c r="AI69" s="6"/>
      <c r="AJ69" s="6"/>
      <c r="AK69" s="7"/>
      <c r="AL69" s="5"/>
      <c r="AM69" s="6"/>
      <c r="AN69" s="6"/>
      <c r="AO69" s="6"/>
      <c r="AP69" s="7"/>
      <c r="AQ69" s="5"/>
      <c r="AR69" s="6"/>
      <c r="AS69" s="6"/>
      <c r="AT69" s="6"/>
      <c r="AU69" s="7"/>
    </row>
    <row r="70" spans="1:257" ht="16.5" customHeight="1">
      <c r="A70" s="217">
        <v>63</v>
      </c>
      <c r="B70" s="83" t="s">
        <v>71</v>
      </c>
      <c r="C70" s="83" t="s">
        <v>206</v>
      </c>
      <c r="D70" s="44"/>
      <c r="E70" s="44"/>
      <c r="F70" s="44">
        <v>113023983.40000001</v>
      </c>
      <c r="G70" s="44">
        <v>268276272.03</v>
      </c>
      <c r="H70" s="44"/>
      <c r="I70" s="44"/>
      <c r="J70" s="44">
        <v>435653442.54000002</v>
      </c>
      <c r="K70" s="44">
        <v>3587587.91</v>
      </c>
      <c r="L70" s="44">
        <v>768050.94</v>
      </c>
      <c r="M70" s="193">
        <v>2819536.97</v>
      </c>
      <c r="N70" s="44">
        <v>435653442.54000002</v>
      </c>
      <c r="O70" s="44">
        <v>768050.94</v>
      </c>
      <c r="P70" s="54">
        <v>431348328.49000001</v>
      </c>
      <c r="Q70" s="47">
        <f t="shared" si="26"/>
        <v>1.1195130868767581E-3</v>
      </c>
      <c r="R70" s="54">
        <v>434885391.60000002</v>
      </c>
      <c r="S70" s="47">
        <f t="shared" si="27"/>
        <v>1.0726449222974704E-3</v>
      </c>
      <c r="T70" s="48">
        <f>((R70-P70)/P70)</f>
        <v>8.2000158025001234E-3</v>
      </c>
      <c r="U70" s="84">
        <f t="shared" si="33"/>
        <v>1.7660996548406478E-3</v>
      </c>
      <c r="V70" s="49">
        <f t="shared" si="34"/>
        <v>6.4834023502756809E-3</v>
      </c>
      <c r="W70" s="50">
        <f t="shared" si="35"/>
        <v>1149.5993623989871</v>
      </c>
      <c r="X70" s="50">
        <f t="shared" si="36"/>
        <v>7.4533152080530174</v>
      </c>
      <c r="Y70" s="101">
        <v>1149.5999999999999</v>
      </c>
      <c r="Z70" s="101">
        <v>1154.53</v>
      </c>
      <c r="AA70" s="189">
        <v>103</v>
      </c>
      <c r="AB70" s="190">
        <v>378293</v>
      </c>
      <c r="AC70" s="13"/>
      <c r="AD70" s="4"/>
      <c r="AE70" s="4"/>
      <c r="AF70" s="4"/>
      <c r="AG70" s="5"/>
      <c r="AH70" s="6"/>
      <c r="AI70" s="6"/>
      <c r="AJ70" s="6"/>
      <c r="AK70" s="7"/>
      <c r="AL70" s="5"/>
      <c r="AM70" s="6"/>
      <c r="AN70" s="6"/>
      <c r="AO70" s="6"/>
      <c r="AP70" s="7"/>
      <c r="AQ70" s="5"/>
      <c r="AR70" s="6"/>
      <c r="AS70" s="6"/>
      <c r="AT70" s="6"/>
      <c r="AU70" s="7"/>
    </row>
    <row r="71" spans="1:257" ht="16.5" customHeight="1">
      <c r="A71" s="217">
        <v>64</v>
      </c>
      <c r="B71" s="83" t="s">
        <v>45</v>
      </c>
      <c r="C71" s="83" t="s">
        <v>112</v>
      </c>
      <c r="D71" s="44"/>
      <c r="E71" s="44"/>
      <c r="F71" s="44">
        <v>12795047.08</v>
      </c>
      <c r="G71" s="44">
        <v>155413386.05000001</v>
      </c>
      <c r="H71" s="44"/>
      <c r="I71" s="44"/>
      <c r="J71" s="44">
        <v>168208433.13</v>
      </c>
      <c r="K71" s="44">
        <v>1207384.32</v>
      </c>
      <c r="L71" s="44">
        <v>500212.93</v>
      </c>
      <c r="M71" s="193">
        <v>707171.39</v>
      </c>
      <c r="N71" s="44">
        <v>169337193.69999999</v>
      </c>
      <c r="O71" s="44">
        <v>5883485.7599999998</v>
      </c>
      <c r="P71" s="54">
        <v>183041223.13999999</v>
      </c>
      <c r="Q71" s="47">
        <f t="shared" si="26"/>
        <v>4.7506164092602827E-4</v>
      </c>
      <c r="R71" s="54">
        <v>163453707.94</v>
      </c>
      <c r="S71" s="47">
        <f t="shared" si="27"/>
        <v>4.0315860969135093E-4</v>
      </c>
      <c r="T71" s="48">
        <f t="shared" si="37"/>
        <v>-0.1070114964486354</v>
      </c>
      <c r="U71" s="84">
        <f t="shared" si="33"/>
        <v>3.0602727604296157E-3</v>
      </c>
      <c r="V71" s="49">
        <f t="shared" si="34"/>
        <v>4.3264322291152058E-3</v>
      </c>
      <c r="W71" s="50">
        <f t="shared" si="35"/>
        <v>135.46846230646744</v>
      </c>
      <c r="X71" s="50">
        <f t="shared" si="36"/>
        <v>0.5860951213513792</v>
      </c>
      <c r="Y71" s="188">
        <v>142.68</v>
      </c>
      <c r="Z71" s="188">
        <v>142.72999999999999</v>
      </c>
      <c r="AA71" s="189">
        <v>16</v>
      </c>
      <c r="AB71" s="190">
        <v>1206581.26</v>
      </c>
      <c r="AC71" s="13"/>
      <c r="AD71" s="4"/>
      <c r="AE71" s="4"/>
      <c r="AF71" s="4"/>
      <c r="AG71" s="5"/>
      <c r="AH71" s="6"/>
      <c r="AI71" s="6"/>
      <c r="AJ71" s="6"/>
      <c r="AK71" s="7"/>
      <c r="AL71" s="5"/>
      <c r="AM71" s="6"/>
      <c r="AN71" s="6"/>
      <c r="AO71" s="6"/>
      <c r="AP71" s="7"/>
      <c r="AQ71" s="5"/>
      <c r="AR71" s="6"/>
      <c r="AS71" s="6"/>
      <c r="AT71" s="6"/>
      <c r="AU71" s="7"/>
    </row>
    <row r="72" spans="1:257" ht="16.5" customHeight="1">
      <c r="A72" s="217">
        <v>65</v>
      </c>
      <c r="B72" s="82" t="s">
        <v>115</v>
      </c>
      <c r="C72" s="82" t="s">
        <v>116</v>
      </c>
      <c r="D72" s="44"/>
      <c r="E72" s="44"/>
      <c r="F72" s="44">
        <v>324941307.44</v>
      </c>
      <c r="G72" s="44">
        <v>324323295.75</v>
      </c>
      <c r="H72" s="44"/>
      <c r="I72" s="44"/>
      <c r="J72" s="44">
        <v>649555000.74000001</v>
      </c>
      <c r="K72" s="44">
        <v>12630815.85</v>
      </c>
      <c r="L72" s="44">
        <v>2499095.75</v>
      </c>
      <c r="M72" s="193">
        <v>10131720.1</v>
      </c>
      <c r="N72" s="44">
        <v>649555000.74000001</v>
      </c>
      <c r="O72" s="44">
        <v>8149297.7599999998</v>
      </c>
      <c r="P72" s="54">
        <v>671401188.27999997</v>
      </c>
      <c r="Q72" s="47">
        <f t="shared" si="26"/>
        <v>1.7425416239708268E-3</v>
      </c>
      <c r="R72" s="54">
        <v>641405702.98000002</v>
      </c>
      <c r="S72" s="47">
        <f t="shared" si="27"/>
        <v>1.5820273196643665E-3</v>
      </c>
      <c r="T72" s="48">
        <f t="shared" si="37"/>
        <v>-4.4675949080225173E-2</v>
      </c>
      <c r="U72" s="84">
        <f t="shared" si="33"/>
        <v>3.896279279072649E-3</v>
      </c>
      <c r="V72" s="49">
        <f t="shared" si="34"/>
        <v>1.5796117890638589E-2</v>
      </c>
      <c r="W72" s="50">
        <f t="shared" si="35"/>
        <v>184.64206685835552</v>
      </c>
      <c r="X72" s="50">
        <f t="shared" si="36"/>
        <v>2.9166278556657561</v>
      </c>
      <c r="Y72" s="188">
        <v>184.6421</v>
      </c>
      <c r="Z72" s="188">
        <v>186.988</v>
      </c>
      <c r="AA72" s="189">
        <v>428</v>
      </c>
      <c r="AB72" s="190">
        <v>3473778.83</v>
      </c>
      <c r="AC72" s="10"/>
      <c r="AD72" s="10"/>
      <c r="AE72" s="10"/>
      <c r="AF72" s="11"/>
      <c r="AG72" s="5"/>
      <c r="AH72" s="6"/>
      <c r="AI72" s="6"/>
      <c r="AJ72" s="6"/>
      <c r="AK72" s="7"/>
      <c r="AL72" s="5"/>
      <c r="AM72" s="6"/>
      <c r="AN72" s="6"/>
      <c r="AO72" s="6"/>
      <c r="AP72" s="7"/>
      <c r="AQ72" s="5"/>
      <c r="AR72" s="6"/>
      <c r="AS72" s="6"/>
      <c r="AT72" s="6"/>
      <c r="AU72" s="7"/>
    </row>
    <row r="73" spans="1:257" ht="16.5" customHeight="1">
      <c r="A73" s="217">
        <v>66</v>
      </c>
      <c r="B73" s="82" t="s">
        <v>73</v>
      </c>
      <c r="C73" s="82" t="s">
        <v>117</v>
      </c>
      <c r="D73" s="44"/>
      <c r="E73" s="44"/>
      <c r="F73" s="44">
        <v>44568111.509999998</v>
      </c>
      <c r="G73" s="44">
        <v>633432487.26999998</v>
      </c>
      <c r="H73" s="44"/>
      <c r="I73" s="44"/>
      <c r="J73" s="44">
        <v>678000598.77999997</v>
      </c>
      <c r="K73" s="44">
        <v>-47507696.409999996</v>
      </c>
      <c r="L73" s="44">
        <v>1665644.31</v>
      </c>
      <c r="M73" s="193">
        <v>31488777.75</v>
      </c>
      <c r="N73" s="44">
        <v>683971287.05999994</v>
      </c>
      <c r="O73" s="44">
        <v>4932560.25</v>
      </c>
      <c r="P73" s="54">
        <v>1086740062.71</v>
      </c>
      <c r="Q73" s="47">
        <f t="shared" si="26"/>
        <v>2.8205040842422527E-3</v>
      </c>
      <c r="R73" s="54">
        <v>679038727.10000002</v>
      </c>
      <c r="S73" s="47">
        <f t="shared" si="27"/>
        <v>1.6748491826487756E-3</v>
      </c>
      <c r="T73" s="48">
        <f t="shared" si="37"/>
        <v>-0.37515993897686678</v>
      </c>
      <c r="U73" s="84">
        <f t="shared" si="33"/>
        <v>2.4529444986349145E-3</v>
      </c>
      <c r="V73" s="49">
        <f t="shared" si="34"/>
        <v>4.6372580080197311E-2</v>
      </c>
      <c r="W73" s="50">
        <f t="shared" si="35"/>
        <v>1.4782052217134263</v>
      </c>
      <c r="X73" s="50">
        <f t="shared" si="36"/>
        <v>6.8548190018871691E-2</v>
      </c>
      <c r="Y73" s="188">
        <v>1.4782</v>
      </c>
      <c r="Z73" s="188">
        <v>1.4782</v>
      </c>
      <c r="AA73" s="189">
        <v>134</v>
      </c>
      <c r="AB73" s="190">
        <v>459367019.63</v>
      </c>
      <c r="AC73" s="25"/>
      <c r="AD73" s="12"/>
      <c r="AE73" s="12"/>
      <c r="AF73" s="12"/>
      <c r="AG73" s="5"/>
      <c r="AH73" s="6"/>
      <c r="AI73" s="6"/>
      <c r="AJ73" s="6"/>
      <c r="AK73" s="7"/>
      <c r="AL73" s="5"/>
      <c r="AM73" s="6"/>
      <c r="AN73" s="6"/>
      <c r="AO73" s="6"/>
      <c r="AP73" s="7"/>
      <c r="AQ73" s="5"/>
      <c r="AR73" s="6"/>
      <c r="AS73" s="6"/>
      <c r="AT73" s="6"/>
      <c r="AU73" s="7"/>
    </row>
    <row r="74" spans="1:257" ht="16.5" customHeight="1">
      <c r="A74" s="217">
        <v>67</v>
      </c>
      <c r="B74" s="83" t="s">
        <v>51</v>
      </c>
      <c r="C74" s="83" t="s">
        <v>119</v>
      </c>
      <c r="D74" s="44"/>
      <c r="E74" s="44"/>
      <c r="F74" s="44">
        <v>28948847.800000001</v>
      </c>
      <c r="G74" s="44">
        <v>367753768.69999999</v>
      </c>
      <c r="H74" s="44"/>
      <c r="I74" s="44"/>
      <c r="J74" s="44">
        <v>396702616.5</v>
      </c>
      <c r="K74" s="44">
        <v>3267241.39</v>
      </c>
      <c r="L74" s="44">
        <v>480750.21</v>
      </c>
      <c r="M74" s="193">
        <v>2786491.18</v>
      </c>
      <c r="N74" s="44">
        <v>398315770.77999997</v>
      </c>
      <c r="O74" s="44">
        <v>480750.21</v>
      </c>
      <c r="P74" s="54">
        <v>502776386.19</v>
      </c>
      <c r="Q74" s="47">
        <f t="shared" si="26"/>
        <v>1.3048960826687356E-3</v>
      </c>
      <c r="R74" s="54">
        <v>397835020.56999999</v>
      </c>
      <c r="S74" s="47">
        <f t="shared" si="27"/>
        <v>9.8126017329877168E-4</v>
      </c>
      <c r="T74" s="48">
        <f t="shared" si="37"/>
        <v>-0.20872373584455198</v>
      </c>
      <c r="U74" s="84">
        <f t="shared" si="33"/>
        <v>1.208416014535882E-3</v>
      </c>
      <c r="V74" s="49">
        <f t="shared" si="34"/>
        <v>7.0041374839440781E-3</v>
      </c>
      <c r="W74" s="50">
        <f t="shared" si="35"/>
        <v>1.153005528701031</v>
      </c>
      <c r="X74" s="50">
        <f t="shared" si="36"/>
        <v>8.0758092427696496E-3</v>
      </c>
      <c r="Y74" s="188">
        <v>1.1499999999999999</v>
      </c>
      <c r="Z74" s="188">
        <v>1.1499999999999999</v>
      </c>
      <c r="AA74" s="189">
        <v>170</v>
      </c>
      <c r="AB74" s="190">
        <v>345041728.48000002</v>
      </c>
      <c r="AC74" s="13"/>
      <c r="AD74" s="4"/>
      <c r="AE74" s="4"/>
      <c r="AF74" s="4"/>
      <c r="AG74" s="5"/>
      <c r="AH74" s="6"/>
      <c r="AI74" s="6"/>
      <c r="AJ74" s="6"/>
      <c r="AK74" s="7"/>
      <c r="AL74" s="5"/>
      <c r="AM74" s="6"/>
      <c r="AN74" s="6"/>
      <c r="AO74" s="6"/>
      <c r="AP74" s="7"/>
      <c r="AQ74" s="5"/>
      <c r="AR74" s="6"/>
      <c r="AS74" s="6"/>
      <c r="AT74" s="6"/>
      <c r="AU74" s="7"/>
    </row>
    <row r="75" spans="1:257" ht="16.5" customHeight="1">
      <c r="A75" s="217">
        <v>68</v>
      </c>
      <c r="B75" s="82" t="s">
        <v>36</v>
      </c>
      <c r="C75" s="83" t="s">
        <v>121</v>
      </c>
      <c r="D75" s="44"/>
      <c r="E75" s="44"/>
      <c r="F75" s="44"/>
      <c r="G75" s="44">
        <v>356128593.42000002</v>
      </c>
      <c r="H75" s="44"/>
      <c r="I75" s="44"/>
      <c r="J75" s="44">
        <v>356128593.42000002</v>
      </c>
      <c r="K75" s="44">
        <v>18814128.920000002</v>
      </c>
      <c r="L75" s="44">
        <v>5364357</v>
      </c>
      <c r="M75" s="193">
        <v>13449771.92</v>
      </c>
      <c r="N75" s="44">
        <v>1392539752</v>
      </c>
      <c r="O75" s="44">
        <v>5414907</v>
      </c>
      <c r="P75" s="54">
        <v>1425994526</v>
      </c>
      <c r="Q75" s="47">
        <f t="shared" si="26"/>
        <v>3.7009985393014672E-3</v>
      </c>
      <c r="R75" s="54">
        <v>1387124845</v>
      </c>
      <c r="S75" s="47">
        <f t="shared" si="27"/>
        <v>3.4213437616466389E-3</v>
      </c>
      <c r="T75" s="48">
        <f t="shared" si="37"/>
        <v>-2.7257945448803216E-2</v>
      </c>
      <c r="U75" s="84">
        <f t="shared" si="33"/>
        <v>3.8672488776596023E-3</v>
      </c>
      <c r="V75" s="49">
        <f t="shared" si="34"/>
        <v>9.6961509762302622E-3</v>
      </c>
      <c r="W75" s="50">
        <f t="shared" si="35"/>
        <v>1.1621159754080457</v>
      </c>
      <c r="X75" s="50">
        <f t="shared" si="36"/>
        <v>1.1268051949445504E-2</v>
      </c>
      <c r="Y75" s="188">
        <v>1.0232000000000001</v>
      </c>
      <c r="Z75" s="188">
        <v>1.0283</v>
      </c>
      <c r="AA75" s="189">
        <v>544</v>
      </c>
      <c r="AB75" s="190">
        <v>1193619978</v>
      </c>
      <c r="AC75" s="13"/>
      <c r="AD75" s="4"/>
      <c r="AE75" s="4"/>
      <c r="AF75" s="4"/>
      <c r="AG75" s="5"/>
      <c r="AH75" s="6"/>
      <c r="AI75" s="6"/>
      <c r="AJ75" s="6"/>
      <c r="AK75" s="7"/>
      <c r="AL75" s="5"/>
      <c r="AM75" s="6"/>
      <c r="AN75" s="6"/>
      <c r="AO75" s="6"/>
      <c r="AP75" s="7"/>
      <c r="AQ75" s="5"/>
      <c r="AR75" s="6"/>
      <c r="AS75" s="6"/>
      <c r="AT75" s="6"/>
      <c r="AU75" s="7"/>
    </row>
    <row r="76" spans="1:257" ht="16.5" customHeight="1">
      <c r="A76" s="217">
        <v>69</v>
      </c>
      <c r="B76" s="83" t="s">
        <v>24</v>
      </c>
      <c r="C76" s="83" t="s">
        <v>164</v>
      </c>
      <c r="D76" s="44"/>
      <c r="E76" s="44"/>
      <c r="F76" s="44">
        <v>11286678251.780001</v>
      </c>
      <c r="G76" s="44">
        <v>12918731949.67</v>
      </c>
      <c r="H76" s="44"/>
      <c r="I76" s="44"/>
      <c r="J76" s="44">
        <f>SUM(F76:G76)</f>
        <v>24205410201.450001</v>
      </c>
      <c r="K76" s="44">
        <v>158534286.94999999</v>
      </c>
      <c r="L76" s="44">
        <v>27974131.109999999</v>
      </c>
      <c r="M76" s="193">
        <v>130560155.84</v>
      </c>
      <c r="N76" s="44">
        <v>24913105667.290001</v>
      </c>
      <c r="O76" s="44">
        <v>58903656.82</v>
      </c>
      <c r="P76" s="54">
        <v>19780362497.060001</v>
      </c>
      <c r="Q76" s="47">
        <f t="shared" si="26"/>
        <v>5.1337569235853149E-2</v>
      </c>
      <c r="R76" s="54">
        <v>24854202010.470001</v>
      </c>
      <c r="S76" s="47">
        <f t="shared" si="27"/>
        <v>6.1302895197747599E-2</v>
      </c>
      <c r="T76" s="48">
        <f>((R76-P76)/P76)</f>
        <v>0.25650892465515412</v>
      </c>
      <c r="U76" s="84">
        <f>(L76/R76)</f>
        <v>1.1255292404163974E-3</v>
      </c>
      <c r="V76" s="49">
        <f>M76/R76</f>
        <v>5.2530415494732299E-3</v>
      </c>
      <c r="W76" s="50">
        <f>R76/AB76</f>
        <v>107.80352214846017</v>
      </c>
      <c r="X76" s="50">
        <f>M76/AB76</f>
        <v>0.5662963810254189</v>
      </c>
      <c r="Y76" s="188">
        <v>107.8</v>
      </c>
      <c r="Z76" s="188">
        <v>107.8</v>
      </c>
      <c r="AA76" s="189">
        <v>1754</v>
      </c>
      <c r="AB76" s="190">
        <v>230550927.41999999</v>
      </c>
      <c r="AC76" s="41"/>
      <c r="AD76" s="6"/>
      <c r="AE76" s="6"/>
      <c r="AF76" s="6"/>
      <c r="AG76" s="32"/>
      <c r="AH76" s="6"/>
      <c r="AI76" s="6"/>
      <c r="AJ76" s="6"/>
      <c r="AK76" s="7"/>
      <c r="AL76" s="5"/>
      <c r="AM76" s="6"/>
      <c r="AN76" s="6"/>
      <c r="AO76" s="6"/>
      <c r="AP76" s="7"/>
      <c r="AQ76" s="5"/>
      <c r="AR76" s="6"/>
      <c r="AS76" s="6"/>
      <c r="AT76" s="6"/>
      <c r="AU76" s="7"/>
      <c r="AV76" s="31"/>
      <c r="AW76" s="31"/>
      <c r="AX76" s="31"/>
      <c r="AY76" s="31"/>
      <c r="AZ76" s="31"/>
      <c r="BA76" s="31"/>
      <c r="BB76" s="31"/>
      <c r="BC76" s="31"/>
      <c r="BD76" s="31"/>
      <c r="BE76" s="31"/>
      <c r="BF76" s="31"/>
      <c r="BG76" s="31"/>
      <c r="BH76" s="31"/>
      <c r="BI76" s="31"/>
      <c r="BJ76" s="31"/>
      <c r="BK76" s="31"/>
      <c r="BL76" s="31"/>
      <c r="BM76" s="31"/>
      <c r="BN76" s="31"/>
      <c r="BO76" s="31"/>
      <c r="BP76" s="31"/>
      <c r="BQ76" s="31"/>
      <c r="BR76" s="31"/>
      <c r="BS76" s="31"/>
      <c r="BT76" s="31"/>
      <c r="BU76" s="31"/>
      <c r="BV76" s="31"/>
      <c r="BW76" s="31"/>
      <c r="BX76" s="31"/>
      <c r="BY76" s="31"/>
      <c r="BZ76" s="31"/>
      <c r="CA76" s="31"/>
      <c r="CB76" s="31"/>
      <c r="CC76" s="31"/>
      <c r="CD76" s="31"/>
      <c r="CE76" s="31"/>
      <c r="CF76" s="31"/>
      <c r="CG76" s="31"/>
      <c r="CH76" s="31"/>
      <c r="CI76" s="31"/>
      <c r="CJ76" s="31"/>
      <c r="CK76" s="31"/>
      <c r="CL76" s="31"/>
      <c r="CM76" s="31"/>
      <c r="CN76" s="31"/>
      <c r="CO76" s="31"/>
      <c r="CP76" s="31"/>
      <c r="CQ76" s="31"/>
      <c r="CR76" s="31"/>
      <c r="CS76" s="31"/>
      <c r="CT76" s="31"/>
      <c r="CU76" s="31"/>
      <c r="CV76" s="31"/>
      <c r="CW76" s="31"/>
      <c r="CX76" s="31"/>
      <c r="CY76" s="31"/>
      <c r="CZ76" s="31"/>
      <c r="DA76" s="31"/>
      <c r="DB76" s="31"/>
      <c r="DC76" s="31"/>
      <c r="DD76" s="31"/>
      <c r="DE76" s="31"/>
      <c r="DF76" s="31"/>
      <c r="DG76" s="31"/>
      <c r="DH76" s="31"/>
      <c r="DI76" s="31"/>
      <c r="DJ76" s="31"/>
      <c r="DK76" s="31"/>
      <c r="DL76" s="31"/>
      <c r="DM76" s="31"/>
      <c r="DN76" s="31"/>
      <c r="DO76" s="31"/>
      <c r="DP76" s="31"/>
      <c r="DQ76" s="31"/>
      <c r="DR76" s="31"/>
      <c r="DS76" s="31"/>
      <c r="DT76" s="31"/>
      <c r="DU76" s="31"/>
      <c r="DV76" s="31"/>
      <c r="DW76" s="31"/>
      <c r="DX76" s="31"/>
      <c r="DY76" s="31"/>
      <c r="DZ76" s="31"/>
      <c r="EA76" s="31"/>
      <c r="EB76" s="31"/>
      <c r="EC76" s="31"/>
      <c r="ED76" s="31"/>
      <c r="EE76" s="31"/>
      <c r="EF76" s="31"/>
      <c r="EG76" s="31"/>
      <c r="EH76" s="31"/>
      <c r="EI76" s="31"/>
      <c r="EJ76" s="31"/>
      <c r="EK76" s="31"/>
      <c r="EL76" s="31"/>
      <c r="EM76" s="31"/>
      <c r="EN76" s="31"/>
      <c r="EO76" s="31"/>
      <c r="EP76" s="31"/>
      <c r="EQ76" s="31"/>
      <c r="ER76" s="31"/>
      <c r="ES76" s="31"/>
      <c r="ET76" s="31"/>
      <c r="EU76" s="31"/>
      <c r="EV76" s="31"/>
      <c r="EW76" s="31"/>
      <c r="EX76" s="31"/>
      <c r="EY76" s="31"/>
      <c r="EZ76" s="31"/>
      <c r="FA76" s="31"/>
      <c r="FB76" s="31"/>
      <c r="FC76" s="31"/>
      <c r="FD76" s="31"/>
      <c r="FE76" s="31"/>
      <c r="FF76" s="31"/>
      <c r="FG76" s="31"/>
      <c r="FH76" s="31"/>
      <c r="FI76" s="31"/>
      <c r="FJ76" s="31"/>
      <c r="FK76" s="31"/>
      <c r="FL76" s="31"/>
      <c r="FM76" s="31"/>
      <c r="FN76" s="31"/>
      <c r="FO76" s="31"/>
      <c r="FP76" s="31"/>
      <c r="FQ76" s="31"/>
      <c r="FR76" s="31"/>
      <c r="FS76" s="31"/>
      <c r="FT76" s="31"/>
      <c r="FU76" s="31"/>
      <c r="FV76" s="31"/>
      <c r="FW76" s="31"/>
      <c r="FX76" s="31"/>
      <c r="FY76" s="31"/>
      <c r="FZ76" s="31"/>
      <c r="GA76" s="31"/>
      <c r="GB76" s="31"/>
      <c r="GC76" s="31"/>
      <c r="GD76" s="31"/>
      <c r="GE76" s="31"/>
      <c r="GF76" s="31"/>
      <c r="GG76" s="31"/>
      <c r="GH76" s="31"/>
      <c r="GI76" s="31"/>
      <c r="GJ76" s="31"/>
      <c r="GK76" s="31"/>
      <c r="GL76" s="31"/>
      <c r="GM76" s="31"/>
      <c r="GN76" s="31"/>
      <c r="GO76" s="31"/>
      <c r="GP76" s="31"/>
      <c r="GQ76" s="31"/>
      <c r="GR76" s="31"/>
      <c r="GS76" s="31"/>
      <c r="GT76" s="31"/>
      <c r="GU76" s="31"/>
      <c r="GV76" s="31"/>
      <c r="GW76" s="31"/>
      <c r="GX76" s="31"/>
      <c r="GY76" s="31"/>
      <c r="GZ76" s="31"/>
      <c r="HA76" s="31"/>
      <c r="HB76" s="31"/>
      <c r="HC76" s="31"/>
      <c r="HD76" s="31"/>
      <c r="HE76" s="31"/>
      <c r="HF76" s="31"/>
      <c r="HG76" s="31"/>
      <c r="HH76" s="31"/>
      <c r="HI76" s="31"/>
      <c r="HJ76" s="31"/>
      <c r="HK76" s="31"/>
      <c r="HL76" s="31"/>
      <c r="HM76" s="31"/>
      <c r="HN76" s="31"/>
      <c r="HO76" s="31"/>
      <c r="HP76" s="31"/>
      <c r="HQ76" s="31"/>
      <c r="HR76" s="31"/>
      <c r="HS76" s="31"/>
      <c r="HT76" s="31"/>
      <c r="HU76" s="31"/>
      <c r="HV76" s="31"/>
      <c r="HW76" s="31"/>
      <c r="HX76" s="31"/>
      <c r="HY76" s="31"/>
      <c r="HZ76" s="31"/>
      <c r="IA76" s="31"/>
      <c r="IB76" s="31"/>
      <c r="IC76" s="31"/>
      <c r="ID76" s="31"/>
      <c r="IE76" s="31"/>
      <c r="IF76" s="31"/>
      <c r="IG76" s="31"/>
      <c r="IH76" s="31"/>
      <c r="II76" s="31"/>
      <c r="IJ76" s="31"/>
      <c r="IK76" s="31"/>
      <c r="IL76" s="31"/>
      <c r="IM76" s="31"/>
      <c r="IN76" s="31"/>
      <c r="IO76" s="31"/>
      <c r="IP76" s="31"/>
      <c r="IQ76" s="31"/>
      <c r="IR76" s="31"/>
      <c r="IS76" s="31"/>
      <c r="IT76" s="31"/>
      <c r="IU76" s="31"/>
      <c r="IV76" s="31"/>
      <c r="IW76" s="31"/>
    </row>
    <row r="77" spans="1:257" ht="16.5" customHeight="1">
      <c r="A77" s="217">
        <v>70</v>
      </c>
      <c r="B77" s="82" t="s">
        <v>122</v>
      </c>
      <c r="C77" s="83" t="s">
        <v>153</v>
      </c>
      <c r="D77" s="44"/>
      <c r="E77" s="44"/>
      <c r="F77" s="44"/>
      <c r="G77" s="44">
        <v>285642525.5</v>
      </c>
      <c r="H77" s="44"/>
      <c r="I77" s="44"/>
      <c r="J77" s="44">
        <v>285642525.5</v>
      </c>
      <c r="K77" s="44">
        <v>13480186.84</v>
      </c>
      <c r="L77" s="44">
        <v>446719.18</v>
      </c>
      <c r="M77" s="193">
        <v>13033467.66</v>
      </c>
      <c r="N77" s="44">
        <v>311603053.87</v>
      </c>
      <c r="O77" s="78">
        <v>6498357.1699999999</v>
      </c>
      <c r="P77" s="54">
        <v>304760280.43000001</v>
      </c>
      <c r="Q77" s="47">
        <f t="shared" si="26"/>
        <v>7.9096892178991129E-4</v>
      </c>
      <c r="R77" s="54">
        <v>305104696.69999999</v>
      </c>
      <c r="S77" s="47">
        <f t="shared" si="27"/>
        <v>7.5254080731546177E-4</v>
      </c>
      <c r="T77" s="48">
        <f>((R77-P77)/P77)</f>
        <v>1.130121909305335E-3</v>
      </c>
      <c r="U77" s="84">
        <f>(L77/R77)</f>
        <v>1.4641504533745187E-3</v>
      </c>
      <c r="V77" s="49">
        <f>M77/R77</f>
        <v>4.2718017129757285E-2</v>
      </c>
      <c r="W77" s="50">
        <f>R77/AB77</f>
        <v>1081.0115387613378</v>
      </c>
      <c r="X77" s="50">
        <f>M77/AB77</f>
        <v>46.178669430272109</v>
      </c>
      <c r="Y77" s="101">
        <v>1081.01</v>
      </c>
      <c r="Z77" s="101">
        <v>1081.01</v>
      </c>
      <c r="AA77" s="189">
        <v>124</v>
      </c>
      <c r="AB77" s="190">
        <v>282240</v>
      </c>
      <c r="AC77" s="41"/>
      <c r="AD77" s="6"/>
      <c r="AE77" s="6"/>
      <c r="AF77" s="6"/>
      <c r="AG77" s="32"/>
      <c r="AH77" s="6"/>
      <c r="AI77" s="6"/>
      <c r="AJ77" s="6"/>
      <c r="AK77" s="7"/>
      <c r="AL77" s="5"/>
      <c r="AM77" s="6"/>
      <c r="AN77" s="6"/>
      <c r="AO77" s="6"/>
      <c r="AP77" s="7"/>
      <c r="AQ77" s="5"/>
      <c r="AR77" s="6"/>
      <c r="AS77" s="6"/>
      <c r="AT77" s="6"/>
      <c r="AU77" s="7"/>
      <c r="AV77" s="31"/>
      <c r="AW77" s="31"/>
      <c r="AX77" s="31"/>
      <c r="AY77" s="31"/>
      <c r="AZ77" s="31"/>
      <c r="BA77" s="31"/>
      <c r="BB77" s="31"/>
      <c r="BC77" s="31"/>
      <c r="BD77" s="31"/>
      <c r="BE77" s="31"/>
      <c r="BF77" s="31"/>
      <c r="BG77" s="31"/>
      <c r="BH77" s="31"/>
      <c r="BI77" s="31"/>
      <c r="BJ77" s="31"/>
      <c r="BK77" s="31"/>
      <c r="BL77" s="31"/>
      <c r="BM77" s="31"/>
      <c r="BN77" s="31"/>
      <c r="BO77" s="31"/>
      <c r="BP77" s="31"/>
      <c r="BQ77" s="31"/>
      <c r="BR77" s="31"/>
      <c r="BS77" s="31"/>
      <c r="BT77" s="31"/>
      <c r="BU77" s="31"/>
      <c r="BV77" s="31"/>
      <c r="BW77" s="31"/>
      <c r="BX77" s="31"/>
      <c r="BY77" s="31"/>
      <c r="BZ77" s="31"/>
      <c r="CA77" s="31"/>
      <c r="CB77" s="31"/>
      <c r="CC77" s="31"/>
      <c r="CD77" s="31"/>
      <c r="CE77" s="31"/>
      <c r="CF77" s="31"/>
      <c r="CG77" s="31"/>
      <c r="CH77" s="31"/>
      <c r="CI77" s="31"/>
      <c r="CJ77" s="31"/>
      <c r="CK77" s="31"/>
      <c r="CL77" s="31"/>
      <c r="CM77" s="31"/>
      <c r="CN77" s="31"/>
      <c r="CO77" s="31"/>
      <c r="CP77" s="31"/>
      <c r="CQ77" s="31"/>
      <c r="CR77" s="31"/>
      <c r="CS77" s="31"/>
      <c r="CT77" s="31"/>
      <c r="CU77" s="31"/>
      <c r="CV77" s="31"/>
      <c r="CW77" s="31"/>
      <c r="CX77" s="31"/>
      <c r="CY77" s="31"/>
      <c r="CZ77" s="31"/>
      <c r="DA77" s="31"/>
      <c r="DB77" s="31"/>
      <c r="DC77" s="31"/>
      <c r="DD77" s="31"/>
      <c r="DE77" s="31"/>
      <c r="DF77" s="31"/>
      <c r="DG77" s="31"/>
      <c r="DH77" s="31"/>
      <c r="DI77" s="31"/>
      <c r="DJ77" s="31"/>
      <c r="DK77" s="31"/>
      <c r="DL77" s="31"/>
      <c r="DM77" s="31"/>
      <c r="DN77" s="31"/>
      <c r="DO77" s="31"/>
      <c r="DP77" s="31"/>
      <c r="DQ77" s="31"/>
      <c r="DR77" s="31"/>
      <c r="DS77" s="31"/>
      <c r="DT77" s="31"/>
      <c r="DU77" s="31"/>
      <c r="DV77" s="31"/>
      <c r="DW77" s="31"/>
      <c r="DX77" s="31"/>
      <c r="DY77" s="31"/>
      <c r="DZ77" s="31"/>
      <c r="EA77" s="31"/>
      <c r="EB77" s="31"/>
      <c r="EC77" s="31"/>
      <c r="ED77" s="31"/>
      <c r="EE77" s="31"/>
      <c r="EF77" s="31"/>
      <c r="EG77" s="31"/>
      <c r="EH77" s="31"/>
      <c r="EI77" s="31"/>
      <c r="EJ77" s="31"/>
      <c r="EK77" s="31"/>
      <c r="EL77" s="31"/>
      <c r="EM77" s="31"/>
      <c r="EN77" s="31"/>
      <c r="EO77" s="31"/>
      <c r="EP77" s="31"/>
      <c r="EQ77" s="31"/>
      <c r="ER77" s="31"/>
      <c r="ES77" s="31"/>
      <c r="ET77" s="31"/>
      <c r="EU77" s="31"/>
      <c r="EV77" s="31"/>
      <c r="EW77" s="31"/>
      <c r="EX77" s="31"/>
      <c r="EY77" s="31"/>
      <c r="EZ77" s="31"/>
      <c r="FA77" s="31"/>
      <c r="FB77" s="31"/>
      <c r="FC77" s="31"/>
      <c r="FD77" s="31"/>
      <c r="FE77" s="31"/>
      <c r="FF77" s="31"/>
      <c r="FG77" s="31"/>
      <c r="FH77" s="31"/>
      <c r="FI77" s="31"/>
      <c r="FJ77" s="31"/>
      <c r="FK77" s="31"/>
      <c r="FL77" s="31"/>
      <c r="FM77" s="31"/>
      <c r="FN77" s="31"/>
      <c r="FO77" s="31"/>
      <c r="FP77" s="31"/>
      <c r="FQ77" s="31"/>
      <c r="FR77" s="31"/>
      <c r="FS77" s="31"/>
      <c r="FT77" s="31"/>
      <c r="FU77" s="31"/>
      <c r="FV77" s="31"/>
      <c r="FW77" s="31"/>
      <c r="FX77" s="31"/>
      <c r="FY77" s="31"/>
      <c r="FZ77" s="31"/>
      <c r="GA77" s="31"/>
      <c r="GB77" s="31"/>
      <c r="GC77" s="31"/>
      <c r="GD77" s="31"/>
      <c r="GE77" s="31"/>
      <c r="GF77" s="31"/>
      <c r="GG77" s="31"/>
      <c r="GH77" s="31"/>
      <c r="GI77" s="31"/>
      <c r="GJ77" s="31"/>
      <c r="GK77" s="31"/>
      <c r="GL77" s="31"/>
      <c r="GM77" s="31"/>
      <c r="GN77" s="31"/>
      <c r="GO77" s="31"/>
      <c r="GP77" s="31"/>
      <c r="GQ77" s="31"/>
      <c r="GR77" s="31"/>
      <c r="GS77" s="31"/>
      <c r="GT77" s="31"/>
      <c r="GU77" s="31"/>
      <c r="GV77" s="31"/>
      <c r="GW77" s="31"/>
      <c r="GX77" s="31"/>
      <c r="GY77" s="31"/>
      <c r="GZ77" s="31"/>
      <c r="HA77" s="31"/>
      <c r="HB77" s="31"/>
      <c r="HC77" s="31"/>
      <c r="HD77" s="31"/>
      <c r="HE77" s="31"/>
      <c r="HF77" s="31"/>
      <c r="HG77" s="31"/>
      <c r="HH77" s="31"/>
      <c r="HI77" s="31"/>
      <c r="HJ77" s="31"/>
      <c r="HK77" s="31"/>
      <c r="HL77" s="31"/>
      <c r="HM77" s="31"/>
      <c r="HN77" s="31"/>
      <c r="HO77" s="31"/>
      <c r="HP77" s="31"/>
      <c r="HQ77" s="31"/>
      <c r="HR77" s="31"/>
      <c r="HS77" s="31"/>
      <c r="HT77" s="31"/>
      <c r="HU77" s="31"/>
      <c r="HV77" s="31"/>
      <c r="HW77" s="31"/>
      <c r="HX77" s="31"/>
      <c r="HY77" s="31"/>
      <c r="HZ77" s="31"/>
      <c r="IA77" s="31"/>
      <c r="IB77" s="31"/>
      <c r="IC77" s="31"/>
      <c r="ID77" s="31"/>
      <c r="IE77" s="31"/>
      <c r="IF77" s="31"/>
      <c r="IG77" s="31"/>
      <c r="IH77" s="31"/>
      <c r="II77" s="31"/>
      <c r="IJ77" s="31"/>
      <c r="IK77" s="31"/>
      <c r="IL77" s="31"/>
      <c r="IM77" s="31"/>
      <c r="IN77" s="31"/>
      <c r="IO77" s="31"/>
      <c r="IP77" s="31"/>
      <c r="IQ77" s="31"/>
      <c r="IR77" s="31"/>
      <c r="IS77" s="31"/>
      <c r="IT77" s="31"/>
      <c r="IU77" s="31"/>
      <c r="IV77" s="31"/>
      <c r="IW77" s="31"/>
    </row>
    <row r="78" spans="1:257" ht="16.5" customHeight="1">
      <c r="A78" s="217">
        <v>71</v>
      </c>
      <c r="B78" s="82" t="s">
        <v>149</v>
      </c>
      <c r="C78" s="83" t="s">
        <v>150</v>
      </c>
      <c r="D78" s="44"/>
      <c r="E78" s="44"/>
      <c r="F78" s="44">
        <v>203232112.31</v>
      </c>
      <c r="G78" s="44">
        <v>1110482569.6600001</v>
      </c>
      <c r="H78" s="44"/>
      <c r="I78" s="44"/>
      <c r="J78" s="44">
        <v>1313714681.9656</v>
      </c>
      <c r="K78" s="44">
        <v>14523114.01</v>
      </c>
      <c r="L78" s="44">
        <v>2897389.44</v>
      </c>
      <c r="M78" s="193">
        <v>11625724.560000001</v>
      </c>
      <c r="N78" s="44">
        <v>1587666680.71</v>
      </c>
      <c r="O78" s="44">
        <v>4781356.1399999997</v>
      </c>
      <c r="P78" s="54">
        <v>1617633035.2</v>
      </c>
      <c r="Q78" s="47">
        <f t="shared" si="26"/>
        <v>4.1983734097454728E-3</v>
      </c>
      <c r="R78" s="54">
        <v>1582885324.5699999</v>
      </c>
      <c r="S78" s="47">
        <f t="shared" si="27"/>
        <v>3.9041870312831028E-3</v>
      </c>
      <c r="T78" s="48">
        <f t="shared" si="37"/>
        <v>-2.1480589153339093E-2</v>
      </c>
      <c r="U78" s="84">
        <f t="shared" si="33"/>
        <v>1.8304481032364696E-3</v>
      </c>
      <c r="V78" s="49">
        <f t="shared" si="34"/>
        <v>7.3446410675127062E-3</v>
      </c>
      <c r="W78" s="50" t="e">
        <f>R78/AB80</f>
        <v>#DIV/0!</v>
      </c>
      <c r="X78" s="50" t="e">
        <f>M78/AB80</f>
        <v>#DIV/0!</v>
      </c>
      <c r="Y78" s="188">
        <v>1.0223</v>
      </c>
      <c r="Z78" s="188">
        <v>1.0223</v>
      </c>
      <c r="AA78" s="189">
        <v>591</v>
      </c>
      <c r="AB78" s="245">
        <v>1547756244.77</v>
      </c>
      <c r="AC78" s="42"/>
      <c r="AD78" s="17"/>
      <c r="AE78" s="17"/>
      <c r="AF78" s="18"/>
      <c r="AG78" s="8"/>
      <c r="AH78" s="19"/>
      <c r="AI78" s="6"/>
      <c r="AJ78" s="6"/>
      <c r="AK78" s="7"/>
      <c r="AL78" s="5"/>
      <c r="AM78" s="6"/>
      <c r="AN78" s="6"/>
      <c r="AO78" s="6"/>
      <c r="AP78" s="7"/>
      <c r="AQ78" s="5"/>
      <c r="AR78" s="6"/>
      <c r="AS78" s="6"/>
      <c r="AT78" s="6"/>
      <c r="AU78" s="7"/>
    </row>
    <row r="79" spans="1:257" ht="16.5" customHeight="1">
      <c r="A79" s="217">
        <v>72</v>
      </c>
      <c r="B79" s="83" t="s">
        <v>30</v>
      </c>
      <c r="C79" s="83" t="s">
        <v>200</v>
      </c>
      <c r="D79" s="44"/>
      <c r="E79" s="44"/>
      <c r="F79" s="44">
        <v>56143287.670000002</v>
      </c>
      <c r="G79" s="44">
        <v>102200000</v>
      </c>
      <c r="H79" s="44"/>
      <c r="I79" s="207"/>
      <c r="J79" s="44">
        <v>159028718.09</v>
      </c>
      <c r="K79" s="44">
        <v>1073013.7</v>
      </c>
      <c r="L79" s="44">
        <v>262777.23</v>
      </c>
      <c r="M79" s="193">
        <v>810236.47</v>
      </c>
      <c r="N79" s="44">
        <v>159028718.09</v>
      </c>
      <c r="O79" s="44">
        <v>502628.96</v>
      </c>
      <c r="P79" s="54">
        <v>108035565.66</v>
      </c>
      <c r="Q79" s="47">
        <f t="shared" si="26"/>
        <v>2.803934120433417E-4</v>
      </c>
      <c r="R79" s="54">
        <v>158526089.13</v>
      </c>
      <c r="S79" s="47">
        <f t="shared" si="27"/>
        <v>3.9100463671902909E-4</v>
      </c>
      <c r="T79" s="48">
        <f t="shared" ref="T79" si="38">((R79-P79)/P79)</f>
        <v>0.46735094282654399</v>
      </c>
      <c r="U79" s="84">
        <f t="shared" ref="U79" si="39">(L79/R79)</f>
        <v>1.6576276589054587E-3</v>
      </c>
      <c r="V79" s="49">
        <f t="shared" ref="V79" si="40">M79/R79</f>
        <v>5.1110607373626819E-3</v>
      </c>
      <c r="W79" s="50">
        <f t="shared" ref="W79" si="41">R79/AB79</f>
        <v>102.60621499098703</v>
      </c>
      <c r="X79" s="50">
        <f t="shared" ref="X79" si="42">M79/AB79</f>
        <v>0.52442659684982795</v>
      </c>
      <c r="Y79" s="188">
        <v>102.6</v>
      </c>
      <c r="Z79" s="188">
        <v>102.6</v>
      </c>
      <c r="AA79" s="189">
        <v>52</v>
      </c>
      <c r="AB79" s="190">
        <v>1544995</v>
      </c>
      <c r="AC79" s="13"/>
      <c r="AD79" s="4"/>
      <c r="AE79" s="4"/>
      <c r="AF79" s="4"/>
      <c r="AG79" s="5"/>
      <c r="AH79" s="6"/>
      <c r="AI79" s="6"/>
      <c r="AJ79" s="6"/>
      <c r="AK79" s="7"/>
      <c r="AL79" s="5"/>
      <c r="AM79" s="6"/>
      <c r="AN79" s="6"/>
      <c r="AO79" s="6"/>
      <c r="AP79" s="7"/>
      <c r="AQ79" s="5"/>
      <c r="AR79" s="6"/>
      <c r="AS79" s="6"/>
      <c r="AT79" s="6"/>
      <c r="AU79" s="7"/>
      <c r="AV79" s="31"/>
      <c r="AW79" s="31"/>
      <c r="AX79" s="31"/>
      <c r="AY79" s="31"/>
      <c r="AZ79" s="31"/>
      <c r="BA79" s="31"/>
      <c r="BB79" s="31"/>
      <c r="BC79" s="31"/>
      <c r="BD79" s="31"/>
      <c r="BE79" s="31"/>
      <c r="BF79" s="31"/>
      <c r="BG79" s="31"/>
      <c r="BH79" s="31"/>
      <c r="BI79" s="31"/>
      <c r="BJ79" s="31"/>
      <c r="BK79" s="31"/>
      <c r="BL79" s="31"/>
      <c r="BM79" s="31"/>
      <c r="BN79" s="31"/>
      <c r="BO79" s="31"/>
      <c r="BP79" s="31"/>
      <c r="BQ79" s="31"/>
      <c r="BR79" s="31"/>
      <c r="BS79" s="31"/>
      <c r="BT79" s="31"/>
      <c r="BU79" s="31"/>
      <c r="BV79" s="31"/>
      <c r="BW79" s="31"/>
      <c r="BX79" s="31"/>
      <c r="BY79" s="31"/>
      <c r="BZ79" s="31"/>
      <c r="CA79" s="31"/>
      <c r="CB79" s="31"/>
      <c r="CC79" s="31"/>
      <c r="CD79" s="31"/>
      <c r="CE79" s="31"/>
      <c r="CF79" s="31"/>
      <c r="CG79" s="31"/>
      <c r="CH79" s="31"/>
      <c r="CI79" s="31"/>
      <c r="CJ79" s="31"/>
      <c r="CK79" s="31"/>
      <c r="CL79" s="31"/>
      <c r="CM79" s="31"/>
      <c r="CN79" s="31"/>
      <c r="CO79" s="31"/>
      <c r="CP79" s="31"/>
      <c r="CQ79" s="31"/>
      <c r="CR79" s="31"/>
      <c r="CS79" s="31"/>
      <c r="CT79" s="31"/>
      <c r="CU79" s="31"/>
      <c r="CV79" s="31"/>
      <c r="CW79" s="31"/>
      <c r="CX79" s="31"/>
      <c r="CY79" s="31"/>
      <c r="CZ79" s="31"/>
      <c r="DA79" s="31"/>
      <c r="DB79" s="31"/>
      <c r="DC79" s="31"/>
      <c r="DD79" s="31"/>
      <c r="DE79" s="31"/>
      <c r="DF79" s="31"/>
      <c r="DG79" s="31"/>
      <c r="DH79" s="31"/>
      <c r="DI79" s="31"/>
      <c r="DJ79" s="31"/>
      <c r="DK79" s="31"/>
      <c r="DL79" s="31"/>
      <c r="DM79" s="31"/>
      <c r="DN79" s="31"/>
      <c r="DO79" s="31"/>
      <c r="DP79" s="31"/>
      <c r="DQ79" s="31"/>
      <c r="DR79" s="31"/>
      <c r="DS79" s="31"/>
      <c r="DT79" s="31"/>
      <c r="DU79" s="31"/>
      <c r="DV79" s="31"/>
      <c r="DW79" s="31"/>
      <c r="DX79" s="31"/>
      <c r="DY79" s="31"/>
      <c r="DZ79" s="31"/>
      <c r="EA79" s="31"/>
      <c r="EB79" s="31"/>
      <c r="EC79" s="31"/>
      <c r="ED79" s="31"/>
      <c r="EE79" s="31"/>
      <c r="EF79" s="31"/>
      <c r="EG79" s="31"/>
      <c r="EH79" s="31"/>
      <c r="EI79" s="31"/>
      <c r="EJ79" s="31"/>
      <c r="EK79" s="31"/>
      <c r="EL79" s="31"/>
      <c r="EM79" s="31"/>
      <c r="EN79" s="31"/>
      <c r="EO79" s="31"/>
      <c r="EP79" s="31"/>
      <c r="EQ79" s="31"/>
      <c r="ER79" s="31"/>
      <c r="ES79" s="31"/>
      <c r="ET79" s="31"/>
      <c r="EU79" s="31"/>
      <c r="EV79" s="31"/>
      <c r="EW79" s="31"/>
      <c r="EX79" s="31"/>
      <c r="EY79" s="31"/>
      <c r="EZ79" s="31"/>
      <c r="FA79" s="31"/>
      <c r="FB79" s="31"/>
      <c r="FC79" s="31"/>
      <c r="FD79" s="31"/>
      <c r="FE79" s="31"/>
      <c r="FF79" s="31"/>
      <c r="FG79" s="31"/>
      <c r="FH79" s="31"/>
      <c r="FI79" s="31"/>
      <c r="FJ79" s="31"/>
      <c r="FK79" s="31"/>
      <c r="FL79" s="31"/>
      <c r="FM79" s="31"/>
      <c r="FN79" s="31"/>
      <c r="FO79" s="31"/>
      <c r="FP79" s="31"/>
      <c r="FQ79" s="31"/>
      <c r="FR79" s="31"/>
      <c r="FS79" s="31"/>
      <c r="FT79" s="31"/>
      <c r="FU79" s="31"/>
      <c r="FV79" s="31"/>
      <c r="FW79" s="31"/>
      <c r="FX79" s="31"/>
      <c r="FY79" s="31"/>
      <c r="FZ79" s="31"/>
      <c r="GA79" s="31"/>
      <c r="GB79" s="31"/>
      <c r="GC79" s="31"/>
      <c r="GD79" s="31"/>
      <c r="GE79" s="31"/>
      <c r="GF79" s="31"/>
      <c r="GG79" s="31"/>
      <c r="GH79" s="31"/>
      <c r="GI79" s="31"/>
      <c r="GJ79" s="31"/>
      <c r="GK79" s="31"/>
      <c r="GL79" s="31"/>
      <c r="GM79" s="31"/>
      <c r="GN79" s="31"/>
      <c r="GO79" s="31"/>
      <c r="GP79" s="31"/>
      <c r="GQ79" s="31"/>
      <c r="GR79" s="31"/>
      <c r="GS79" s="31"/>
      <c r="GT79" s="31"/>
      <c r="GU79" s="31"/>
      <c r="GV79" s="31"/>
      <c r="GW79" s="31"/>
      <c r="GX79" s="31"/>
      <c r="GY79" s="31"/>
      <c r="GZ79" s="31"/>
      <c r="HA79" s="31"/>
      <c r="HB79" s="31"/>
      <c r="HC79" s="31"/>
      <c r="HD79" s="31"/>
      <c r="HE79" s="31"/>
      <c r="HF79" s="31"/>
      <c r="HG79" s="31"/>
      <c r="HH79" s="31"/>
      <c r="HI79" s="31"/>
      <c r="HJ79" s="31"/>
      <c r="HK79" s="31"/>
      <c r="HL79" s="31"/>
      <c r="HM79" s="31"/>
      <c r="HN79" s="31"/>
      <c r="HO79" s="31"/>
      <c r="HP79" s="31"/>
      <c r="HQ79" s="31"/>
      <c r="HR79" s="31"/>
      <c r="HS79" s="31"/>
      <c r="HT79" s="31"/>
      <c r="HU79" s="31"/>
      <c r="HV79" s="31"/>
      <c r="HW79" s="31"/>
      <c r="HX79" s="31"/>
      <c r="HY79" s="31"/>
      <c r="HZ79" s="31"/>
      <c r="IA79" s="31"/>
      <c r="IB79" s="31"/>
      <c r="IC79" s="31"/>
      <c r="ID79" s="31"/>
      <c r="IE79" s="31"/>
      <c r="IF79" s="31"/>
      <c r="IG79" s="31"/>
      <c r="IH79" s="31"/>
      <c r="II79" s="31"/>
      <c r="IJ79" s="31"/>
      <c r="IK79" s="31"/>
      <c r="IL79" s="31"/>
      <c r="IM79" s="31"/>
      <c r="IN79" s="31"/>
      <c r="IO79" s="31"/>
      <c r="IP79" s="31"/>
      <c r="IQ79" s="31"/>
      <c r="IR79" s="31"/>
      <c r="IS79" s="31"/>
      <c r="IT79" s="31"/>
      <c r="IU79" s="31"/>
      <c r="IV79" s="31"/>
      <c r="IW79" s="31"/>
    </row>
    <row r="80" spans="1:257" ht="16.5" customHeight="1">
      <c r="A80" s="149" t="s">
        <v>92</v>
      </c>
      <c r="B80" s="119"/>
      <c r="C80" s="59" t="s">
        <v>53</v>
      </c>
      <c r="D80" s="60">
        <f>SUM(D53:D79)</f>
        <v>94009008.549999997</v>
      </c>
      <c r="E80" s="60"/>
      <c r="F80" s="60">
        <f>SUM(F53:F79)</f>
        <v>83916026258.779999</v>
      </c>
      <c r="G80" s="60">
        <f>SUM(G53:G79)</f>
        <v>290966946789</v>
      </c>
      <c r="H80" s="60"/>
      <c r="I80" s="60">
        <f t="shared" ref="I80:O80" si="43">SUM(I53:I79)</f>
        <v>292418.56</v>
      </c>
      <c r="J80" s="60">
        <f t="shared" si="43"/>
        <v>375159669272.65558</v>
      </c>
      <c r="K80" s="60">
        <f t="shared" si="43"/>
        <v>3950037504.04</v>
      </c>
      <c r="L80" s="60">
        <f t="shared" si="43"/>
        <v>568637362.19000006</v>
      </c>
      <c r="M80" s="60">
        <f t="shared" si="43"/>
        <v>3463360394.8499994</v>
      </c>
      <c r="N80" s="60">
        <f t="shared" si="43"/>
        <v>407672846553.99005</v>
      </c>
      <c r="O80" s="60">
        <f t="shared" si="43"/>
        <v>2844512000.1400003</v>
      </c>
      <c r="P80" s="61">
        <f>SUM(P53:P79)</f>
        <v>385299942936.25</v>
      </c>
      <c r="Q80" s="118">
        <f>(P80/$P$149)</f>
        <v>0.28996062504693437</v>
      </c>
      <c r="R80" s="61">
        <f>SUM(R53:R79)</f>
        <v>405432760235.81995</v>
      </c>
      <c r="S80" s="118">
        <f>(R80/$R$149)</f>
        <v>0.29266143798638744</v>
      </c>
      <c r="T80" s="62">
        <f t="shared" si="37"/>
        <v>5.2252323595337338E-2</v>
      </c>
      <c r="U80" s="76"/>
      <c r="V80" s="63"/>
      <c r="W80" s="64"/>
      <c r="X80" s="64"/>
      <c r="Y80" s="60"/>
      <c r="Z80" s="60"/>
      <c r="AA80" s="65">
        <f>SUM(AA53:AA79)</f>
        <v>43525</v>
      </c>
      <c r="AB80" s="145">
        <v>0</v>
      </c>
      <c r="AC80" s="41"/>
      <c r="AD80" s="120"/>
      <c r="AE80" s="120"/>
      <c r="AF80" s="121"/>
      <c r="AG80" s="122"/>
      <c r="AH80" s="6"/>
      <c r="AI80" s="6"/>
      <c r="AJ80" s="6"/>
      <c r="AK80" s="7"/>
      <c r="AL80" s="5"/>
      <c r="AM80" s="6"/>
      <c r="AN80" s="6"/>
      <c r="AO80" s="6"/>
      <c r="AP80" s="7"/>
      <c r="AQ80" s="5"/>
      <c r="AR80" s="6"/>
      <c r="AS80" s="6"/>
      <c r="AT80" s="6"/>
      <c r="AU80" s="7"/>
      <c r="AV80" s="31"/>
      <c r="AW80" s="31"/>
      <c r="AX80" s="31"/>
      <c r="AY80" s="31"/>
      <c r="AZ80" s="31"/>
      <c r="BA80" s="31"/>
      <c r="BB80" s="31"/>
      <c r="BC80" s="31"/>
      <c r="BD80" s="31"/>
      <c r="BE80" s="31"/>
      <c r="BF80" s="31"/>
      <c r="BG80" s="31"/>
      <c r="BH80" s="31"/>
      <c r="BI80" s="31"/>
      <c r="BJ80" s="31"/>
      <c r="BK80" s="31"/>
      <c r="BL80" s="31"/>
      <c r="BM80" s="31"/>
      <c r="BN80" s="31"/>
      <c r="BO80" s="31"/>
      <c r="BP80" s="31"/>
      <c r="BQ80" s="31"/>
      <c r="BR80" s="31"/>
      <c r="BS80" s="31"/>
      <c r="BT80" s="31"/>
      <c r="BU80" s="31"/>
      <c r="BV80" s="31"/>
      <c r="BW80" s="31"/>
      <c r="BX80" s="31"/>
      <c r="BY80" s="31"/>
      <c r="BZ80" s="31"/>
      <c r="CA80" s="31"/>
      <c r="CB80" s="31"/>
      <c r="CC80" s="31"/>
      <c r="CD80" s="31"/>
      <c r="CE80" s="31"/>
      <c r="CF80" s="31"/>
      <c r="CG80" s="31"/>
      <c r="CH80" s="31"/>
      <c r="CI80" s="31"/>
      <c r="CJ80" s="31"/>
      <c r="CK80" s="31"/>
      <c r="CL80" s="31"/>
      <c r="CM80" s="31"/>
      <c r="CN80" s="31"/>
      <c r="CO80" s="31"/>
      <c r="CP80" s="31"/>
      <c r="CQ80" s="31"/>
      <c r="CR80" s="31"/>
      <c r="CS80" s="31"/>
      <c r="CT80" s="31"/>
      <c r="CU80" s="31"/>
      <c r="CV80" s="31"/>
      <c r="CW80" s="31"/>
      <c r="CX80" s="31"/>
      <c r="CY80" s="31"/>
      <c r="CZ80" s="31"/>
      <c r="DA80" s="31"/>
      <c r="DB80" s="31"/>
      <c r="DC80" s="31"/>
      <c r="DD80" s="31"/>
      <c r="DE80" s="31"/>
      <c r="DF80" s="31"/>
      <c r="DG80" s="31"/>
      <c r="DH80" s="31"/>
      <c r="DI80" s="31"/>
      <c r="DJ80" s="31"/>
      <c r="DK80" s="31"/>
      <c r="DL80" s="31"/>
      <c r="DM80" s="31"/>
      <c r="DN80" s="31"/>
      <c r="DO80" s="31"/>
      <c r="DP80" s="31"/>
      <c r="DQ80" s="31"/>
      <c r="DR80" s="31"/>
      <c r="DS80" s="31"/>
      <c r="DT80" s="31"/>
      <c r="DU80" s="31"/>
      <c r="DV80" s="31"/>
      <c r="DW80" s="31"/>
      <c r="DX80" s="31"/>
      <c r="DY80" s="31"/>
      <c r="DZ80" s="31"/>
      <c r="EA80" s="31"/>
      <c r="EB80" s="31"/>
      <c r="EC80" s="31"/>
      <c r="ED80" s="31"/>
      <c r="EE80" s="31"/>
      <c r="EF80" s="31"/>
      <c r="EG80" s="31"/>
      <c r="EH80" s="31"/>
      <c r="EI80" s="31"/>
      <c r="EJ80" s="31"/>
      <c r="EK80" s="31"/>
      <c r="EL80" s="31"/>
      <c r="EM80" s="31"/>
      <c r="EN80" s="31"/>
      <c r="EO80" s="31"/>
      <c r="EP80" s="31"/>
      <c r="EQ80" s="31"/>
      <c r="ER80" s="31"/>
      <c r="ES80" s="31"/>
      <c r="ET80" s="31"/>
      <c r="EU80" s="31"/>
      <c r="EV80" s="31"/>
      <c r="EW80" s="31"/>
      <c r="EX80" s="31"/>
      <c r="EY80" s="31"/>
      <c r="EZ80" s="31"/>
      <c r="FA80" s="31"/>
      <c r="FB80" s="31"/>
      <c r="FC80" s="31"/>
      <c r="FD80" s="31"/>
      <c r="FE80" s="31"/>
      <c r="FF80" s="31"/>
      <c r="FG80" s="31"/>
      <c r="FH80" s="31"/>
      <c r="FI80" s="31"/>
      <c r="FJ80" s="31"/>
      <c r="FK80" s="31"/>
      <c r="FL80" s="31"/>
      <c r="FM80" s="31"/>
      <c r="FN80" s="31"/>
      <c r="FO80" s="31"/>
      <c r="FP80" s="31"/>
      <c r="FQ80" s="31"/>
      <c r="FR80" s="31"/>
      <c r="FS80" s="31"/>
      <c r="FT80" s="31"/>
      <c r="FU80" s="31"/>
      <c r="FV80" s="31"/>
      <c r="FW80" s="31"/>
      <c r="FX80" s="31"/>
      <c r="FY80" s="31"/>
      <c r="FZ80" s="31"/>
      <c r="GA80" s="31"/>
      <c r="GB80" s="31"/>
      <c r="GC80" s="31"/>
      <c r="GD80" s="31"/>
      <c r="GE80" s="31"/>
      <c r="GF80" s="31"/>
      <c r="GG80" s="31"/>
      <c r="GH80" s="31"/>
      <c r="GI80" s="31"/>
      <c r="GJ80" s="31"/>
      <c r="GK80" s="31"/>
      <c r="GL80" s="31"/>
      <c r="GM80" s="31"/>
      <c r="GN80" s="31"/>
      <c r="GO80" s="31"/>
      <c r="GP80" s="31"/>
      <c r="GQ80" s="31"/>
      <c r="GR80" s="31"/>
      <c r="GS80" s="31"/>
      <c r="GT80" s="31"/>
      <c r="GU80" s="31"/>
      <c r="GV80" s="31"/>
      <c r="GW80" s="31"/>
      <c r="GX80" s="31"/>
      <c r="GY80" s="31"/>
      <c r="GZ80" s="31"/>
      <c r="HA80" s="31"/>
      <c r="HB80" s="31"/>
      <c r="HC80" s="31"/>
      <c r="HD80" s="31"/>
      <c r="HE80" s="31"/>
      <c r="HF80" s="31"/>
      <c r="HG80" s="31"/>
      <c r="HH80" s="31"/>
      <c r="HI80" s="31"/>
      <c r="HJ80" s="31"/>
      <c r="HK80" s="31"/>
      <c r="HL80" s="31"/>
      <c r="HM80" s="31"/>
      <c r="HN80" s="31"/>
      <c r="HO80" s="31"/>
      <c r="HP80" s="31"/>
      <c r="HQ80" s="31"/>
      <c r="HR80" s="31"/>
      <c r="HS80" s="31"/>
      <c r="HT80" s="31"/>
      <c r="HU80" s="31"/>
      <c r="HV80" s="31"/>
      <c r="HW80" s="31"/>
      <c r="HX80" s="31"/>
      <c r="HY80" s="31"/>
      <c r="HZ80" s="31"/>
      <c r="IA80" s="31"/>
      <c r="IB80" s="31"/>
      <c r="IC80" s="31"/>
      <c r="ID80" s="31"/>
      <c r="IE80" s="31"/>
      <c r="IF80" s="31"/>
      <c r="IG80" s="31"/>
      <c r="IH80" s="31"/>
      <c r="II80" s="31"/>
      <c r="IJ80" s="31"/>
      <c r="IK80" s="31"/>
      <c r="IL80" s="31"/>
      <c r="IM80" s="31"/>
      <c r="IN80" s="31"/>
      <c r="IO80" s="31"/>
      <c r="IP80" s="31"/>
      <c r="IQ80" s="31"/>
      <c r="IR80" s="31"/>
      <c r="IS80" s="31"/>
      <c r="IT80" s="31"/>
      <c r="IU80" s="31"/>
      <c r="IV80" s="31"/>
      <c r="IW80" s="31"/>
    </row>
    <row r="81" spans="1:257" ht="16.5" customHeight="1">
      <c r="A81" s="232" t="s">
        <v>179</v>
      </c>
      <c r="B81" s="233"/>
      <c r="C81" s="233"/>
      <c r="D81" s="70"/>
      <c r="E81" s="70"/>
      <c r="F81" s="70"/>
      <c r="G81" s="70"/>
      <c r="H81" s="70"/>
      <c r="I81" s="70"/>
      <c r="J81" s="70"/>
      <c r="K81" s="70"/>
      <c r="L81" s="70"/>
      <c r="M81" s="211"/>
      <c r="N81" s="70"/>
      <c r="O81" s="70"/>
      <c r="P81" s="70">
        <v>0</v>
      </c>
      <c r="Q81" s="48"/>
      <c r="R81" s="70">
        <v>0</v>
      </c>
      <c r="S81" s="48"/>
      <c r="T81" s="48"/>
      <c r="U81" s="48"/>
      <c r="V81" s="71"/>
      <c r="W81" s="72"/>
      <c r="X81" s="72"/>
      <c r="Y81" s="70"/>
      <c r="Z81" s="70"/>
      <c r="AA81" s="70"/>
      <c r="AB81" s="150"/>
      <c r="AC81" s="41"/>
      <c r="AD81" s="120"/>
      <c r="AE81" s="120"/>
      <c r="AF81" s="121"/>
      <c r="AG81" s="122"/>
      <c r="AH81" s="6"/>
      <c r="AI81" s="6"/>
      <c r="AJ81" s="6"/>
      <c r="AK81" s="7"/>
      <c r="AL81" s="5"/>
      <c r="AM81" s="6"/>
      <c r="AN81" s="6"/>
      <c r="AO81" s="6"/>
      <c r="AP81" s="7"/>
      <c r="AQ81" s="5"/>
      <c r="AR81" s="6"/>
      <c r="AS81" s="6"/>
      <c r="AT81" s="6"/>
      <c r="AU81" s="7"/>
      <c r="AV81" s="31"/>
      <c r="AW81" s="31"/>
      <c r="AX81" s="31"/>
      <c r="AY81" s="31"/>
      <c r="AZ81" s="31"/>
      <c r="BA81" s="31"/>
      <c r="BB81" s="31"/>
      <c r="BC81" s="31"/>
      <c r="BD81" s="31"/>
      <c r="BE81" s="31"/>
      <c r="BF81" s="31"/>
      <c r="BG81" s="31"/>
      <c r="BH81" s="31"/>
      <c r="BI81" s="31"/>
      <c r="BJ81" s="31"/>
      <c r="BK81" s="31"/>
      <c r="BL81" s="31"/>
      <c r="BM81" s="31"/>
      <c r="BN81" s="31"/>
      <c r="BO81" s="31"/>
      <c r="BP81" s="31"/>
      <c r="BQ81" s="31"/>
      <c r="BR81" s="31"/>
      <c r="BS81" s="31"/>
      <c r="BT81" s="31"/>
      <c r="BU81" s="31"/>
      <c r="BV81" s="31"/>
      <c r="BW81" s="31"/>
      <c r="BX81" s="31"/>
      <c r="BY81" s="31"/>
      <c r="BZ81" s="31"/>
      <c r="CA81" s="31"/>
      <c r="CB81" s="31"/>
      <c r="CC81" s="31"/>
      <c r="CD81" s="31"/>
      <c r="CE81" s="31"/>
      <c r="CF81" s="31"/>
      <c r="CG81" s="31"/>
      <c r="CH81" s="31"/>
      <c r="CI81" s="31"/>
      <c r="CJ81" s="31"/>
      <c r="CK81" s="31"/>
      <c r="CL81" s="31"/>
      <c r="CM81" s="31"/>
      <c r="CN81" s="31"/>
      <c r="CO81" s="31"/>
      <c r="CP81" s="31"/>
      <c r="CQ81" s="31"/>
      <c r="CR81" s="31"/>
      <c r="CS81" s="31"/>
      <c r="CT81" s="31"/>
      <c r="CU81" s="31"/>
      <c r="CV81" s="31"/>
      <c r="CW81" s="31"/>
      <c r="CX81" s="31"/>
      <c r="CY81" s="31"/>
      <c r="CZ81" s="31"/>
      <c r="DA81" s="31"/>
      <c r="DB81" s="31"/>
      <c r="DC81" s="31"/>
      <c r="DD81" s="31"/>
      <c r="DE81" s="31"/>
      <c r="DF81" s="31"/>
      <c r="DG81" s="31"/>
      <c r="DH81" s="31"/>
      <c r="DI81" s="31"/>
      <c r="DJ81" s="31"/>
      <c r="DK81" s="31"/>
      <c r="DL81" s="31"/>
      <c r="DM81" s="31"/>
      <c r="DN81" s="31"/>
      <c r="DO81" s="31"/>
      <c r="DP81" s="31"/>
      <c r="DQ81" s="31"/>
      <c r="DR81" s="31"/>
      <c r="DS81" s="31"/>
      <c r="DT81" s="31"/>
      <c r="DU81" s="31"/>
      <c r="DV81" s="31"/>
      <c r="DW81" s="31"/>
      <c r="DX81" s="31"/>
      <c r="DY81" s="31"/>
      <c r="DZ81" s="31"/>
      <c r="EA81" s="31"/>
      <c r="EB81" s="31"/>
      <c r="EC81" s="31"/>
      <c r="ED81" s="31"/>
      <c r="EE81" s="31"/>
      <c r="EF81" s="31"/>
      <c r="EG81" s="31"/>
      <c r="EH81" s="31"/>
      <c r="EI81" s="31"/>
      <c r="EJ81" s="31"/>
      <c r="EK81" s="31"/>
      <c r="EL81" s="31"/>
      <c r="EM81" s="31"/>
      <c r="EN81" s="31"/>
      <c r="EO81" s="31"/>
      <c r="EP81" s="31"/>
      <c r="EQ81" s="31"/>
      <c r="ER81" s="31"/>
      <c r="ES81" s="31"/>
      <c r="ET81" s="31"/>
      <c r="EU81" s="31"/>
      <c r="EV81" s="31"/>
      <c r="EW81" s="31"/>
      <c r="EX81" s="31"/>
      <c r="EY81" s="31"/>
      <c r="EZ81" s="31"/>
      <c r="FA81" s="31"/>
      <c r="FB81" s="31"/>
      <c r="FC81" s="31"/>
      <c r="FD81" s="31"/>
      <c r="FE81" s="31"/>
      <c r="FF81" s="31"/>
      <c r="FG81" s="31"/>
      <c r="FH81" s="31"/>
      <c r="FI81" s="31"/>
      <c r="FJ81" s="31"/>
      <c r="FK81" s="31"/>
      <c r="FL81" s="31"/>
      <c r="FM81" s="31"/>
      <c r="FN81" s="31"/>
      <c r="FO81" s="31"/>
      <c r="FP81" s="31"/>
      <c r="FQ81" s="31"/>
      <c r="FR81" s="31"/>
      <c r="FS81" s="31"/>
      <c r="FT81" s="31"/>
      <c r="FU81" s="31"/>
      <c r="FV81" s="31"/>
      <c r="FW81" s="31"/>
      <c r="FX81" s="31"/>
      <c r="FY81" s="31"/>
      <c r="FZ81" s="31"/>
      <c r="GA81" s="31"/>
      <c r="GB81" s="31"/>
      <c r="GC81" s="31"/>
      <c r="GD81" s="31"/>
      <c r="GE81" s="31"/>
      <c r="GF81" s="31"/>
      <c r="GG81" s="31"/>
      <c r="GH81" s="31"/>
      <c r="GI81" s="31"/>
      <c r="GJ81" s="31"/>
      <c r="GK81" s="31"/>
      <c r="GL81" s="31"/>
      <c r="GM81" s="31"/>
      <c r="GN81" s="31"/>
      <c r="GO81" s="31"/>
      <c r="GP81" s="31"/>
      <c r="GQ81" s="31"/>
      <c r="GR81" s="31"/>
      <c r="GS81" s="31"/>
      <c r="GT81" s="31"/>
      <c r="GU81" s="31"/>
      <c r="GV81" s="31"/>
      <c r="GW81" s="31"/>
      <c r="GX81" s="31"/>
      <c r="GY81" s="31"/>
      <c r="GZ81" s="31"/>
      <c r="HA81" s="31"/>
      <c r="HB81" s="31"/>
      <c r="HC81" s="31"/>
      <c r="HD81" s="31"/>
      <c r="HE81" s="31"/>
      <c r="HF81" s="31"/>
      <c r="HG81" s="31"/>
      <c r="HH81" s="31"/>
      <c r="HI81" s="31"/>
      <c r="HJ81" s="31"/>
      <c r="HK81" s="31"/>
      <c r="HL81" s="31"/>
      <c r="HM81" s="31"/>
      <c r="HN81" s="31"/>
      <c r="HO81" s="31"/>
      <c r="HP81" s="31"/>
      <c r="HQ81" s="31"/>
      <c r="HR81" s="31"/>
      <c r="HS81" s="31"/>
      <c r="HT81" s="31"/>
      <c r="HU81" s="31"/>
      <c r="HV81" s="31"/>
      <c r="HW81" s="31"/>
      <c r="HX81" s="31"/>
      <c r="HY81" s="31"/>
      <c r="HZ81" s="31"/>
      <c r="IA81" s="31"/>
      <c r="IB81" s="31"/>
      <c r="IC81" s="31"/>
      <c r="ID81" s="31"/>
      <c r="IE81" s="31"/>
      <c r="IF81" s="31"/>
      <c r="IG81" s="31"/>
      <c r="IH81" s="31"/>
      <c r="II81" s="31"/>
      <c r="IJ81" s="31"/>
      <c r="IK81" s="31"/>
      <c r="IL81" s="31"/>
      <c r="IM81" s="31"/>
      <c r="IN81" s="31"/>
      <c r="IO81" s="31"/>
      <c r="IP81" s="31"/>
      <c r="IQ81" s="31"/>
      <c r="IR81" s="31"/>
      <c r="IS81" s="31"/>
      <c r="IT81" s="31"/>
      <c r="IU81" s="31"/>
      <c r="IV81" s="31"/>
      <c r="IW81" s="31"/>
    </row>
    <row r="82" spans="1:257" ht="16.5" customHeight="1">
      <c r="A82" s="228" t="s">
        <v>178</v>
      </c>
      <c r="B82" s="229"/>
      <c r="C82" s="229"/>
      <c r="D82" s="123"/>
      <c r="E82" s="123"/>
      <c r="F82" s="123"/>
      <c r="G82" s="123"/>
      <c r="H82" s="123"/>
      <c r="I82" s="123"/>
      <c r="J82" s="123"/>
      <c r="K82" s="123"/>
      <c r="L82" s="123"/>
      <c r="M82" s="212"/>
      <c r="N82" s="123"/>
      <c r="O82" s="123"/>
      <c r="P82" s="123"/>
      <c r="Q82" s="124"/>
      <c r="R82" s="123"/>
      <c r="S82" s="124"/>
      <c r="T82" s="124"/>
      <c r="U82" s="125"/>
      <c r="V82" s="126"/>
      <c r="W82" s="127"/>
      <c r="X82" s="127"/>
      <c r="Y82" s="123"/>
      <c r="Z82" s="123"/>
      <c r="AA82" s="123"/>
      <c r="AB82" s="153"/>
      <c r="AC82" s="41"/>
      <c r="AD82" s="120"/>
      <c r="AE82" s="120"/>
      <c r="AF82" s="121"/>
      <c r="AG82" s="122"/>
      <c r="AH82" s="6"/>
      <c r="AI82" s="6"/>
      <c r="AJ82" s="6"/>
      <c r="AK82" s="7"/>
      <c r="AL82" s="5"/>
      <c r="AM82" s="6"/>
      <c r="AN82" s="6"/>
      <c r="AO82" s="6"/>
      <c r="AP82" s="7"/>
      <c r="AQ82" s="5"/>
      <c r="AR82" s="6"/>
      <c r="AS82" s="6"/>
      <c r="AT82" s="6"/>
      <c r="AU82" s="7"/>
      <c r="AV82" s="31"/>
      <c r="AW82" s="31"/>
      <c r="AX82" s="31"/>
      <c r="AY82" s="31"/>
      <c r="AZ82" s="31"/>
      <c r="BA82" s="31"/>
      <c r="BB82" s="31"/>
      <c r="BC82" s="31"/>
      <c r="BD82" s="31"/>
      <c r="BE82" s="31"/>
      <c r="BF82" s="31"/>
      <c r="BG82" s="31"/>
      <c r="BH82" s="31"/>
      <c r="BI82" s="31"/>
      <c r="BJ82" s="31"/>
      <c r="BK82" s="31"/>
      <c r="BL82" s="31"/>
      <c r="BM82" s="31"/>
      <c r="BN82" s="31"/>
      <c r="BO82" s="31"/>
      <c r="BP82" s="31"/>
      <c r="BQ82" s="31"/>
      <c r="BR82" s="31"/>
      <c r="BS82" s="31"/>
      <c r="BT82" s="31"/>
      <c r="BU82" s="31"/>
      <c r="BV82" s="31"/>
      <c r="BW82" s="31"/>
      <c r="BX82" s="31"/>
      <c r="BY82" s="31"/>
      <c r="BZ82" s="31"/>
      <c r="CA82" s="31"/>
      <c r="CB82" s="31"/>
      <c r="CC82" s="31"/>
      <c r="CD82" s="31"/>
      <c r="CE82" s="31"/>
      <c r="CF82" s="31"/>
      <c r="CG82" s="31"/>
      <c r="CH82" s="31"/>
      <c r="CI82" s="31"/>
      <c r="CJ82" s="31"/>
      <c r="CK82" s="31"/>
      <c r="CL82" s="31"/>
      <c r="CM82" s="31"/>
      <c r="CN82" s="31"/>
      <c r="CO82" s="31"/>
      <c r="CP82" s="31"/>
      <c r="CQ82" s="31"/>
      <c r="CR82" s="31"/>
      <c r="CS82" s="31"/>
      <c r="CT82" s="31"/>
      <c r="CU82" s="31"/>
      <c r="CV82" s="31"/>
      <c r="CW82" s="31"/>
      <c r="CX82" s="31"/>
      <c r="CY82" s="31"/>
      <c r="CZ82" s="31"/>
      <c r="DA82" s="31"/>
      <c r="DB82" s="31"/>
      <c r="DC82" s="31"/>
      <c r="DD82" s="31"/>
      <c r="DE82" s="31"/>
      <c r="DF82" s="31"/>
      <c r="DG82" s="31"/>
      <c r="DH82" s="31"/>
      <c r="DI82" s="31"/>
      <c r="DJ82" s="31"/>
      <c r="DK82" s="31"/>
      <c r="DL82" s="31"/>
      <c r="DM82" s="31"/>
      <c r="DN82" s="31"/>
      <c r="DO82" s="31"/>
      <c r="DP82" s="31"/>
      <c r="DQ82" s="31"/>
      <c r="DR82" s="31"/>
      <c r="DS82" s="31"/>
      <c r="DT82" s="31"/>
      <c r="DU82" s="31"/>
      <c r="DV82" s="31"/>
      <c r="DW82" s="31"/>
      <c r="DX82" s="31"/>
      <c r="DY82" s="31"/>
      <c r="DZ82" s="31"/>
      <c r="EA82" s="31"/>
      <c r="EB82" s="31"/>
      <c r="EC82" s="31"/>
      <c r="ED82" s="31"/>
      <c r="EE82" s="31"/>
      <c r="EF82" s="31"/>
      <c r="EG82" s="31"/>
      <c r="EH82" s="31"/>
      <c r="EI82" s="31"/>
      <c r="EJ82" s="31"/>
      <c r="EK82" s="31"/>
      <c r="EL82" s="31"/>
      <c r="EM82" s="31"/>
      <c r="EN82" s="31"/>
      <c r="EO82" s="31"/>
      <c r="EP82" s="31"/>
      <c r="EQ82" s="31"/>
      <c r="ER82" s="31"/>
      <c r="ES82" s="31"/>
      <c r="ET82" s="31"/>
      <c r="EU82" s="31"/>
      <c r="EV82" s="31"/>
      <c r="EW82" s="31"/>
      <c r="EX82" s="31"/>
      <c r="EY82" s="31"/>
      <c r="EZ82" s="31"/>
      <c r="FA82" s="31"/>
      <c r="FB82" s="31"/>
      <c r="FC82" s="31"/>
      <c r="FD82" s="31"/>
      <c r="FE82" s="31"/>
      <c r="FF82" s="31"/>
      <c r="FG82" s="31"/>
      <c r="FH82" s="31"/>
      <c r="FI82" s="31"/>
      <c r="FJ82" s="31"/>
      <c r="FK82" s="31"/>
      <c r="FL82" s="31"/>
      <c r="FM82" s="31"/>
      <c r="FN82" s="31"/>
      <c r="FO82" s="31"/>
      <c r="FP82" s="31"/>
      <c r="FQ82" s="31"/>
      <c r="FR82" s="31"/>
      <c r="FS82" s="31"/>
      <c r="FT82" s="31"/>
      <c r="FU82" s="31"/>
      <c r="FV82" s="31"/>
      <c r="FW82" s="31"/>
      <c r="FX82" s="31"/>
      <c r="FY82" s="31"/>
      <c r="FZ82" s="31"/>
      <c r="GA82" s="31"/>
      <c r="GB82" s="31"/>
      <c r="GC82" s="31"/>
      <c r="GD82" s="31"/>
      <c r="GE82" s="31"/>
      <c r="GF82" s="31"/>
      <c r="GG82" s="31"/>
      <c r="GH82" s="31"/>
      <c r="GI82" s="31"/>
      <c r="GJ82" s="31"/>
      <c r="GK82" s="31"/>
      <c r="GL82" s="31"/>
      <c r="GM82" s="31"/>
      <c r="GN82" s="31"/>
      <c r="GO82" s="31"/>
      <c r="GP82" s="31"/>
      <c r="GQ82" s="31"/>
      <c r="GR82" s="31"/>
      <c r="GS82" s="31"/>
      <c r="GT82" s="31"/>
      <c r="GU82" s="31"/>
      <c r="GV82" s="31"/>
      <c r="GW82" s="31"/>
      <c r="GX82" s="31"/>
      <c r="GY82" s="31"/>
      <c r="GZ82" s="31"/>
      <c r="HA82" s="31"/>
      <c r="HB82" s="31"/>
      <c r="HC82" s="31"/>
      <c r="HD82" s="31"/>
      <c r="HE82" s="31"/>
      <c r="HF82" s="31"/>
      <c r="HG82" s="31"/>
      <c r="HH82" s="31"/>
      <c r="HI82" s="31"/>
      <c r="HJ82" s="31"/>
      <c r="HK82" s="31"/>
      <c r="HL82" s="31"/>
      <c r="HM82" s="31"/>
      <c r="HN82" s="31"/>
      <c r="HO82" s="31"/>
      <c r="HP82" s="31"/>
      <c r="HQ82" s="31"/>
      <c r="HR82" s="31"/>
      <c r="HS82" s="31"/>
      <c r="HT82" s="31"/>
      <c r="HU82" s="31"/>
      <c r="HV82" s="31"/>
      <c r="HW82" s="31"/>
      <c r="HX82" s="31"/>
      <c r="HY82" s="31"/>
      <c r="HZ82" s="31"/>
      <c r="IA82" s="31"/>
      <c r="IB82" s="31"/>
      <c r="IC82" s="31"/>
      <c r="ID82" s="31"/>
      <c r="IE82" s="31"/>
      <c r="IF82" s="31"/>
      <c r="IG82" s="31"/>
      <c r="IH82" s="31"/>
      <c r="II82" s="31"/>
      <c r="IJ82" s="31"/>
      <c r="IK82" s="31"/>
      <c r="IL82" s="31"/>
      <c r="IM82" s="31"/>
      <c r="IN82" s="31"/>
      <c r="IO82" s="31"/>
      <c r="IP82" s="31"/>
      <c r="IQ82" s="31"/>
      <c r="IR82" s="31"/>
      <c r="IS82" s="31"/>
      <c r="IT82" s="31"/>
      <c r="IU82" s="31"/>
      <c r="IV82" s="31"/>
      <c r="IW82" s="31"/>
    </row>
    <row r="83" spans="1:257" ht="16.5" customHeight="1">
      <c r="A83" s="223" t="s">
        <v>215</v>
      </c>
      <c r="B83" s="83" t="s">
        <v>181</v>
      </c>
      <c r="C83" s="83" t="s">
        <v>202</v>
      </c>
      <c r="D83" s="44"/>
      <c r="E83" s="44"/>
      <c r="F83" s="192"/>
      <c r="G83" s="44"/>
      <c r="H83" s="53"/>
      <c r="I83" s="73"/>
      <c r="J83" s="52"/>
      <c r="K83" s="52"/>
      <c r="L83" s="52"/>
      <c r="M83" s="213"/>
      <c r="N83" s="44"/>
      <c r="O83" s="104"/>
      <c r="P83" s="46"/>
      <c r="Q83" s="187">
        <f t="shared" ref="Q83:Q91" si="44">(P83/$P$101)</f>
        <v>0</v>
      </c>
      <c r="R83" s="46"/>
      <c r="S83" s="47">
        <f t="shared" ref="S83:S91" si="45">(R83/$R$101)</f>
        <v>0</v>
      </c>
      <c r="T83" s="48" t="e">
        <f t="shared" ref="T83:T88" si="46">((R83-P83)/P83)</f>
        <v>#DIV/0!</v>
      </c>
      <c r="U83" s="84" t="e">
        <f t="shared" ref="U83:U88" si="47">(L83/R83)</f>
        <v>#DIV/0!</v>
      </c>
      <c r="V83" s="49" t="e">
        <f t="shared" ref="V83:V88" si="48">M83/R83</f>
        <v>#DIV/0!</v>
      </c>
      <c r="W83" s="50" t="e">
        <f t="shared" ref="W83:W88" si="49">R83/AB83</f>
        <v>#DIV/0!</v>
      </c>
      <c r="X83" s="50" t="e">
        <f>M83/AB83</f>
        <v>#DIV/0!</v>
      </c>
      <c r="Y83" s="44"/>
      <c r="Z83" s="52"/>
      <c r="AA83" s="51"/>
      <c r="AB83" s="145"/>
      <c r="AC83" s="10"/>
      <c r="AD83" s="10"/>
      <c r="AE83" s="10"/>
      <c r="AF83" s="11"/>
      <c r="AG83" s="5"/>
      <c r="AH83" s="6"/>
      <c r="AI83" s="6"/>
      <c r="AJ83" s="6"/>
      <c r="AK83" s="7"/>
      <c r="AL83" s="5"/>
      <c r="AM83" s="6"/>
      <c r="AN83" s="6"/>
      <c r="AO83" s="6"/>
      <c r="AP83" s="7"/>
      <c r="AQ83" s="5"/>
      <c r="AR83" s="6"/>
      <c r="AS83" s="6"/>
      <c r="AT83" s="6"/>
      <c r="AU83" s="7"/>
    </row>
    <row r="84" spans="1:257" ht="16.5" customHeight="1">
      <c r="A84" s="223" t="s">
        <v>216</v>
      </c>
      <c r="B84" s="83" t="s">
        <v>181</v>
      </c>
      <c r="C84" s="83" t="s">
        <v>201</v>
      </c>
      <c r="D84" s="53"/>
      <c r="E84" s="44"/>
      <c r="F84" s="192">
        <v>2450579418.1500001</v>
      </c>
      <c r="G84" s="44">
        <v>6354667263.4200001</v>
      </c>
      <c r="H84" s="53"/>
      <c r="I84" s="73"/>
      <c r="J84" s="52">
        <v>8848499679.4200001</v>
      </c>
      <c r="K84" s="52">
        <v>137316736.84</v>
      </c>
      <c r="L84" s="52">
        <v>11330609.380000001</v>
      </c>
      <c r="M84" s="213">
        <v>125986127.45999999</v>
      </c>
      <c r="N84" s="44">
        <v>8886826091.1299992</v>
      </c>
      <c r="O84" s="104">
        <v>38326411.710000001</v>
      </c>
      <c r="P84" s="46">
        <v>8666061633.5499992</v>
      </c>
      <c r="Q84" s="47">
        <f t="shared" si="44"/>
        <v>3.3684703219921577E-2</v>
      </c>
      <c r="R84" s="46">
        <v>8848499679.4200001</v>
      </c>
      <c r="S84" s="47">
        <f t="shared" si="45"/>
        <v>3.2927521726137145E-2</v>
      </c>
      <c r="T84" s="48">
        <f t="shared" si="46"/>
        <v>2.105201342714963E-2</v>
      </c>
      <c r="U84" s="84">
        <f t="shared" si="47"/>
        <v>1.2805119275025726E-3</v>
      </c>
      <c r="V84" s="49">
        <f t="shared" si="48"/>
        <v>1.4238134375822015E-2</v>
      </c>
      <c r="W84" s="50">
        <f t="shared" si="49"/>
        <v>51057.300039675654</v>
      </c>
      <c r="X84" s="50">
        <f t="shared" ref="X84:X88" si="50">M84/AB84</f>
        <v>726.96069883156474</v>
      </c>
      <c r="Y84" s="44">
        <v>122.85</v>
      </c>
      <c r="Z84" s="52">
        <v>122</v>
      </c>
      <c r="AA84" s="51">
        <v>1703</v>
      </c>
      <c r="AB84" s="145">
        <v>173305.28</v>
      </c>
      <c r="AC84" s="25"/>
      <c r="AD84" s="20"/>
      <c r="AE84" s="12"/>
      <c r="AF84" s="12"/>
      <c r="AG84" s="5"/>
      <c r="AH84" s="6"/>
      <c r="AI84" s="6"/>
      <c r="AJ84" s="6"/>
      <c r="AK84" s="7"/>
      <c r="AL84" s="5"/>
      <c r="AM84" s="6"/>
      <c r="AN84" s="6"/>
      <c r="AO84" s="6"/>
      <c r="AP84" s="7"/>
      <c r="AQ84" s="5"/>
      <c r="AR84" s="6"/>
      <c r="AS84" s="6"/>
      <c r="AT84" s="6"/>
      <c r="AU84" s="7"/>
    </row>
    <row r="85" spans="1:257" ht="16.5" customHeight="1">
      <c r="A85" s="217">
        <v>74</v>
      </c>
      <c r="B85" s="83" t="s">
        <v>34</v>
      </c>
      <c r="C85" s="83" t="s">
        <v>199</v>
      </c>
      <c r="D85" s="53"/>
      <c r="E85" s="44"/>
      <c r="F85" s="52"/>
      <c r="G85" s="44">
        <f>416.59*124570791</f>
        <v>51894945822.689995</v>
      </c>
      <c r="H85" s="44"/>
      <c r="I85" s="52"/>
      <c r="J85" s="44">
        <v>51894945822.690002</v>
      </c>
      <c r="K85" s="52">
        <f>416.59*768741</f>
        <v>320249813.19</v>
      </c>
      <c r="L85" s="52">
        <f>416.59*210486</f>
        <v>87686362.739999995</v>
      </c>
      <c r="M85" s="213">
        <f>416.59*558255</f>
        <v>232563450.44999999</v>
      </c>
      <c r="N85" s="52">
        <f>416.59*142681723</f>
        <v>59439778984.57</v>
      </c>
      <c r="O85" s="52">
        <f>416.59*698194</f>
        <v>290860638.45999998</v>
      </c>
      <c r="P85" s="46">
        <f>416.26*132666380</f>
        <v>55223707338.799995</v>
      </c>
      <c r="Q85" s="187">
        <f t="shared" si="44"/>
        <v>0.214652776667279</v>
      </c>
      <c r="R85" s="46">
        <f>416.59*141983529</f>
        <v>59148918346.109993</v>
      </c>
      <c r="S85" s="47">
        <f t="shared" si="45"/>
        <v>0.22010819511570709</v>
      </c>
      <c r="T85" s="48">
        <f>((R85-P85)/P85)</f>
        <v>7.1078368267248823E-2</v>
      </c>
      <c r="U85" s="84">
        <f>(L85/R85)</f>
        <v>1.4824677304647077E-3</v>
      </c>
      <c r="V85" s="49">
        <f>M85/R85</f>
        <v>3.9318293039469392E-3</v>
      </c>
      <c r="W85" s="50">
        <f>R85/AB85</f>
        <v>51525.243341327216</v>
      </c>
      <c r="X85" s="50">
        <f>M85/AB85</f>
        <v>202.58846166242725</v>
      </c>
      <c r="Y85" s="52">
        <f>416.59*123.69</f>
        <v>51528.017099999997</v>
      </c>
      <c r="Z85" s="52">
        <f>416.59*123.69</f>
        <v>51528.017099999997</v>
      </c>
      <c r="AA85" s="51">
        <v>1022</v>
      </c>
      <c r="AB85" s="145">
        <v>1147960</v>
      </c>
      <c r="AC85" s="25"/>
      <c r="AD85" s="20"/>
      <c r="AE85" s="12"/>
      <c r="AF85" s="12"/>
      <c r="AG85" s="5"/>
      <c r="AH85" s="6"/>
      <c r="AI85" s="6"/>
      <c r="AJ85" s="6"/>
      <c r="AK85" s="7"/>
      <c r="AL85" s="5"/>
      <c r="AM85" s="6"/>
      <c r="AN85" s="6"/>
      <c r="AO85" s="6"/>
      <c r="AP85" s="7"/>
      <c r="AQ85" s="5"/>
      <c r="AR85" s="6"/>
      <c r="AS85" s="6"/>
      <c r="AT85" s="6"/>
      <c r="AU85" s="7"/>
      <c r="AV85" s="31"/>
      <c r="AW85" s="31"/>
      <c r="AX85" s="31"/>
      <c r="AY85" s="31"/>
      <c r="AZ85" s="31"/>
      <c r="BA85" s="31"/>
      <c r="BB85" s="31"/>
      <c r="BC85" s="31"/>
      <c r="BD85" s="31"/>
      <c r="BE85" s="31"/>
      <c r="BF85" s="31"/>
      <c r="BG85" s="31"/>
      <c r="BH85" s="31"/>
      <c r="BI85" s="31"/>
      <c r="BJ85" s="31"/>
      <c r="BK85" s="31"/>
      <c r="BL85" s="31"/>
      <c r="BM85" s="31"/>
      <c r="BN85" s="31"/>
      <c r="BO85" s="31"/>
      <c r="BP85" s="31"/>
      <c r="BQ85" s="31"/>
      <c r="BR85" s="31"/>
      <c r="BS85" s="31"/>
      <c r="BT85" s="31"/>
      <c r="BU85" s="31"/>
      <c r="BV85" s="31"/>
      <c r="BW85" s="31"/>
      <c r="BX85" s="31"/>
      <c r="BY85" s="31"/>
      <c r="BZ85" s="31"/>
      <c r="CA85" s="31"/>
      <c r="CB85" s="31"/>
      <c r="CC85" s="31"/>
      <c r="CD85" s="31"/>
      <c r="CE85" s="31"/>
      <c r="CF85" s="31"/>
      <c r="CG85" s="31"/>
      <c r="CH85" s="31"/>
      <c r="CI85" s="31"/>
      <c r="CJ85" s="31"/>
      <c r="CK85" s="31"/>
      <c r="CL85" s="31"/>
      <c r="CM85" s="31"/>
      <c r="CN85" s="31"/>
      <c r="CO85" s="31"/>
      <c r="CP85" s="31"/>
      <c r="CQ85" s="31"/>
      <c r="CR85" s="31"/>
      <c r="CS85" s="31"/>
      <c r="CT85" s="31"/>
      <c r="CU85" s="31"/>
      <c r="CV85" s="31"/>
      <c r="CW85" s="31"/>
      <c r="CX85" s="31"/>
      <c r="CY85" s="31"/>
      <c r="CZ85" s="31"/>
      <c r="DA85" s="31"/>
      <c r="DB85" s="31"/>
      <c r="DC85" s="31"/>
      <c r="DD85" s="31"/>
      <c r="DE85" s="31"/>
      <c r="DF85" s="31"/>
      <c r="DG85" s="31"/>
      <c r="DH85" s="31"/>
      <c r="DI85" s="31"/>
      <c r="DJ85" s="31"/>
      <c r="DK85" s="31"/>
      <c r="DL85" s="31"/>
      <c r="DM85" s="31"/>
      <c r="DN85" s="31"/>
      <c r="DO85" s="31"/>
      <c r="DP85" s="31"/>
      <c r="DQ85" s="31"/>
      <c r="DR85" s="31"/>
      <c r="DS85" s="31"/>
      <c r="DT85" s="31"/>
      <c r="DU85" s="31"/>
      <c r="DV85" s="31"/>
      <c r="DW85" s="31"/>
      <c r="DX85" s="31"/>
      <c r="DY85" s="31"/>
      <c r="DZ85" s="31"/>
      <c r="EA85" s="31"/>
      <c r="EB85" s="31"/>
      <c r="EC85" s="31"/>
      <c r="ED85" s="31"/>
      <c r="EE85" s="31"/>
      <c r="EF85" s="31"/>
      <c r="EG85" s="31"/>
      <c r="EH85" s="31"/>
      <c r="EI85" s="31"/>
      <c r="EJ85" s="31"/>
      <c r="EK85" s="31"/>
      <c r="EL85" s="31"/>
      <c r="EM85" s="31"/>
      <c r="EN85" s="31"/>
      <c r="EO85" s="31"/>
      <c r="EP85" s="31"/>
      <c r="EQ85" s="31"/>
      <c r="ER85" s="31"/>
      <c r="ES85" s="31"/>
      <c r="ET85" s="31"/>
      <c r="EU85" s="31"/>
      <c r="EV85" s="31"/>
      <c r="EW85" s="31"/>
      <c r="EX85" s="31"/>
      <c r="EY85" s="31"/>
      <c r="EZ85" s="31"/>
      <c r="FA85" s="31"/>
      <c r="FB85" s="31"/>
      <c r="FC85" s="31"/>
      <c r="FD85" s="31"/>
      <c r="FE85" s="31"/>
      <c r="FF85" s="31"/>
      <c r="FG85" s="31"/>
      <c r="FH85" s="31"/>
      <c r="FI85" s="31"/>
      <c r="FJ85" s="31"/>
      <c r="FK85" s="31"/>
      <c r="FL85" s="31"/>
      <c r="FM85" s="31"/>
      <c r="FN85" s="31"/>
      <c r="FO85" s="31"/>
      <c r="FP85" s="31"/>
      <c r="FQ85" s="31"/>
      <c r="FR85" s="31"/>
      <c r="FS85" s="31"/>
      <c r="FT85" s="31"/>
      <c r="FU85" s="31"/>
      <c r="FV85" s="31"/>
      <c r="FW85" s="31"/>
      <c r="FX85" s="31"/>
      <c r="FY85" s="31"/>
      <c r="FZ85" s="31"/>
      <c r="GA85" s="31"/>
      <c r="GB85" s="31"/>
      <c r="GC85" s="31"/>
      <c r="GD85" s="31"/>
      <c r="GE85" s="31"/>
      <c r="GF85" s="31"/>
      <c r="GG85" s="31"/>
      <c r="GH85" s="31"/>
      <c r="GI85" s="31"/>
      <c r="GJ85" s="31"/>
      <c r="GK85" s="31"/>
      <c r="GL85" s="31"/>
      <c r="GM85" s="31"/>
      <c r="GN85" s="31"/>
      <c r="GO85" s="31"/>
      <c r="GP85" s="31"/>
      <c r="GQ85" s="31"/>
      <c r="GR85" s="31"/>
      <c r="GS85" s="31"/>
      <c r="GT85" s="31"/>
      <c r="GU85" s="31"/>
      <c r="GV85" s="31"/>
      <c r="GW85" s="31"/>
      <c r="GX85" s="31"/>
      <c r="GY85" s="31"/>
      <c r="GZ85" s="31"/>
      <c r="HA85" s="31"/>
      <c r="HB85" s="31"/>
      <c r="HC85" s="31"/>
      <c r="HD85" s="31"/>
      <c r="HE85" s="31"/>
      <c r="HF85" s="31"/>
      <c r="HG85" s="31"/>
      <c r="HH85" s="31"/>
      <c r="HI85" s="31"/>
      <c r="HJ85" s="31"/>
      <c r="HK85" s="31"/>
      <c r="HL85" s="31"/>
      <c r="HM85" s="31"/>
      <c r="HN85" s="31"/>
      <c r="HO85" s="31"/>
      <c r="HP85" s="31"/>
      <c r="HQ85" s="31"/>
      <c r="HR85" s="31"/>
      <c r="HS85" s="31"/>
      <c r="HT85" s="31"/>
      <c r="HU85" s="31"/>
      <c r="HV85" s="31"/>
      <c r="HW85" s="31"/>
      <c r="HX85" s="31"/>
      <c r="HY85" s="31"/>
      <c r="HZ85" s="31"/>
      <c r="IA85" s="31"/>
      <c r="IB85" s="31"/>
      <c r="IC85" s="31"/>
      <c r="ID85" s="31"/>
      <c r="IE85" s="31"/>
      <c r="IF85" s="31"/>
      <c r="IG85" s="31"/>
      <c r="IH85" s="31"/>
      <c r="II85" s="31"/>
      <c r="IJ85" s="31"/>
      <c r="IK85" s="31"/>
      <c r="IL85" s="31"/>
      <c r="IM85" s="31"/>
      <c r="IN85" s="31"/>
      <c r="IO85" s="31"/>
      <c r="IP85" s="31"/>
      <c r="IQ85" s="31"/>
      <c r="IR85" s="31"/>
      <c r="IS85" s="31"/>
      <c r="IT85" s="31"/>
      <c r="IU85" s="31"/>
      <c r="IV85" s="31"/>
      <c r="IW85" s="31"/>
    </row>
    <row r="86" spans="1:257" ht="16.5" customHeight="1">
      <c r="A86" s="217">
        <v>75</v>
      </c>
      <c r="B86" s="83" t="s">
        <v>182</v>
      </c>
      <c r="C86" s="83" t="s">
        <v>95</v>
      </c>
      <c r="D86" s="53"/>
      <c r="E86" s="44"/>
      <c r="F86" s="44">
        <f>416.59*1796890.93</f>
        <v>748566792.52869987</v>
      </c>
      <c r="G86" s="44">
        <f>416.59*11674995.17</f>
        <v>4863686237.8702993</v>
      </c>
      <c r="H86" s="44"/>
      <c r="I86" s="44"/>
      <c r="J86" s="44">
        <f>416.59*13566335.34</f>
        <v>5651599639.2905998</v>
      </c>
      <c r="K86" s="44">
        <f>416.59*123403.32</f>
        <v>51408589.0788</v>
      </c>
      <c r="L86" s="44">
        <f>416.59*20219.45</f>
        <v>8423220.6754999999</v>
      </c>
      <c r="M86" s="194">
        <f>416.59*103183.87</f>
        <v>42985368.403299995</v>
      </c>
      <c r="N86" s="44">
        <f>416.59*13619985.98</f>
        <v>5673949959.4082003</v>
      </c>
      <c r="O86" s="44">
        <f>416.59*41571</f>
        <v>17318062.890000001</v>
      </c>
      <c r="P86" s="46">
        <f>416.26*13530572.71</f>
        <v>5632236196.2645998</v>
      </c>
      <c r="Q86" s="47">
        <f t="shared" si="44"/>
        <v>2.1892321190191594E-2</v>
      </c>
      <c r="R86" s="46">
        <f>416.59*13578414.83</f>
        <v>5656631834.0296993</v>
      </c>
      <c r="S86" s="47">
        <f t="shared" si="45"/>
        <v>2.1049768249975322E-2</v>
      </c>
      <c r="T86" s="48">
        <f t="shared" si="46"/>
        <v>4.3314301664548714E-3</v>
      </c>
      <c r="U86" s="84">
        <f t="shared" si="47"/>
        <v>1.4890876625250373E-3</v>
      </c>
      <c r="V86" s="49">
        <f t="shared" si="48"/>
        <v>7.5991101532725822E-3</v>
      </c>
      <c r="W86" s="50">
        <f t="shared" si="49"/>
        <v>4403.9605011590238</v>
      </c>
      <c r="X86" s="50">
        <f t="shared" si="50"/>
        <v>33.466180958968948</v>
      </c>
      <c r="Y86" s="206">
        <f>416.59*1.21</f>
        <v>504.07389999999998</v>
      </c>
      <c r="Z86" s="206">
        <f>416.59*1.21</f>
        <v>504.07389999999998</v>
      </c>
      <c r="AA86" s="198">
        <v>121</v>
      </c>
      <c r="AB86" s="197">
        <v>1284442</v>
      </c>
      <c r="AC86" s="13"/>
      <c r="AD86" s="21"/>
      <c r="AE86" s="4"/>
      <c r="AF86" s="4"/>
      <c r="AG86" s="5"/>
      <c r="AH86" s="6"/>
      <c r="AI86" s="6"/>
      <c r="AJ86" s="6"/>
      <c r="AK86" s="7"/>
      <c r="AL86" s="5"/>
      <c r="AM86" s="6"/>
      <c r="AN86" s="6"/>
      <c r="AO86" s="6"/>
      <c r="AP86" s="7"/>
      <c r="AQ86" s="5"/>
      <c r="AR86" s="6"/>
      <c r="AS86" s="6"/>
      <c r="AT86" s="6"/>
      <c r="AU86" s="7"/>
    </row>
    <row r="87" spans="1:257" ht="16.5" customHeight="1">
      <c r="A87" s="217">
        <v>76</v>
      </c>
      <c r="B87" s="83" t="s">
        <v>47</v>
      </c>
      <c r="C87" s="83" t="s">
        <v>96</v>
      </c>
      <c r="D87" s="53"/>
      <c r="E87" s="44"/>
      <c r="F87" s="52"/>
      <c r="G87" s="44">
        <v>662248044.21000004</v>
      </c>
      <c r="H87" s="44"/>
      <c r="I87" s="52"/>
      <c r="J87" s="52">
        <v>662248044.21000004</v>
      </c>
      <c r="K87" s="52">
        <v>2268198.0299999998</v>
      </c>
      <c r="L87" s="52">
        <v>678482.91</v>
      </c>
      <c r="M87" s="213">
        <v>1589715.12</v>
      </c>
      <c r="N87" s="44">
        <v>668846373.79999995</v>
      </c>
      <c r="O87" s="52">
        <v>14052225.630000001</v>
      </c>
      <c r="P87" s="46">
        <v>656473658.60000002</v>
      </c>
      <c r="Q87" s="47">
        <f t="shared" si="44"/>
        <v>2.5516920253633845E-3</v>
      </c>
      <c r="R87" s="46">
        <v>654794148.21000004</v>
      </c>
      <c r="S87" s="47">
        <f t="shared" si="45"/>
        <v>2.4366558538142483E-3</v>
      </c>
      <c r="T87" s="48">
        <f t="shared" si="46"/>
        <v>-2.5583819975072883E-3</v>
      </c>
      <c r="U87" s="84">
        <f t="shared" si="47"/>
        <v>1.0361774182844449E-3</v>
      </c>
      <c r="V87" s="49">
        <f t="shared" si="48"/>
        <v>2.4278089905747906E-3</v>
      </c>
      <c r="W87" s="50">
        <f t="shared" si="49"/>
        <v>47016.16631076327</v>
      </c>
      <c r="X87" s="50">
        <f t="shared" si="50"/>
        <v>114.14627127163065</v>
      </c>
      <c r="Y87" s="52">
        <v>114.39100000000001</v>
      </c>
      <c r="Z87" s="52">
        <v>116.8458</v>
      </c>
      <c r="AA87" s="51">
        <v>30</v>
      </c>
      <c r="AB87" s="145">
        <v>13927</v>
      </c>
      <c r="AC87" s="13"/>
      <c r="AD87" s="4"/>
      <c r="AE87" s="4"/>
      <c r="AF87" s="4"/>
      <c r="AG87" s="5"/>
      <c r="AH87" s="6"/>
      <c r="AI87" s="6"/>
      <c r="AJ87" s="6"/>
      <c r="AK87" s="7"/>
      <c r="AL87" s="5"/>
      <c r="AM87" s="6"/>
      <c r="AN87" s="6"/>
      <c r="AO87" s="6"/>
      <c r="AP87" s="7"/>
      <c r="AQ87" s="5"/>
      <c r="AR87" s="6"/>
      <c r="AS87" s="6"/>
      <c r="AT87" s="6"/>
      <c r="AU87" s="7"/>
    </row>
    <row r="88" spans="1:257" ht="16.5" customHeight="1">
      <c r="A88" s="217">
        <v>77</v>
      </c>
      <c r="B88" s="83" t="s">
        <v>32</v>
      </c>
      <c r="C88" s="83" t="s">
        <v>97</v>
      </c>
      <c r="D88" s="53"/>
      <c r="E88" s="53"/>
      <c r="F88" s="53"/>
      <c r="G88" s="45">
        <v>624439020.32000005</v>
      </c>
      <c r="H88" s="53"/>
      <c r="I88" s="53"/>
      <c r="J88" s="45">
        <v>624439020.32000005</v>
      </c>
      <c r="K88" s="45">
        <v>4569371.3899999997</v>
      </c>
      <c r="L88" s="45">
        <v>1299765.3</v>
      </c>
      <c r="M88" s="213">
        <v>3269606.09</v>
      </c>
      <c r="N88" s="44">
        <v>653435745.73000002</v>
      </c>
      <c r="O88" s="52">
        <v>9129830.1400000006</v>
      </c>
      <c r="P88" s="46">
        <v>726204341.77999997</v>
      </c>
      <c r="Q88" s="47">
        <f t="shared" si="44"/>
        <v>2.8227329511683955E-3</v>
      </c>
      <c r="R88" s="46">
        <v>644305915.60000002</v>
      </c>
      <c r="S88" s="47">
        <f t="shared" si="45"/>
        <v>2.3976264680825882E-3</v>
      </c>
      <c r="T88" s="48">
        <f t="shared" si="46"/>
        <v>-0.11277600734148553</v>
      </c>
      <c r="U88" s="84">
        <f t="shared" si="47"/>
        <v>2.0173108278691088E-3</v>
      </c>
      <c r="V88" s="49">
        <f t="shared" si="48"/>
        <v>5.0746175238127822E-3</v>
      </c>
      <c r="W88" s="50">
        <f t="shared" si="49"/>
        <v>38907.831954492205</v>
      </c>
      <c r="X88" s="50">
        <f t="shared" si="50"/>
        <v>197.44236584982912</v>
      </c>
      <c r="Y88" s="52">
        <f>93.5082*416.59</f>
        <v>38954.581037999997</v>
      </c>
      <c r="Z88" s="52">
        <f>93.5082*416.59</f>
        <v>38954.581037999997</v>
      </c>
      <c r="AA88" s="51">
        <v>174</v>
      </c>
      <c r="AB88" s="145">
        <v>16559.8</v>
      </c>
      <c r="AC88" s="3"/>
      <c r="AD88" s="9"/>
      <c r="AE88" s="9"/>
      <c r="AF88" s="9"/>
      <c r="AG88" s="5"/>
      <c r="AH88" s="6"/>
      <c r="AI88" s="6"/>
      <c r="AJ88" s="6"/>
      <c r="AK88" s="7"/>
      <c r="AL88" s="5"/>
      <c r="AM88" s="6"/>
      <c r="AN88" s="6"/>
      <c r="AO88" s="6"/>
      <c r="AP88" s="7"/>
      <c r="AQ88" s="5"/>
      <c r="AR88" s="6"/>
      <c r="AS88" s="6"/>
      <c r="AT88" s="6"/>
      <c r="AU88" s="7"/>
    </row>
    <row r="89" spans="1:257" ht="16.5" customHeight="1">
      <c r="A89" s="217">
        <v>78</v>
      </c>
      <c r="B89" s="82" t="s">
        <v>36</v>
      </c>
      <c r="C89" s="83" t="s">
        <v>98</v>
      </c>
      <c r="D89" s="53"/>
      <c r="E89" s="53"/>
      <c r="F89" s="53"/>
      <c r="G89" s="104">
        <f>416.59*10923493.79</f>
        <v>4550618277.976099</v>
      </c>
      <c r="H89" s="53"/>
      <c r="I89" s="53"/>
      <c r="J89" s="104">
        <f>416.59*10923493.79</f>
        <v>4550618277.976099</v>
      </c>
      <c r="K89" s="104">
        <f>416.59*84887.5</f>
        <v>35363283.625</v>
      </c>
      <c r="L89" s="104">
        <f>416.59*244375.04</f>
        <v>101804197.9136</v>
      </c>
      <c r="M89" s="214">
        <f>416.59*258205.99</f>
        <v>107566033.37409998</v>
      </c>
      <c r="N89" s="104">
        <f>416.59*14978738</f>
        <v>6239992463.4200001</v>
      </c>
      <c r="O89" s="104">
        <f>416.59*49977</f>
        <v>20819918.43</v>
      </c>
      <c r="P89" s="46">
        <v>6341228924.2799997</v>
      </c>
      <c r="Q89" s="187">
        <f t="shared" si="44"/>
        <v>2.4648153151485656E-2</v>
      </c>
      <c r="R89" s="46">
        <f>416.59*14928761</f>
        <v>6219172544.9899998</v>
      </c>
      <c r="S89" s="47">
        <f t="shared" si="45"/>
        <v>2.3143125559470765E-2</v>
      </c>
      <c r="T89" s="48">
        <f>((R89-P89)/P89)</f>
        <v>-1.9248063860722166E-2</v>
      </c>
      <c r="U89" s="84">
        <f>(L89/R89)</f>
        <v>1.6369412036270122E-2</v>
      </c>
      <c r="V89" s="49">
        <f>M89/R89</f>
        <v>1.729587539113259E-2</v>
      </c>
      <c r="W89" s="50">
        <f>R89/AB89</f>
        <v>691.87979325282947</v>
      </c>
      <c r="X89" s="50">
        <f>M89/AB89</f>
        <v>11.966666689743517</v>
      </c>
      <c r="Y89" s="52">
        <f>416.59*1.0612</f>
        <v>442.08530799999994</v>
      </c>
      <c r="Z89" s="44">
        <f>416.59*1.0665</f>
        <v>444.29323499999998</v>
      </c>
      <c r="AA89" s="51">
        <v>456</v>
      </c>
      <c r="AB89" s="145">
        <v>8988805</v>
      </c>
      <c r="AC89" s="10"/>
      <c r="AD89" s="10"/>
      <c r="AE89" s="10"/>
      <c r="AF89" s="11"/>
      <c r="AG89" s="5"/>
      <c r="AH89" s="6"/>
      <c r="AI89" s="6"/>
      <c r="AJ89" s="6"/>
      <c r="AK89" s="7"/>
      <c r="AL89" s="5"/>
      <c r="AM89" s="6"/>
      <c r="AN89" s="6"/>
      <c r="AO89" s="6"/>
      <c r="AP89" s="7"/>
      <c r="AQ89" s="5"/>
      <c r="AR89" s="6"/>
      <c r="AS89" s="6"/>
      <c r="AT89" s="6"/>
      <c r="AU89" s="7"/>
    </row>
    <row r="90" spans="1:257" ht="16.5" customHeight="1">
      <c r="A90" s="217">
        <v>79</v>
      </c>
      <c r="B90" s="82" t="s">
        <v>160</v>
      </c>
      <c r="C90" s="116" t="s">
        <v>163</v>
      </c>
      <c r="D90" s="53"/>
      <c r="E90" s="44"/>
      <c r="F90" s="52"/>
      <c r="G90" s="44">
        <v>731889903.30999994</v>
      </c>
      <c r="H90" s="44"/>
      <c r="I90" s="52"/>
      <c r="J90" s="52">
        <v>731889903.30999994</v>
      </c>
      <c r="K90" s="52">
        <v>3634302</v>
      </c>
      <c r="L90" s="52">
        <v>1347826.95</v>
      </c>
      <c r="M90" s="213">
        <v>2286475.04</v>
      </c>
      <c r="N90" s="44">
        <v>844017588.85000002</v>
      </c>
      <c r="O90" s="52">
        <v>822709052.00999999</v>
      </c>
      <c r="P90" s="46">
        <v>793363333.40999997</v>
      </c>
      <c r="Q90" s="47">
        <f t="shared" si="44"/>
        <v>3.083777794520039E-3</v>
      </c>
      <c r="R90" s="46">
        <v>827522541.15999997</v>
      </c>
      <c r="S90" s="47">
        <f t="shared" si="45"/>
        <v>3.0794222116873248E-3</v>
      </c>
      <c r="T90" s="48">
        <f t="shared" ref="T90" si="51">((R90-P90)/P90)</f>
        <v>4.3056196715291054E-2</v>
      </c>
      <c r="U90" s="84">
        <f t="shared" ref="U90" si="52">(L90/R90)</f>
        <v>1.6287495300256723E-3</v>
      </c>
      <c r="V90" s="49">
        <f t="shared" ref="V90" si="53">M90/R90</f>
        <v>2.7630365654993248E-3</v>
      </c>
      <c r="W90" s="50">
        <f t="shared" ref="W90" si="54">R90/AB90</f>
        <v>42250.371750256301</v>
      </c>
      <c r="X90" s="50">
        <f t="shared" ref="X90" si="55">M90/AB90</f>
        <v>116.73932205189787</v>
      </c>
      <c r="Y90" s="52">
        <v>101.42</v>
      </c>
      <c r="Z90" s="52">
        <v>101.42</v>
      </c>
      <c r="AA90" s="51">
        <v>34</v>
      </c>
      <c r="AB90" s="145">
        <v>19586.16</v>
      </c>
      <c r="AC90" s="13"/>
      <c r="AD90" s="4"/>
      <c r="AE90" s="4"/>
      <c r="AF90" s="4"/>
      <c r="AG90" s="5"/>
      <c r="AH90" s="6"/>
      <c r="AI90" s="6"/>
      <c r="AJ90" s="6"/>
      <c r="AK90" s="7"/>
      <c r="AL90" s="5"/>
      <c r="AM90" s="6"/>
      <c r="AN90" s="6"/>
      <c r="AO90" s="6"/>
      <c r="AP90" s="7"/>
      <c r="AQ90" s="5"/>
      <c r="AR90" s="6"/>
      <c r="AS90" s="6"/>
      <c r="AT90" s="6"/>
      <c r="AU90" s="7"/>
    </row>
    <row r="91" spans="1:257" ht="16.5" customHeight="1">
      <c r="A91" s="217">
        <v>80</v>
      </c>
      <c r="B91" s="82" t="s">
        <v>43</v>
      </c>
      <c r="C91" s="116" t="s">
        <v>214</v>
      </c>
      <c r="D91" s="53"/>
      <c r="E91" s="44"/>
      <c r="F91" s="52"/>
      <c r="G91" s="44">
        <f>416.59*6568802.2</f>
        <v>2736497308.4980001</v>
      </c>
      <c r="H91" s="44"/>
      <c r="I91" s="52"/>
      <c r="J91" s="44">
        <f>416.59*6568802.2</f>
        <v>2736497308.4980001</v>
      </c>
      <c r="K91" s="52">
        <f>416.59*136596.37</f>
        <v>56904681.778299995</v>
      </c>
      <c r="L91" s="52">
        <f>416.59*7476.45</f>
        <v>3114614.3054999998</v>
      </c>
      <c r="M91" s="213">
        <f>416.59*129119.92</f>
        <v>53790067.472799994</v>
      </c>
      <c r="N91" s="226">
        <f>416.59*8519546.99</f>
        <v>3549158080.5640998</v>
      </c>
      <c r="O91" s="226">
        <f>416.59*8482.03</f>
        <v>3533528.8777000001</v>
      </c>
      <c r="P91" s="46">
        <v>0</v>
      </c>
      <c r="Q91" s="47">
        <f t="shared" si="44"/>
        <v>0</v>
      </c>
      <c r="R91" s="46">
        <f>416.59*8511064.96</f>
        <v>3545624551.6863999</v>
      </c>
      <c r="S91" s="47">
        <f t="shared" si="45"/>
        <v>1.3194172310353955E-2</v>
      </c>
      <c r="T91" s="48" t="e">
        <f t="shared" ref="T91" si="56">((R91-P91)/P91)</f>
        <v>#DIV/0!</v>
      </c>
      <c r="U91" s="84">
        <f t="shared" ref="U91" si="57">(L91/R91)</f>
        <v>8.7843883640150236E-4</v>
      </c>
      <c r="V91" s="49">
        <f t="shared" ref="V91" si="58">M91/R91</f>
        <v>1.5170830043811577E-2</v>
      </c>
      <c r="W91" s="50">
        <f t="shared" ref="W91" si="59">R91/AB91</f>
        <v>49183.947629312963</v>
      </c>
      <c r="X91" s="50">
        <f t="shared" ref="X91" si="60">M91/AB91</f>
        <v>746.16131036803631</v>
      </c>
      <c r="Y91" s="52">
        <f>416.59*118.06</f>
        <v>49182.615399999995</v>
      </c>
      <c r="Z91" s="52">
        <f>416.59*118.06</f>
        <v>49182.615399999995</v>
      </c>
      <c r="AA91" s="51">
        <v>262</v>
      </c>
      <c r="AB91" s="145">
        <v>72089.06</v>
      </c>
      <c r="AC91" s="13"/>
      <c r="AD91" s="4"/>
      <c r="AE91" s="4"/>
      <c r="AF91" s="4"/>
      <c r="AG91" s="5"/>
      <c r="AH91" s="6"/>
      <c r="AI91" s="6"/>
      <c r="AJ91" s="6"/>
      <c r="AK91" s="7"/>
      <c r="AL91" s="5"/>
      <c r="AM91" s="6"/>
      <c r="AN91" s="6"/>
      <c r="AO91" s="6"/>
      <c r="AP91" s="7"/>
      <c r="AQ91" s="5"/>
      <c r="AR91" s="6"/>
      <c r="AS91" s="6"/>
      <c r="AT91" s="6"/>
      <c r="AU91" s="7"/>
      <c r="AV91" s="31"/>
      <c r="AW91" s="31"/>
      <c r="AX91" s="31"/>
      <c r="AY91" s="31"/>
      <c r="AZ91" s="31"/>
      <c r="BA91" s="31"/>
      <c r="BB91" s="31"/>
      <c r="BC91" s="31"/>
      <c r="BD91" s="31"/>
      <c r="BE91" s="31"/>
      <c r="BF91" s="31"/>
      <c r="BG91" s="31"/>
      <c r="BH91" s="31"/>
      <c r="BI91" s="31"/>
      <c r="BJ91" s="31"/>
      <c r="BK91" s="31"/>
      <c r="BL91" s="31"/>
      <c r="BM91" s="31"/>
      <c r="BN91" s="31"/>
      <c r="BO91" s="31"/>
      <c r="BP91" s="31"/>
      <c r="BQ91" s="31"/>
      <c r="BR91" s="31"/>
      <c r="BS91" s="31"/>
      <c r="BT91" s="31"/>
      <c r="BU91" s="31"/>
      <c r="BV91" s="31"/>
      <c r="BW91" s="31"/>
      <c r="BX91" s="31"/>
      <c r="BY91" s="31"/>
      <c r="BZ91" s="31"/>
      <c r="CA91" s="31"/>
      <c r="CB91" s="31"/>
      <c r="CC91" s="31"/>
      <c r="CD91" s="31"/>
      <c r="CE91" s="31"/>
      <c r="CF91" s="31"/>
      <c r="CG91" s="31"/>
      <c r="CH91" s="31"/>
      <c r="CI91" s="31"/>
      <c r="CJ91" s="31"/>
      <c r="CK91" s="31"/>
      <c r="CL91" s="31"/>
      <c r="CM91" s="31"/>
      <c r="CN91" s="31"/>
      <c r="CO91" s="31"/>
      <c r="CP91" s="31"/>
      <c r="CQ91" s="31"/>
      <c r="CR91" s="31"/>
      <c r="CS91" s="31"/>
      <c r="CT91" s="31"/>
      <c r="CU91" s="31"/>
      <c r="CV91" s="31"/>
      <c r="CW91" s="31"/>
      <c r="CX91" s="31"/>
      <c r="CY91" s="31"/>
      <c r="CZ91" s="31"/>
      <c r="DA91" s="31"/>
      <c r="DB91" s="31"/>
      <c r="DC91" s="31"/>
      <c r="DD91" s="31"/>
      <c r="DE91" s="31"/>
      <c r="DF91" s="31"/>
      <c r="DG91" s="31"/>
      <c r="DH91" s="31"/>
      <c r="DI91" s="31"/>
      <c r="DJ91" s="31"/>
      <c r="DK91" s="31"/>
      <c r="DL91" s="31"/>
      <c r="DM91" s="31"/>
      <c r="DN91" s="31"/>
      <c r="DO91" s="31"/>
      <c r="DP91" s="31"/>
      <c r="DQ91" s="31"/>
      <c r="DR91" s="31"/>
      <c r="DS91" s="31"/>
      <c r="DT91" s="31"/>
      <c r="DU91" s="31"/>
      <c r="DV91" s="31"/>
      <c r="DW91" s="31"/>
      <c r="DX91" s="31"/>
      <c r="DY91" s="31"/>
      <c r="DZ91" s="31"/>
      <c r="EA91" s="31"/>
      <c r="EB91" s="31"/>
      <c r="EC91" s="31"/>
      <c r="ED91" s="31"/>
      <c r="EE91" s="31"/>
      <c r="EF91" s="31"/>
      <c r="EG91" s="31"/>
      <c r="EH91" s="31"/>
      <c r="EI91" s="31"/>
      <c r="EJ91" s="31"/>
      <c r="EK91" s="31"/>
      <c r="EL91" s="31"/>
      <c r="EM91" s="31"/>
      <c r="EN91" s="31"/>
      <c r="EO91" s="31"/>
      <c r="EP91" s="31"/>
      <c r="EQ91" s="31"/>
      <c r="ER91" s="31"/>
      <c r="ES91" s="31"/>
      <c r="ET91" s="31"/>
      <c r="EU91" s="31"/>
      <c r="EV91" s="31"/>
      <c r="EW91" s="31"/>
      <c r="EX91" s="31"/>
      <c r="EY91" s="31"/>
      <c r="EZ91" s="31"/>
      <c r="FA91" s="31"/>
      <c r="FB91" s="31"/>
      <c r="FC91" s="31"/>
      <c r="FD91" s="31"/>
      <c r="FE91" s="31"/>
      <c r="FF91" s="31"/>
      <c r="FG91" s="31"/>
      <c r="FH91" s="31"/>
      <c r="FI91" s="31"/>
      <c r="FJ91" s="31"/>
      <c r="FK91" s="31"/>
      <c r="FL91" s="31"/>
      <c r="FM91" s="31"/>
      <c r="FN91" s="31"/>
      <c r="FO91" s="31"/>
      <c r="FP91" s="31"/>
      <c r="FQ91" s="31"/>
      <c r="FR91" s="31"/>
      <c r="FS91" s="31"/>
      <c r="FT91" s="31"/>
      <c r="FU91" s="31"/>
      <c r="FV91" s="31"/>
      <c r="FW91" s="31"/>
      <c r="FX91" s="31"/>
      <c r="FY91" s="31"/>
      <c r="FZ91" s="31"/>
      <c r="GA91" s="31"/>
      <c r="GB91" s="31"/>
      <c r="GC91" s="31"/>
      <c r="GD91" s="31"/>
      <c r="GE91" s="31"/>
      <c r="GF91" s="31"/>
      <c r="GG91" s="31"/>
      <c r="GH91" s="31"/>
      <c r="GI91" s="31"/>
      <c r="GJ91" s="31"/>
      <c r="GK91" s="31"/>
      <c r="GL91" s="31"/>
      <c r="GM91" s="31"/>
      <c r="GN91" s="31"/>
      <c r="GO91" s="31"/>
      <c r="GP91" s="31"/>
      <c r="GQ91" s="31"/>
      <c r="GR91" s="31"/>
      <c r="GS91" s="31"/>
      <c r="GT91" s="31"/>
      <c r="GU91" s="31"/>
      <c r="GV91" s="31"/>
      <c r="GW91" s="31"/>
      <c r="GX91" s="31"/>
      <c r="GY91" s="31"/>
      <c r="GZ91" s="31"/>
      <c r="HA91" s="31"/>
      <c r="HB91" s="31"/>
      <c r="HC91" s="31"/>
      <c r="HD91" s="31"/>
      <c r="HE91" s="31"/>
      <c r="HF91" s="31"/>
      <c r="HG91" s="31"/>
      <c r="HH91" s="31"/>
      <c r="HI91" s="31"/>
      <c r="HJ91" s="31"/>
      <c r="HK91" s="31"/>
      <c r="HL91" s="31"/>
      <c r="HM91" s="31"/>
      <c r="HN91" s="31"/>
      <c r="HO91" s="31"/>
      <c r="HP91" s="31"/>
      <c r="HQ91" s="31"/>
      <c r="HR91" s="31"/>
      <c r="HS91" s="31"/>
      <c r="HT91" s="31"/>
      <c r="HU91" s="31"/>
      <c r="HV91" s="31"/>
      <c r="HW91" s="31"/>
      <c r="HX91" s="31"/>
      <c r="HY91" s="31"/>
      <c r="HZ91" s="31"/>
      <c r="IA91" s="31"/>
      <c r="IB91" s="31"/>
      <c r="IC91" s="31"/>
      <c r="ID91" s="31"/>
      <c r="IE91" s="31"/>
      <c r="IF91" s="31"/>
      <c r="IG91" s="31"/>
      <c r="IH91" s="31"/>
      <c r="II91" s="31"/>
      <c r="IJ91" s="31"/>
      <c r="IK91" s="31"/>
      <c r="IL91" s="31"/>
      <c r="IM91" s="31"/>
      <c r="IN91" s="31"/>
      <c r="IO91" s="31"/>
      <c r="IP91" s="31"/>
      <c r="IQ91" s="31"/>
      <c r="IR91" s="31"/>
      <c r="IS91" s="31"/>
      <c r="IT91" s="31"/>
      <c r="IU91" s="31"/>
      <c r="IV91" s="31"/>
      <c r="IW91" s="31"/>
    </row>
    <row r="92" spans="1:257" ht="6" customHeight="1">
      <c r="A92" s="217"/>
      <c r="B92" s="82"/>
      <c r="C92" s="83"/>
      <c r="D92" s="101"/>
      <c r="E92" s="101"/>
      <c r="F92" s="101"/>
      <c r="G92" s="101"/>
      <c r="H92" s="101"/>
      <c r="I92" s="78"/>
      <c r="J92" s="80"/>
      <c r="K92" s="80"/>
      <c r="L92" s="80"/>
      <c r="M92" s="213"/>
      <c r="N92" s="44"/>
      <c r="O92" s="44"/>
      <c r="P92" s="54"/>
      <c r="Q92" s="47"/>
      <c r="R92" s="54"/>
      <c r="S92" s="47"/>
      <c r="T92" s="48"/>
      <c r="U92" s="84"/>
      <c r="V92" s="49"/>
      <c r="W92" s="50"/>
      <c r="X92" s="50"/>
      <c r="Y92" s="44"/>
      <c r="Z92" s="44"/>
      <c r="AA92" s="51"/>
      <c r="AB92" s="144"/>
      <c r="AC92" s="13"/>
      <c r="AD92" s="4"/>
      <c r="AE92" s="4"/>
      <c r="AF92" s="4"/>
      <c r="AG92" s="5"/>
      <c r="AH92" s="6"/>
      <c r="AI92" s="6"/>
      <c r="AJ92" s="6"/>
      <c r="AK92" s="7"/>
      <c r="AL92" s="5"/>
      <c r="AM92" s="6"/>
      <c r="AN92" s="6"/>
      <c r="AO92" s="6"/>
      <c r="AP92" s="7"/>
      <c r="AQ92" s="5"/>
      <c r="AR92" s="6"/>
      <c r="AS92" s="6"/>
      <c r="AT92" s="6"/>
      <c r="AU92" s="7"/>
    </row>
    <row r="93" spans="1:257" ht="16.5" customHeight="1">
      <c r="A93" s="228" t="s">
        <v>180</v>
      </c>
      <c r="B93" s="229"/>
      <c r="C93" s="229"/>
      <c r="D93" s="123"/>
      <c r="E93" s="123"/>
      <c r="F93" s="123"/>
      <c r="G93" s="123"/>
      <c r="H93" s="123"/>
      <c r="I93" s="123"/>
      <c r="J93" s="123"/>
      <c r="K93" s="123"/>
      <c r="L93" s="123"/>
      <c r="M93" s="212"/>
      <c r="N93" s="123"/>
      <c r="O93" s="123"/>
      <c r="P93" s="123"/>
      <c r="Q93" s="124"/>
      <c r="R93" s="123"/>
      <c r="S93" s="124"/>
      <c r="T93" s="124"/>
      <c r="U93" s="125"/>
      <c r="V93" s="126"/>
      <c r="W93" s="127"/>
      <c r="X93" s="127"/>
      <c r="Y93" s="123"/>
      <c r="Z93" s="123"/>
      <c r="AA93" s="123"/>
      <c r="AB93" s="153"/>
      <c r="AC93" s="13"/>
      <c r="AD93" s="4"/>
      <c r="AE93" s="4"/>
      <c r="AF93" s="4"/>
      <c r="AG93" s="5"/>
      <c r="AH93" s="6"/>
      <c r="AI93" s="6"/>
      <c r="AJ93" s="6"/>
      <c r="AK93" s="7"/>
      <c r="AL93" s="5"/>
      <c r="AM93" s="6"/>
      <c r="AN93" s="6"/>
      <c r="AO93" s="6"/>
      <c r="AP93" s="7"/>
      <c r="AQ93" s="5"/>
      <c r="AR93" s="6"/>
      <c r="AS93" s="6"/>
      <c r="AT93" s="6"/>
      <c r="AU93" s="7"/>
    </row>
    <row r="94" spans="1:257" ht="16.5" customHeight="1">
      <c r="A94" s="217">
        <v>81</v>
      </c>
      <c r="B94" s="83" t="s">
        <v>24</v>
      </c>
      <c r="C94" s="116" t="s">
        <v>111</v>
      </c>
      <c r="D94" s="78"/>
      <c r="E94" s="78"/>
      <c r="F94" s="78">
        <f>416.59*122920898.57</f>
        <v>51207617135.276291</v>
      </c>
      <c r="G94" s="78">
        <f>416.59*282042888.26</f>
        <v>117496246820.23338</v>
      </c>
      <c r="H94" s="78"/>
      <c r="I94" s="78"/>
      <c r="J94" s="78">
        <f>416.59*407727814.67</f>
        <v>169855330313.37531</v>
      </c>
      <c r="K94" s="78">
        <f>416.59*2148810.08</f>
        <v>895172791.22720003</v>
      </c>
      <c r="L94" s="78">
        <f>416.59*726630.12</f>
        <v>302706841.69079995</v>
      </c>
      <c r="M94" s="214">
        <f>416.59*1422179.96</f>
        <v>592465949.53639996</v>
      </c>
      <c r="N94" s="78">
        <f>416.59*415466767.51</f>
        <v>173079300676.99088</v>
      </c>
      <c r="O94" s="78">
        <f>416.59*1406918.87</f>
        <v>586108332.05330002</v>
      </c>
      <c r="P94" s="54">
        <f>405288858.01*416.34</f>
        <v>168737963143.88339</v>
      </c>
      <c r="Q94" s="47">
        <f t="shared" ref="Q94:Q100" si="61">(P94/$P$101)</f>
        <v>0.65587904295891875</v>
      </c>
      <c r="R94" s="54">
        <f>416.59*414059848.64</f>
        <v>172493192344.93759</v>
      </c>
      <c r="S94" s="47">
        <f t="shared" ref="S94:S100" si="62">(R94/$R$101)</f>
        <v>0.64189111649727526</v>
      </c>
      <c r="T94" s="48">
        <f>((R94-P94)/P94)</f>
        <v>2.2254797504294297E-2</v>
      </c>
      <c r="U94" s="84">
        <f>(L94/R94)</f>
        <v>1.7548915268810834E-3</v>
      </c>
      <c r="V94" s="49">
        <f>M94/R94</f>
        <v>3.4347207648150872E-3</v>
      </c>
      <c r="W94" s="50">
        <f>R94/AB94</f>
        <v>542.35568510637927</v>
      </c>
      <c r="X94" s="50">
        <f>M94/AB94</f>
        <v>1.8628403335503934</v>
      </c>
      <c r="Y94" s="44">
        <f>416.59*1.3019</f>
        <v>542.358521</v>
      </c>
      <c r="Z94" s="44">
        <f>416.59*1.3019</f>
        <v>542.358521</v>
      </c>
      <c r="AA94" s="68">
        <v>3891</v>
      </c>
      <c r="AB94" s="151">
        <v>318044407.17000002</v>
      </c>
      <c r="AC94" s="13"/>
      <c r="AD94" s="4"/>
      <c r="AE94" s="4"/>
      <c r="AF94" s="4"/>
      <c r="AG94" s="5"/>
      <c r="AH94" s="6"/>
      <c r="AI94" s="6"/>
      <c r="AJ94" s="6"/>
      <c r="AK94" s="7"/>
      <c r="AL94" s="5"/>
      <c r="AM94" s="6"/>
      <c r="AN94" s="6"/>
      <c r="AO94" s="6"/>
      <c r="AP94" s="7"/>
      <c r="AQ94" s="5"/>
      <c r="AR94" s="6"/>
      <c r="AS94" s="6"/>
      <c r="AT94" s="6"/>
      <c r="AU94" s="7"/>
    </row>
    <row r="95" spans="1:257" ht="16.5" customHeight="1">
      <c r="A95" s="217">
        <v>82</v>
      </c>
      <c r="B95" s="82" t="s">
        <v>45</v>
      </c>
      <c r="C95" s="82" t="s">
        <v>114</v>
      </c>
      <c r="D95" s="78"/>
      <c r="E95" s="78"/>
      <c r="F95" s="78">
        <f>416.59*555899.07</f>
        <v>231581993.57129997</v>
      </c>
      <c r="G95" s="78">
        <f>416.59*3486957.7</f>
        <v>1452631708.243</v>
      </c>
      <c r="H95" s="78"/>
      <c r="I95" s="78"/>
      <c r="J95" s="78">
        <f>416.59*4042856.77</f>
        <v>1684213701.8142998</v>
      </c>
      <c r="K95" s="78">
        <f>416.59*20720.84</f>
        <v>8632094.7356000002</v>
      </c>
      <c r="L95" s="78">
        <f>416.59*7649.6</f>
        <v>3186746.8640000001</v>
      </c>
      <c r="M95" s="214">
        <f>416.59*13071.24</f>
        <v>5445347.8715999993</v>
      </c>
      <c r="N95" s="78">
        <f>416.59*4052161.03</f>
        <v>1688089763.4876997</v>
      </c>
      <c r="O95" s="78">
        <f>416.59*36088.51</f>
        <v>15034112.380899999</v>
      </c>
      <c r="P95" s="54">
        <f>416.26*4100706.54</f>
        <v>1706960104.3404</v>
      </c>
      <c r="Q95" s="47">
        <f t="shared" si="61"/>
        <v>6.6348990988423029E-3</v>
      </c>
      <c r="R95" s="54">
        <f>416.59*4016072.52</f>
        <v>1673055651.1067998</v>
      </c>
      <c r="S95" s="47">
        <f t="shared" si="62"/>
        <v>6.2258663385595199E-3</v>
      </c>
      <c r="T95" s="48">
        <f>((R95-P95)/P95)</f>
        <v>-1.9862475489256633E-2</v>
      </c>
      <c r="U95" s="84">
        <f>(L95/R95)</f>
        <v>1.9047464810222105E-3</v>
      </c>
      <c r="V95" s="49">
        <f>M95/R95</f>
        <v>3.2547320634538739E-3</v>
      </c>
      <c r="W95" s="50">
        <f>R95/AB95</f>
        <v>445.3636874642869</v>
      </c>
      <c r="X95" s="50">
        <f>M95/AB95</f>
        <v>1.4495394734880647</v>
      </c>
      <c r="Y95" s="44">
        <f>416.59*1.07</f>
        <v>445.75130000000001</v>
      </c>
      <c r="Z95" s="44">
        <f>416.59*1.07</f>
        <v>445.75130000000001</v>
      </c>
      <c r="AA95" s="68">
        <v>254</v>
      </c>
      <c r="AB95" s="151">
        <v>3756605.4399999999</v>
      </c>
      <c r="AC95" s="13"/>
      <c r="AD95" s="4"/>
      <c r="AE95" s="4"/>
      <c r="AF95" s="4"/>
      <c r="AG95" s="5"/>
      <c r="AH95" s="6"/>
      <c r="AI95" s="6"/>
      <c r="AJ95" s="6"/>
      <c r="AK95" s="7"/>
      <c r="AL95" s="5"/>
      <c r="AM95" s="6"/>
      <c r="AN95" s="6"/>
      <c r="AO95" s="6"/>
      <c r="AP95" s="7"/>
      <c r="AQ95" s="5"/>
      <c r="AR95" s="6"/>
      <c r="AS95" s="6"/>
      <c r="AT95" s="6"/>
      <c r="AU95" s="7"/>
    </row>
    <row r="96" spans="1:257" ht="16.5" customHeight="1">
      <c r="A96" s="217">
        <v>83</v>
      </c>
      <c r="B96" s="83" t="s">
        <v>66</v>
      </c>
      <c r="C96" s="83" t="s">
        <v>120</v>
      </c>
      <c r="D96" s="78"/>
      <c r="E96" s="78"/>
      <c r="F96" s="78"/>
      <c r="G96" s="78">
        <f>9961005.77*416.59</f>
        <v>4149655393.7242994</v>
      </c>
      <c r="H96" s="78"/>
      <c r="I96" s="78"/>
      <c r="J96" s="78">
        <f>9961005.77*416.59</f>
        <v>4149655393.7242994</v>
      </c>
      <c r="K96" s="78">
        <f>416.59*56440.61</f>
        <v>23512593.719899997</v>
      </c>
      <c r="L96" s="78">
        <f>416.59*15204.55</f>
        <v>6334063.4844999993</v>
      </c>
      <c r="M96" s="214">
        <v>17178530.239999998</v>
      </c>
      <c r="N96" s="78">
        <f>416.59*11539895.06</f>
        <v>4807404883.0453997</v>
      </c>
      <c r="O96" s="78">
        <f>416.59*345408.81</f>
        <v>143893856.15789998</v>
      </c>
      <c r="P96" s="54">
        <f>416.26*10741702.48</f>
        <v>4471341074.3248005</v>
      </c>
      <c r="Q96" s="47">
        <f t="shared" si="61"/>
        <v>1.7379959138598623E-2</v>
      </c>
      <c r="R96" s="54">
        <f>11194486.25*416.59</f>
        <v>4663511026.8874998</v>
      </c>
      <c r="S96" s="47">
        <f t="shared" si="62"/>
        <v>1.7354112699474459E-2</v>
      </c>
      <c r="T96" s="48">
        <f t="shared" ref="T96:T98" si="63">((R96-P96)/P96)</f>
        <v>4.2978146683144307E-2</v>
      </c>
      <c r="U96" s="84">
        <f t="shared" ref="U96:U98" si="64">(L96/R96)</f>
        <v>1.3582177565317033E-3</v>
      </c>
      <c r="V96" s="49" t="e">
        <f>#REF!/R96</f>
        <v>#REF!</v>
      </c>
      <c r="W96" s="50">
        <f>R96/AB96</f>
        <v>46137.288921412954</v>
      </c>
      <c r="X96" s="50" t="e">
        <f>#REF!/AB96</f>
        <v>#REF!</v>
      </c>
      <c r="Y96" s="44">
        <f>111.44*416.59</f>
        <v>46424.789599999996</v>
      </c>
      <c r="Z96" s="44">
        <f>111.44*416.59</f>
        <v>46424.789599999996</v>
      </c>
      <c r="AA96" s="68">
        <f>SUM(506,48,31)</f>
        <v>585</v>
      </c>
      <c r="AB96" s="151">
        <v>101079</v>
      </c>
      <c r="AC96" s="13"/>
      <c r="AD96" s="4"/>
      <c r="AE96" s="4"/>
      <c r="AF96" s="4"/>
      <c r="AG96" s="5"/>
      <c r="AH96" s="6"/>
      <c r="AI96" s="6"/>
      <c r="AJ96" s="6"/>
      <c r="AK96" s="7"/>
      <c r="AL96" s="5">
        <v>413.49</v>
      </c>
      <c r="AM96" s="6"/>
      <c r="AN96" s="6"/>
      <c r="AO96" s="6"/>
      <c r="AP96" s="7"/>
      <c r="AQ96" s="5"/>
      <c r="AR96" s="6"/>
      <c r="AS96" s="6"/>
      <c r="AT96" s="6"/>
      <c r="AU96" s="7"/>
    </row>
    <row r="97" spans="1:257" ht="16.5" customHeight="1">
      <c r="A97" s="217">
        <v>84</v>
      </c>
      <c r="B97" s="82" t="s">
        <v>122</v>
      </c>
      <c r="C97" s="83" t="s">
        <v>123</v>
      </c>
      <c r="D97" s="78">
        <f>416.59*889803.1</f>
        <v>370683073.42899996</v>
      </c>
      <c r="E97" s="78"/>
      <c r="F97" s="78"/>
      <c r="G97" s="78"/>
      <c r="H97" s="78"/>
      <c r="I97" s="78"/>
      <c r="J97" s="78">
        <v>370683073.43000001</v>
      </c>
      <c r="K97" s="78">
        <f>416.59*6350.82</f>
        <v>2645688.1037999997</v>
      </c>
      <c r="L97" s="78">
        <f>1592.28*416.59</f>
        <v>663327.92519999994</v>
      </c>
      <c r="M97" s="214">
        <f>416.59*4758.54</f>
        <v>1982360.1785999998</v>
      </c>
      <c r="N97" s="78">
        <f>416.59*1113082.4</f>
        <v>463698997.01599991</v>
      </c>
      <c r="O97" s="78">
        <f>416.59*47332.15</f>
        <v>19718100.368499998</v>
      </c>
      <c r="P97" s="54">
        <f>416.26*1096015.81</f>
        <v>456227541.07060003</v>
      </c>
      <c r="Q97" s="47">
        <f t="shared" si="61"/>
        <v>1.7733417983345663E-3</v>
      </c>
      <c r="R97" s="54">
        <f>416.59*1065750.25</f>
        <v>443980896.64749998</v>
      </c>
      <c r="S97" s="47">
        <f t="shared" si="62"/>
        <v>1.6521660337912407E-3</v>
      </c>
      <c r="T97" s="48">
        <f t="shared" si="63"/>
        <v>-2.6843281741303113E-2</v>
      </c>
      <c r="U97" s="84">
        <f t="shared" si="64"/>
        <v>1.4940460956964353E-3</v>
      </c>
      <c r="V97" s="49">
        <f>M96/R97</f>
        <v>3.8692048170799895E-2</v>
      </c>
      <c r="W97" s="50">
        <f>R97/AB97</f>
        <v>45304.173127295915</v>
      </c>
      <c r="X97" s="50">
        <f>M96/AB97</f>
        <v>1752.9112489795916</v>
      </c>
      <c r="Y97" s="44">
        <f>416.59*108.75</f>
        <v>45304.162499999999</v>
      </c>
      <c r="Z97" s="44">
        <f>416.59*108.75</f>
        <v>45304.162499999999</v>
      </c>
      <c r="AA97" s="68">
        <v>26</v>
      </c>
      <c r="AB97" s="151">
        <v>9800</v>
      </c>
      <c r="AC97" s="3"/>
      <c r="AD97" s="9"/>
      <c r="AE97" s="4"/>
      <c r="AF97" s="4"/>
      <c r="AG97" s="5"/>
      <c r="AH97" s="6"/>
      <c r="AI97" s="6"/>
      <c r="AJ97" s="6"/>
      <c r="AK97" s="7"/>
      <c r="AL97" s="5"/>
      <c r="AM97" s="6"/>
      <c r="AN97" s="6"/>
      <c r="AO97" s="6"/>
      <c r="AP97" s="7"/>
      <c r="AQ97" s="5"/>
      <c r="AR97" s="6"/>
      <c r="AS97" s="6"/>
      <c r="AT97" s="6"/>
      <c r="AU97" s="7"/>
    </row>
    <row r="98" spans="1:257" ht="15.75" customHeight="1">
      <c r="A98" s="217">
        <v>85</v>
      </c>
      <c r="B98" s="82" t="s">
        <v>83</v>
      </c>
      <c r="C98" s="83" t="s">
        <v>124</v>
      </c>
      <c r="D98" s="78"/>
      <c r="E98" s="78"/>
      <c r="F98" s="78">
        <f>416.59*1238098.16</f>
        <v>515779312.47439992</v>
      </c>
      <c r="G98" s="78">
        <f>416.59*3838403.89</f>
        <v>1599040676.5351</v>
      </c>
      <c r="H98" s="78"/>
      <c r="I98" s="78"/>
      <c r="J98" s="78">
        <f>416.59</f>
        <v>416.59</v>
      </c>
      <c r="K98" s="78">
        <f>416.59*5076502.04</f>
        <v>2114819984.8435998</v>
      </c>
      <c r="L98" s="78">
        <f>416.59*8388.8</f>
        <v>3494690.1919999993</v>
      </c>
      <c r="M98" s="214">
        <f>416.59*19184.14</f>
        <v>7991920.8825999992</v>
      </c>
      <c r="N98" s="78">
        <f>416.59*5142518.48</f>
        <v>2142321773.5832</v>
      </c>
      <c r="O98" s="78">
        <f>416.59*54283.8</f>
        <v>22614088.241999999</v>
      </c>
      <c r="P98" s="54">
        <v>2119659424.6300001</v>
      </c>
      <c r="Q98" s="47">
        <f t="shared" si="61"/>
        <v>8.2390481011064155E-3</v>
      </c>
      <c r="R98" s="54">
        <f>416.59*5088234.68</f>
        <v>2119707685.3411996</v>
      </c>
      <c r="S98" s="47">
        <f t="shared" si="62"/>
        <v>7.8879723558635262E-3</v>
      </c>
      <c r="T98" s="48">
        <f t="shared" si="63"/>
        <v>2.2768144088971382E-5</v>
      </c>
      <c r="U98" s="84">
        <f t="shared" si="64"/>
        <v>1.648666094937272E-3</v>
      </c>
      <c r="V98" s="49">
        <f t="shared" ref="V98" si="65">M98/R98</f>
        <v>3.7702938654551213E-3</v>
      </c>
      <c r="W98" s="50">
        <f t="shared" ref="W98" si="66">R98/AB98</f>
        <v>454.26426551805849</v>
      </c>
      <c r="X98" s="50">
        <f t="shared" ref="X98" si="67">M98/AB98</f>
        <v>1.7127097735782122</v>
      </c>
      <c r="Y98" s="44">
        <f>416.59*1.09</f>
        <v>454.0831</v>
      </c>
      <c r="Z98" s="44">
        <f>416.59*1.09</f>
        <v>454.0831</v>
      </c>
      <c r="AA98" s="68">
        <v>135</v>
      </c>
      <c r="AB98" s="151">
        <v>4666243.5199999996</v>
      </c>
      <c r="AC98" s="37"/>
      <c r="AD98" s="10"/>
      <c r="AE98" s="13"/>
      <c r="AF98" s="4"/>
      <c r="AG98" s="5"/>
      <c r="AH98" s="6"/>
      <c r="AI98" s="6"/>
      <c r="AJ98" s="6"/>
      <c r="AK98" s="7"/>
      <c r="AL98" s="5"/>
      <c r="AM98" s="6"/>
      <c r="AN98" s="6"/>
      <c r="AO98" s="6"/>
      <c r="AP98" s="7"/>
      <c r="AQ98" s="5"/>
      <c r="AR98" s="6"/>
      <c r="AS98" s="6"/>
      <c r="AT98" s="6"/>
      <c r="AU98" s="7"/>
    </row>
    <row r="99" spans="1:257" ht="16.5" customHeight="1">
      <c r="A99" s="217">
        <v>86</v>
      </c>
      <c r="B99" s="82" t="s">
        <v>90</v>
      </c>
      <c r="C99" s="83" t="s">
        <v>125</v>
      </c>
      <c r="D99" s="78"/>
      <c r="E99" s="78"/>
      <c r="F99" s="78"/>
      <c r="G99" s="78">
        <f>416.59*203231.32</f>
        <v>84664135.598800004</v>
      </c>
      <c r="H99" s="78"/>
      <c r="I99" s="78"/>
      <c r="J99" s="78">
        <f>416.59*203231.32</f>
        <v>84664135.598800004</v>
      </c>
      <c r="K99" s="78">
        <f>416.59*1032.81</f>
        <v>430258.31789999997</v>
      </c>
      <c r="L99" s="78">
        <f>416.59*87.91</f>
        <v>36622.426899999999</v>
      </c>
      <c r="M99" s="193">
        <f>416.59*944.9</f>
        <v>393635.89099999995</v>
      </c>
      <c r="N99" s="44">
        <f>416.59*239999.73</f>
        <v>99981487.520699993</v>
      </c>
      <c r="O99" s="44">
        <f>416.59*2448.13</f>
        <v>1019866.4767</v>
      </c>
      <c r="P99" s="54">
        <v>102974623</v>
      </c>
      <c r="Q99" s="47">
        <f t="shared" si="61"/>
        <v>4.0025905210616317E-4</v>
      </c>
      <c r="R99" s="54">
        <f>416.59*238895.74</f>
        <v>99521576.326599985</v>
      </c>
      <c r="S99" s="47">
        <f t="shared" si="62"/>
        <v>3.7034514159900352E-4</v>
      </c>
      <c r="T99" s="48">
        <f>((R99-P99)/P99)</f>
        <v>-3.3532986796174183E-2</v>
      </c>
      <c r="U99" s="84">
        <f>(L99/R99)</f>
        <v>3.6798479537558941E-4</v>
      </c>
      <c r="V99" s="49">
        <f>M99/R99</f>
        <v>3.9552819150312181E-3</v>
      </c>
      <c r="W99" s="50">
        <f>R99/AB99</f>
        <v>389.53980204943531</v>
      </c>
      <c r="X99" s="50">
        <f>M99/AB99</f>
        <v>1.5407397342309723</v>
      </c>
      <c r="Y99" s="44">
        <v>414.5</v>
      </c>
      <c r="Z99" s="44">
        <v>414.5</v>
      </c>
      <c r="AA99" s="68">
        <v>5</v>
      </c>
      <c r="AB99" s="151">
        <v>255485</v>
      </c>
      <c r="AC99" s="25"/>
      <c r="AD99" s="22"/>
      <c r="AE99" s="4"/>
      <c r="AF99" s="4"/>
      <c r="AG99" s="5"/>
      <c r="AH99" s="6"/>
      <c r="AI99" s="6"/>
      <c r="AJ99" s="6"/>
      <c r="AK99" s="7"/>
      <c r="AL99" s="5"/>
      <c r="AM99" s="6"/>
      <c r="AN99" s="6"/>
      <c r="AO99" s="6"/>
      <c r="AP99" s="7"/>
      <c r="AQ99" s="5"/>
      <c r="AR99" s="6"/>
      <c r="AS99" s="6"/>
      <c r="AT99" s="6"/>
      <c r="AU99" s="7"/>
    </row>
    <row r="100" spans="1:257" ht="16.5" customHeight="1">
      <c r="A100" s="217">
        <v>87</v>
      </c>
      <c r="B100" s="82" t="s">
        <v>30</v>
      </c>
      <c r="C100" s="117" t="s">
        <v>183</v>
      </c>
      <c r="D100" s="78"/>
      <c r="E100" s="78"/>
      <c r="F100" s="78">
        <f>416.59*100131.9</f>
        <v>41713948.220999993</v>
      </c>
      <c r="G100" s="78">
        <f>416.59*3907889.2</f>
        <v>1627987561.8280001</v>
      </c>
      <c r="H100" s="78"/>
      <c r="I100" s="78"/>
      <c r="J100" s="78">
        <f>416.59*4008021.6</f>
        <v>1669701718.3439999</v>
      </c>
      <c r="K100" s="78">
        <f>416.59*23321.4</f>
        <v>9715462.0260000005</v>
      </c>
      <c r="L100" s="78">
        <f>416.59*7149.1</f>
        <v>2978243.5690000001</v>
      </c>
      <c r="M100" s="193">
        <f>416.59*16172.3</f>
        <v>6737218.4569999995</v>
      </c>
      <c r="N100" s="78">
        <f>416.59*4085518</f>
        <v>1701985943.6199999</v>
      </c>
      <c r="O100" s="78">
        <f>416.59*33278.8</f>
        <v>13863615.292000001</v>
      </c>
      <c r="P100" s="54">
        <f>416.26*3929131.7</f>
        <v>1635540361.4420002</v>
      </c>
      <c r="Q100" s="187">
        <f t="shared" si="61"/>
        <v>6.3572928521636483E-3</v>
      </c>
      <c r="R100" s="54">
        <f>416.59*4052239.3</f>
        <v>1688122369.9869998</v>
      </c>
      <c r="S100" s="47">
        <f t="shared" si="62"/>
        <v>6.2819334382084296E-3</v>
      </c>
      <c r="T100" s="48">
        <f t="shared" ref="T100" si="68">((R100-P100)/P100)</f>
        <v>3.2149624542826834E-2</v>
      </c>
      <c r="U100" s="84">
        <f>(L100/R100)</f>
        <v>1.7642344073806307E-3</v>
      </c>
      <c r="V100" s="49">
        <f>M100/R100</f>
        <v>3.9909538412501947E-3</v>
      </c>
      <c r="W100" s="50">
        <f>R100/AB100</f>
        <v>425.41262284839468</v>
      </c>
      <c r="X100" s="50">
        <f>M100/AB100</f>
        <v>1.6978021412731212</v>
      </c>
      <c r="Y100" s="44">
        <f>416.59*1.02</f>
        <v>424.92179999999996</v>
      </c>
      <c r="Z100" s="44">
        <f>416.59*1.02</f>
        <v>424.92179999999996</v>
      </c>
      <c r="AA100" s="68">
        <v>124</v>
      </c>
      <c r="AB100" s="151">
        <v>3968200</v>
      </c>
      <c r="AC100" s="225"/>
      <c r="AD100" s="4"/>
      <c r="AE100" s="4"/>
      <c r="AF100" s="4"/>
      <c r="AG100" s="5"/>
      <c r="AH100" s="6"/>
      <c r="AI100" s="6"/>
      <c r="AJ100" s="6"/>
      <c r="AK100" s="7"/>
      <c r="AL100" s="5"/>
      <c r="AM100" s="6"/>
      <c r="AN100" s="6"/>
      <c r="AO100" s="6"/>
      <c r="AP100" s="7"/>
      <c r="AQ100" s="5"/>
      <c r="AR100" s="6"/>
      <c r="AS100" s="6"/>
      <c r="AT100" s="6"/>
      <c r="AU100" s="7"/>
    </row>
    <row r="101" spans="1:257" ht="16.5" customHeight="1">
      <c r="A101" s="154"/>
      <c r="B101" s="105"/>
      <c r="C101" s="106" t="s">
        <v>53</v>
      </c>
      <c r="D101" s="114">
        <f>SUM(D82:D100)</f>
        <v>370683073.42899996</v>
      </c>
      <c r="E101" s="114"/>
      <c r="F101" s="114">
        <f t="shared" ref="F101:J101" si="69">SUM(F82:F100)</f>
        <v>55195838600.221695</v>
      </c>
      <c r="G101" s="114">
        <f t="shared" si="69"/>
        <v>198829218174.45697</v>
      </c>
      <c r="H101" s="114"/>
      <c r="I101" s="114"/>
      <c r="J101" s="114">
        <f t="shared" si="69"/>
        <v>253514986448.5914</v>
      </c>
      <c r="K101" s="114">
        <f t="shared" ref="K101" si="70">SUM(K82:K100)</f>
        <v>3666643848.9060998</v>
      </c>
      <c r="L101" s="114">
        <f t="shared" ref="L101" si="71">SUM(L82:L100)</f>
        <v>535085616.32699996</v>
      </c>
      <c r="M101" s="114">
        <f t="shared" ref="M101" si="72">SUM(M82:M100)</f>
        <v>1202231806.4674001</v>
      </c>
      <c r="N101" s="114">
        <f t="shared" ref="N101:O101" si="73">SUM(N82:N100)</f>
        <v>269938788812.73618</v>
      </c>
      <c r="O101" s="114">
        <f t="shared" si="73"/>
        <v>2019001639.1190002</v>
      </c>
      <c r="P101" s="61">
        <f>SUM(P83:P100)</f>
        <v>257269941699.37576</v>
      </c>
      <c r="Q101" s="118">
        <f>(P101/$P$149)</f>
        <v>0.19361059991976701</v>
      </c>
      <c r="R101" s="61">
        <f>SUM(R83:R100)</f>
        <v>268726561112.44031</v>
      </c>
      <c r="S101" s="118">
        <f>(R101/$R$149)</f>
        <v>0.19398013558292432</v>
      </c>
      <c r="T101" s="62">
        <f t="shared" si="37"/>
        <v>4.453151167753517E-2</v>
      </c>
      <c r="U101" s="76"/>
      <c r="V101" s="63"/>
      <c r="W101" s="64"/>
      <c r="X101" s="64"/>
      <c r="Y101" s="60"/>
      <c r="Z101" s="60"/>
      <c r="AA101" s="169">
        <f>SUM(AA83:AA100)</f>
        <v>8822</v>
      </c>
      <c r="AB101" s="147"/>
      <c r="AC101" s="13"/>
      <c r="AD101" s="4"/>
      <c r="AE101" s="4"/>
      <c r="AF101" s="4"/>
      <c r="AG101" s="5"/>
      <c r="AH101" s="6"/>
      <c r="AI101" s="6"/>
      <c r="AJ101" s="6"/>
      <c r="AK101" s="7"/>
      <c r="AL101" s="5"/>
      <c r="AM101" s="6"/>
      <c r="AN101" s="6"/>
      <c r="AO101" s="6"/>
      <c r="AP101" s="7"/>
      <c r="AQ101" s="5"/>
      <c r="AR101" s="6"/>
      <c r="AS101" s="6"/>
      <c r="AT101" s="6"/>
      <c r="AU101" s="7"/>
      <c r="AV101" s="31"/>
      <c r="AW101" s="31"/>
      <c r="AX101" s="31"/>
      <c r="AY101" s="31"/>
      <c r="AZ101" s="31"/>
      <c r="BA101" s="31"/>
      <c r="BB101" s="31"/>
      <c r="BC101" s="31"/>
      <c r="BD101" s="31"/>
      <c r="BE101" s="31"/>
      <c r="BF101" s="31"/>
      <c r="BG101" s="31"/>
      <c r="BH101" s="31"/>
      <c r="BI101" s="31"/>
      <c r="BJ101" s="31"/>
      <c r="BK101" s="31"/>
      <c r="BL101" s="31"/>
      <c r="BM101" s="31"/>
      <c r="BN101" s="31"/>
      <c r="BO101" s="31"/>
      <c r="BP101" s="31"/>
      <c r="BQ101" s="31"/>
      <c r="BR101" s="31"/>
      <c r="BS101" s="31"/>
      <c r="BT101" s="31"/>
      <c r="BU101" s="31"/>
      <c r="BV101" s="31"/>
      <c r="BW101" s="31"/>
      <c r="BX101" s="31"/>
      <c r="BY101" s="31"/>
      <c r="BZ101" s="31"/>
      <c r="CA101" s="31"/>
      <c r="CB101" s="31"/>
      <c r="CC101" s="31"/>
      <c r="CD101" s="31"/>
      <c r="CE101" s="31"/>
      <c r="CF101" s="31"/>
      <c r="CG101" s="31"/>
      <c r="CH101" s="31"/>
      <c r="CI101" s="31"/>
      <c r="CJ101" s="31"/>
      <c r="CK101" s="31"/>
      <c r="CL101" s="31"/>
      <c r="CM101" s="31"/>
      <c r="CN101" s="31"/>
      <c r="CO101" s="31"/>
      <c r="CP101" s="31"/>
      <c r="CQ101" s="31"/>
      <c r="CR101" s="31"/>
      <c r="CS101" s="31"/>
      <c r="CT101" s="31"/>
      <c r="CU101" s="31"/>
      <c r="CV101" s="31"/>
      <c r="CW101" s="31"/>
      <c r="CX101" s="31"/>
      <c r="CY101" s="31"/>
      <c r="CZ101" s="31"/>
      <c r="DA101" s="31"/>
      <c r="DB101" s="31"/>
      <c r="DC101" s="31"/>
      <c r="DD101" s="31"/>
      <c r="DE101" s="31"/>
      <c r="DF101" s="31"/>
      <c r="DG101" s="31"/>
      <c r="DH101" s="31"/>
      <c r="DI101" s="31"/>
      <c r="DJ101" s="31"/>
      <c r="DK101" s="31"/>
      <c r="DL101" s="31"/>
      <c r="DM101" s="31"/>
      <c r="DN101" s="31"/>
      <c r="DO101" s="31"/>
      <c r="DP101" s="31"/>
      <c r="DQ101" s="31"/>
      <c r="DR101" s="31"/>
      <c r="DS101" s="31"/>
      <c r="DT101" s="31"/>
      <c r="DU101" s="31"/>
      <c r="DV101" s="31"/>
      <c r="DW101" s="31"/>
      <c r="DX101" s="31"/>
      <c r="DY101" s="31"/>
      <c r="DZ101" s="31"/>
      <c r="EA101" s="31"/>
      <c r="EB101" s="31"/>
      <c r="EC101" s="31"/>
      <c r="ED101" s="31"/>
      <c r="EE101" s="31"/>
      <c r="EF101" s="31"/>
      <c r="EG101" s="31"/>
      <c r="EH101" s="31"/>
      <c r="EI101" s="31"/>
      <c r="EJ101" s="31"/>
      <c r="EK101" s="31"/>
      <c r="EL101" s="31"/>
      <c r="EM101" s="31"/>
      <c r="EN101" s="31"/>
      <c r="EO101" s="31"/>
      <c r="EP101" s="31"/>
      <c r="EQ101" s="31"/>
      <c r="ER101" s="31"/>
      <c r="ES101" s="31"/>
      <c r="ET101" s="31"/>
      <c r="EU101" s="31"/>
      <c r="EV101" s="31"/>
      <c r="EW101" s="31"/>
      <c r="EX101" s="31"/>
      <c r="EY101" s="31"/>
      <c r="EZ101" s="31"/>
      <c r="FA101" s="31"/>
      <c r="FB101" s="31"/>
      <c r="FC101" s="31"/>
      <c r="FD101" s="31"/>
      <c r="FE101" s="31"/>
      <c r="FF101" s="31"/>
      <c r="FG101" s="31"/>
      <c r="FH101" s="31"/>
      <c r="FI101" s="31"/>
      <c r="FJ101" s="31"/>
      <c r="FK101" s="31"/>
      <c r="FL101" s="31"/>
      <c r="FM101" s="31"/>
      <c r="FN101" s="31"/>
      <c r="FO101" s="31"/>
      <c r="FP101" s="31"/>
      <c r="FQ101" s="31"/>
      <c r="FR101" s="31"/>
      <c r="FS101" s="31"/>
      <c r="FT101" s="31"/>
      <c r="FU101" s="31"/>
      <c r="FV101" s="31"/>
      <c r="FW101" s="31"/>
      <c r="FX101" s="31"/>
      <c r="FY101" s="31"/>
      <c r="FZ101" s="31"/>
      <c r="GA101" s="31"/>
      <c r="GB101" s="31"/>
      <c r="GC101" s="31"/>
      <c r="GD101" s="31"/>
      <c r="GE101" s="31"/>
      <c r="GF101" s="31"/>
      <c r="GG101" s="31"/>
      <c r="GH101" s="31"/>
      <c r="GI101" s="31"/>
      <c r="GJ101" s="31"/>
      <c r="GK101" s="31"/>
      <c r="GL101" s="31"/>
      <c r="GM101" s="31"/>
      <c r="GN101" s="31"/>
      <c r="GO101" s="31"/>
      <c r="GP101" s="31"/>
      <c r="GQ101" s="31"/>
      <c r="GR101" s="31"/>
      <c r="GS101" s="31"/>
      <c r="GT101" s="31"/>
      <c r="GU101" s="31"/>
      <c r="GV101" s="31"/>
      <c r="GW101" s="31"/>
      <c r="GX101" s="31"/>
      <c r="GY101" s="31"/>
      <c r="GZ101" s="31"/>
      <c r="HA101" s="31"/>
      <c r="HB101" s="31"/>
      <c r="HC101" s="31"/>
      <c r="HD101" s="31"/>
      <c r="HE101" s="31"/>
      <c r="HF101" s="31"/>
      <c r="HG101" s="31"/>
      <c r="HH101" s="31"/>
      <c r="HI101" s="31"/>
      <c r="HJ101" s="31"/>
      <c r="HK101" s="31"/>
      <c r="HL101" s="31"/>
      <c r="HM101" s="31"/>
      <c r="HN101" s="31"/>
      <c r="HO101" s="31"/>
      <c r="HP101" s="31"/>
      <c r="HQ101" s="31"/>
      <c r="HR101" s="31"/>
      <c r="HS101" s="31"/>
      <c r="HT101" s="31"/>
      <c r="HU101" s="31"/>
      <c r="HV101" s="31"/>
      <c r="HW101" s="31"/>
      <c r="HX101" s="31"/>
      <c r="HY101" s="31"/>
      <c r="HZ101" s="31"/>
      <c r="IA101" s="31"/>
      <c r="IB101" s="31"/>
      <c r="IC101" s="31"/>
      <c r="ID101" s="31"/>
      <c r="IE101" s="31"/>
      <c r="IF101" s="31"/>
      <c r="IG101" s="31"/>
      <c r="IH101" s="31"/>
      <c r="II101" s="31"/>
      <c r="IJ101" s="31"/>
      <c r="IK101" s="31"/>
      <c r="IL101" s="31"/>
      <c r="IM101" s="31"/>
      <c r="IN101" s="31"/>
      <c r="IO101" s="31"/>
      <c r="IP101" s="31"/>
      <c r="IQ101" s="31"/>
      <c r="IR101" s="31"/>
      <c r="IS101" s="31"/>
      <c r="IT101" s="31"/>
      <c r="IU101" s="31"/>
      <c r="IV101" s="31"/>
      <c r="IW101" s="31"/>
    </row>
    <row r="102" spans="1:257" s="96" customFormat="1" ht="16.5" customHeight="1">
      <c r="A102" s="230" t="s">
        <v>126</v>
      </c>
      <c r="B102" s="231"/>
      <c r="C102" s="231"/>
      <c r="D102" s="107"/>
      <c r="E102" s="70"/>
      <c r="F102" s="70"/>
      <c r="G102" s="70"/>
      <c r="H102" s="70"/>
      <c r="I102" s="70"/>
      <c r="J102" s="70"/>
      <c r="K102" s="70"/>
      <c r="L102" s="70"/>
      <c r="M102" s="211"/>
      <c r="N102" s="70"/>
      <c r="O102" s="70"/>
      <c r="P102" s="70">
        <v>0</v>
      </c>
      <c r="Q102" s="48"/>
      <c r="R102" s="70">
        <v>0</v>
      </c>
      <c r="S102" s="48"/>
      <c r="T102" s="48"/>
      <c r="U102" s="48"/>
      <c r="V102" s="71"/>
      <c r="W102" s="72"/>
      <c r="X102" s="72"/>
      <c r="Y102" s="70"/>
      <c r="Z102" s="70"/>
      <c r="AA102" s="70"/>
      <c r="AB102" s="150"/>
      <c r="AC102" s="90"/>
      <c r="AD102" s="91"/>
      <c r="AE102" s="91"/>
      <c r="AF102" s="91"/>
      <c r="AG102" s="92"/>
      <c r="AH102" s="93"/>
      <c r="AI102" s="93"/>
      <c r="AJ102" s="93"/>
      <c r="AK102" s="94"/>
      <c r="AL102" s="92"/>
      <c r="AM102" s="93"/>
      <c r="AN102" s="93"/>
      <c r="AO102" s="93"/>
      <c r="AP102" s="94"/>
      <c r="AQ102" s="92"/>
      <c r="AR102" s="93"/>
      <c r="AS102" s="93"/>
      <c r="AT102" s="93"/>
      <c r="AU102" s="94"/>
      <c r="AV102" s="95"/>
      <c r="AW102" s="95"/>
      <c r="AX102" s="95"/>
      <c r="AY102" s="95"/>
      <c r="AZ102" s="95"/>
      <c r="BA102" s="95"/>
      <c r="BB102" s="95"/>
      <c r="BC102" s="95"/>
      <c r="BD102" s="95"/>
      <c r="BE102" s="95"/>
      <c r="BF102" s="95"/>
      <c r="BG102" s="95"/>
      <c r="BH102" s="95"/>
      <c r="BI102" s="95"/>
      <c r="BJ102" s="95"/>
      <c r="BK102" s="95"/>
      <c r="BL102" s="95"/>
      <c r="BM102" s="95"/>
      <c r="BN102" s="95"/>
      <c r="BO102" s="95"/>
      <c r="BP102" s="95"/>
      <c r="BQ102" s="95"/>
      <c r="BR102" s="95"/>
      <c r="BS102" s="95"/>
      <c r="BT102" s="95"/>
      <c r="BU102" s="95"/>
      <c r="BV102" s="95"/>
      <c r="BW102" s="95"/>
      <c r="BX102" s="95"/>
      <c r="BY102" s="95"/>
      <c r="BZ102" s="95"/>
      <c r="CA102" s="95"/>
      <c r="CB102" s="95"/>
      <c r="CC102" s="95"/>
      <c r="CD102" s="95"/>
      <c r="CE102" s="95"/>
      <c r="CF102" s="95"/>
      <c r="CG102" s="95"/>
      <c r="CH102" s="95"/>
      <c r="CI102" s="95"/>
      <c r="CJ102" s="95"/>
      <c r="CK102" s="95"/>
      <c r="CL102" s="95"/>
      <c r="CM102" s="95"/>
      <c r="CN102" s="95"/>
      <c r="CO102" s="95"/>
      <c r="CP102" s="95"/>
      <c r="CQ102" s="95"/>
      <c r="CR102" s="95"/>
      <c r="CS102" s="95"/>
      <c r="CT102" s="95"/>
      <c r="CU102" s="95"/>
      <c r="CV102" s="95"/>
      <c r="CW102" s="95"/>
      <c r="CX102" s="95"/>
      <c r="CY102" s="95"/>
      <c r="CZ102" s="95"/>
      <c r="DA102" s="95"/>
      <c r="DB102" s="95"/>
      <c r="DC102" s="95"/>
      <c r="DD102" s="95"/>
      <c r="DE102" s="95"/>
      <c r="DF102" s="95"/>
      <c r="DG102" s="95"/>
      <c r="DH102" s="95"/>
      <c r="DI102" s="95"/>
      <c r="DJ102" s="95"/>
      <c r="DK102" s="95"/>
      <c r="DL102" s="95"/>
      <c r="DM102" s="95"/>
      <c r="DN102" s="95"/>
      <c r="DO102" s="95"/>
      <c r="DP102" s="95"/>
      <c r="DQ102" s="95"/>
      <c r="DR102" s="95"/>
      <c r="DS102" s="95"/>
      <c r="DT102" s="95"/>
      <c r="DU102" s="95"/>
      <c r="DV102" s="95"/>
      <c r="DW102" s="95"/>
      <c r="DX102" s="95"/>
      <c r="DY102" s="95"/>
      <c r="DZ102" s="95"/>
      <c r="EA102" s="95"/>
      <c r="EB102" s="95"/>
      <c r="EC102" s="95"/>
      <c r="ED102" s="95"/>
      <c r="EE102" s="95"/>
      <c r="EF102" s="95"/>
      <c r="EG102" s="95"/>
      <c r="EH102" s="95"/>
      <c r="EI102" s="95"/>
      <c r="EJ102" s="95"/>
      <c r="EK102" s="95"/>
      <c r="EL102" s="95"/>
      <c r="EM102" s="95"/>
      <c r="EN102" s="95"/>
      <c r="EO102" s="95"/>
      <c r="EP102" s="95"/>
      <c r="EQ102" s="95"/>
      <c r="ER102" s="95"/>
      <c r="ES102" s="95"/>
      <c r="ET102" s="95"/>
      <c r="EU102" s="95"/>
      <c r="EV102" s="95"/>
      <c r="EW102" s="95"/>
      <c r="EX102" s="95"/>
      <c r="EY102" s="95"/>
      <c r="EZ102" s="95"/>
      <c r="FA102" s="95"/>
      <c r="FB102" s="95"/>
      <c r="FC102" s="95"/>
      <c r="FD102" s="95"/>
      <c r="FE102" s="95"/>
      <c r="FF102" s="95"/>
      <c r="FG102" s="95"/>
      <c r="FH102" s="95"/>
      <c r="FI102" s="95"/>
      <c r="FJ102" s="95"/>
      <c r="FK102" s="95"/>
      <c r="FL102" s="95"/>
      <c r="FM102" s="95"/>
      <c r="FN102" s="95"/>
      <c r="FO102" s="95"/>
      <c r="FP102" s="95"/>
      <c r="FQ102" s="95"/>
      <c r="FR102" s="95"/>
      <c r="FS102" s="95"/>
      <c r="FT102" s="95"/>
      <c r="FU102" s="95"/>
      <c r="FV102" s="95"/>
      <c r="FW102" s="95"/>
      <c r="FX102" s="95"/>
      <c r="FY102" s="95"/>
      <c r="FZ102" s="95"/>
      <c r="GA102" s="95"/>
      <c r="GB102" s="95"/>
      <c r="GC102" s="95"/>
      <c r="GD102" s="95"/>
      <c r="GE102" s="95"/>
      <c r="GF102" s="95"/>
      <c r="GG102" s="95"/>
      <c r="GH102" s="95"/>
      <c r="GI102" s="95"/>
      <c r="GJ102" s="95"/>
      <c r="GK102" s="95"/>
      <c r="GL102" s="95"/>
      <c r="GM102" s="95"/>
      <c r="GN102" s="95"/>
      <c r="GO102" s="95"/>
      <c r="GP102" s="95"/>
      <c r="GQ102" s="95"/>
      <c r="GR102" s="95"/>
      <c r="GS102" s="95"/>
      <c r="GT102" s="95"/>
      <c r="GU102" s="95"/>
      <c r="GV102" s="95"/>
      <c r="GW102" s="95"/>
      <c r="GX102" s="95"/>
      <c r="GY102" s="95"/>
      <c r="GZ102" s="95"/>
      <c r="HA102" s="95"/>
      <c r="HB102" s="95"/>
      <c r="HC102" s="95"/>
      <c r="HD102" s="95"/>
      <c r="HE102" s="95"/>
      <c r="HF102" s="95"/>
      <c r="HG102" s="95"/>
      <c r="HH102" s="95"/>
      <c r="HI102" s="95"/>
      <c r="HJ102" s="95"/>
      <c r="HK102" s="95"/>
      <c r="HL102" s="95"/>
      <c r="HM102" s="95"/>
      <c r="HN102" s="95"/>
      <c r="HO102" s="95"/>
      <c r="HP102" s="95"/>
      <c r="HQ102" s="95"/>
      <c r="HR102" s="95"/>
      <c r="HS102" s="95"/>
      <c r="HT102" s="95"/>
      <c r="HU102" s="95"/>
      <c r="HV102" s="95"/>
      <c r="HW102" s="95"/>
      <c r="HX102" s="95"/>
      <c r="HY102" s="95"/>
      <c r="HZ102" s="95"/>
      <c r="IA102" s="95"/>
      <c r="IB102" s="95"/>
      <c r="IC102" s="95"/>
      <c r="ID102" s="95"/>
      <c r="IE102" s="95"/>
      <c r="IF102" s="95"/>
      <c r="IG102" s="95"/>
      <c r="IH102" s="95"/>
      <c r="II102" s="95"/>
      <c r="IJ102" s="95"/>
      <c r="IK102" s="95"/>
      <c r="IL102" s="95"/>
      <c r="IM102" s="95"/>
      <c r="IN102" s="95"/>
      <c r="IO102" s="95"/>
      <c r="IP102" s="95"/>
      <c r="IQ102" s="95"/>
      <c r="IR102" s="95"/>
      <c r="IS102" s="95"/>
      <c r="IT102" s="95"/>
      <c r="IU102" s="95"/>
      <c r="IV102" s="95"/>
      <c r="IW102" s="95"/>
    </row>
    <row r="103" spans="1:257" ht="16.5" customHeight="1">
      <c r="A103" s="217">
        <v>88</v>
      </c>
      <c r="B103" s="83" t="s">
        <v>105</v>
      </c>
      <c r="C103" s="116" t="s">
        <v>127</v>
      </c>
      <c r="D103" s="44"/>
      <c r="E103" s="74"/>
      <c r="F103" s="74"/>
      <c r="G103" s="44">
        <v>340072607.43000001</v>
      </c>
      <c r="H103" s="44"/>
      <c r="I103" s="97">
        <v>1494703.37</v>
      </c>
      <c r="J103" s="44">
        <v>2161957310.8000002</v>
      </c>
      <c r="K103" s="44">
        <v>20541708.170000002</v>
      </c>
      <c r="L103" s="45">
        <v>4442012.3099999996</v>
      </c>
      <c r="M103" s="75">
        <v>16099695.859999999</v>
      </c>
      <c r="N103" s="44">
        <v>2571912381.4899998</v>
      </c>
      <c r="O103" s="44">
        <v>136154571.74000001</v>
      </c>
      <c r="P103" s="54">
        <v>2419658111.9899998</v>
      </c>
      <c r="Q103" s="47">
        <f>(P103/$P$107)</f>
        <v>4.8529084778178723E-2</v>
      </c>
      <c r="R103" s="54">
        <v>2435757807.8499999</v>
      </c>
      <c r="S103" s="47">
        <f>(R103/$R$107)</f>
        <v>4.8772460129201958E-2</v>
      </c>
      <c r="T103" s="48">
        <f>((R103-P103)/P103)</f>
        <v>6.6537068936401347E-3</v>
      </c>
      <c r="U103" s="84">
        <f>(L103/R103)</f>
        <v>1.8236674827374914E-3</v>
      </c>
      <c r="V103" s="49">
        <f>M103/R103</f>
        <v>6.6097277028584851E-3</v>
      </c>
      <c r="W103" s="50" t="e">
        <f>R103/AB103</f>
        <v>#VALUE!</v>
      </c>
      <c r="X103" s="50" t="e">
        <f>M103/AB103</f>
        <v>#VALUE!</v>
      </c>
      <c r="Y103" s="44" t="s">
        <v>203</v>
      </c>
      <c r="Z103" s="44" t="s">
        <v>203</v>
      </c>
      <c r="AA103" s="51">
        <v>2648</v>
      </c>
      <c r="AB103" s="145" t="s">
        <v>203</v>
      </c>
      <c r="AC103" s="13"/>
      <c r="AD103" s="4"/>
      <c r="AE103" s="4"/>
      <c r="AF103" s="4"/>
      <c r="AG103" s="5"/>
      <c r="AH103" s="6"/>
      <c r="AI103" s="6"/>
      <c r="AJ103" s="6"/>
      <c r="AK103" s="7"/>
      <c r="AL103" s="5"/>
      <c r="AM103" s="6"/>
      <c r="AN103" s="6"/>
      <c r="AO103" s="6"/>
      <c r="AP103" s="7"/>
      <c r="AQ103" s="5"/>
      <c r="AR103" s="6"/>
      <c r="AS103" s="6"/>
      <c r="AT103" s="6"/>
      <c r="AU103" s="7"/>
    </row>
    <row r="104" spans="1:257" ht="16.5" customHeight="1">
      <c r="A104" s="217">
        <v>89</v>
      </c>
      <c r="B104" s="83" t="s">
        <v>105</v>
      </c>
      <c r="C104" s="83" t="s">
        <v>128</v>
      </c>
      <c r="D104" s="44"/>
      <c r="E104" s="74"/>
      <c r="F104" s="74"/>
      <c r="G104" s="44">
        <v>391791226.43000001</v>
      </c>
      <c r="H104" s="44">
        <v>9932058627.3999996</v>
      </c>
      <c r="I104" s="97"/>
      <c r="J104" s="44">
        <v>10495520785.07</v>
      </c>
      <c r="K104" s="44">
        <v>41954927.670000002</v>
      </c>
      <c r="L104" s="45">
        <v>16001825.539999999</v>
      </c>
      <c r="M104" s="75">
        <v>25953102.129999999</v>
      </c>
      <c r="N104" s="44">
        <v>11221628368.09</v>
      </c>
      <c r="O104" s="44">
        <v>1247413390.8</v>
      </c>
      <c r="P104" s="54">
        <v>9948021436</v>
      </c>
      <c r="Q104" s="47">
        <f t="shared" ref="Q104:Q106" si="74">(P104/$P$107)</f>
        <v>0.1995192516044095</v>
      </c>
      <c r="R104" s="54">
        <v>9974214977</v>
      </c>
      <c r="S104" s="47">
        <f t="shared" ref="S104:S106" si="75">(R104/$R$107)</f>
        <v>0.19971895428930897</v>
      </c>
      <c r="T104" s="48">
        <f>((R104-P104)/P104)</f>
        <v>2.6330402651938956E-3</v>
      </c>
      <c r="U104" s="84">
        <f>(L104/R104)</f>
        <v>1.6043192949920715E-3</v>
      </c>
      <c r="V104" s="49">
        <f>M104/R104</f>
        <v>2.6020195263332952E-3</v>
      </c>
      <c r="W104" s="50">
        <f>R104/AB104</f>
        <v>53.018500681874237</v>
      </c>
      <c r="X104" s="50">
        <f>M104/AB104</f>
        <v>0.1379551740311519</v>
      </c>
      <c r="Y104" s="115">
        <v>36.6</v>
      </c>
      <c r="Z104" s="115">
        <v>36.6</v>
      </c>
      <c r="AA104" s="51">
        <v>5244</v>
      </c>
      <c r="AB104" s="145">
        <v>188127066</v>
      </c>
      <c r="AC104" s="43"/>
      <c r="AD104" s="4"/>
      <c r="AE104" s="4"/>
      <c r="AF104" s="4"/>
      <c r="AG104" s="5"/>
      <c r="AH104" s="6"/>
      <c r="AI104" s="6"/>
      <c r="AJ104" s="6"/>
      <c r="AK104" s="7"/>
      <c r="AL104" s="5"/>
      <c r="AM104" s="6"/>
      <c r="AN104" s="6"/>
      <c r="AO104" s="6"/>
      <c r="AP104" s="7"/>
      <c r="AQ104" s="5"/>
      <c r="AR104" s="6"/>
      <c r="AS104" s="6"/>
      <c r="AT104" s="6"/>
      <c r="AU104" s="7"/>
    </row>
    <row r="105" spans="1:257" ht="16.5" customHeight="1">
      <c r="A105" s="217">
        <v>90</v>
      </c>
      <c r="B105" s="82" t="s">
        <v>198</v>
      </c>
      <c r="C105" s="83" t="s">
        <v>129</v>
      </c>
      <c r="D105" s="44"/>
      <c r="E105" s="74"/>
      <c r="F105" s="44">
        <v>1956871252.6300001</v>
      </c>
      <c r="G105" s="44">
        <v>1606829328.6099999</v>
      </c>
      <c r="H105" s="44">
        <v>26522225000</v>
      </c>
      <c r="I105" s="97"/>
      <c r="J105" s="44">
        <v>132595196.54000001</v>
      </c>
      <c r="K105" s="44">
        <v>132595196.54000001</v>
      </c>
      <c r="L105" s="74" t="s">
        <v>212</v>
      </c>
      <c r="M105" s="75">
        <v>104116088.54000001</v>
      </c>
      <c r="N105" s="44">
        <v>30224537362.330002</v>
      </c>
      <c r="O105" s="44">
        <v>156849101.40000001</v>
      </c>
      <c r="P105" s="54">
        <v>30028685390.240002</v>
      </c>
      <c r="Q105" s="47">
        <f t="shared" si="74"/>
        <v>0.60226054741333501</v>
      </c>
      <c r="R105" s="54">
        <v>30067688260.93</v>
      </c>
      <c r="S105" s="47">
        <f t="shared" si="75"/>
        <v>0.60206114177579662</v>
      </c>
      <c r="T105" s="48">
        <f>((R105-P105)/P105)</f>
        <v>1.2988537521084901E-3</v>
      </c>
      <c r="U105" s="84">
        <f>(L105/R105)</f>
        <v>9.4716653182166314E-4</v>
      </c>
      <c r="V105" s="49">
        <f>M105/R105</f>
        <v>3.4627234271045909E-3</v>
      </c>
      <c r="W105" s="50">
        <f>R105/AB105</f>
        <v>11.268609958975283</v>
      </c>
      <c r="X105" s="50">
        <f>M105/AB105</f>
        <v>3.9020079695847816E-2</v>
      </c>
      <c r="Y105" s="115">
        <v>11.27</v>
      </c>
      <c r="Z105" s="115">
        <v>11.27</v>
      </c>
      <c r="AA105" s="51">
        <v>28836</v>
      </c>
      <c r="AB105" s="145">
        <v>2668269500</v>
      </c>
      <c r="AC105" s="43"/>
      <c r="AD105" s="4"/>
      <c r="AE105" s="4"/>
      <c r="AF105" s="4"/>
      <c r="AG105" s="5"/>
      <c r="AH105" s="6"/>
      <c r="AI105" s="6"/>
      <c r="AJ105" s="6"/>
      <c r="AK105" s="7"/>
      <c r="AL105" s="5"/>
      <c r="AM105" s="6"/>
      <c r="AN105" s="6"/>
      <c r="AO105" s="6"/>
      <c r="AP105" s="7"/>
      <c r="AQ105" s="5"/>
      <c r="AR105" s="6"/>
      <c r="AS105" s="6"/>
      <c r="AT105" s="6"/>
      <c r="AU105" s="7"/>
    </row>
    <row r="106" spans="1:257" ht="16.5" customHeight="1">
      <c r="A106" s="217">
        <v>91</v>
      </c>
      <c r="B106" s="83" t="s">
        <v>30</v>
      </c>
      <c r="C106" s="83" t="s">
        <v>130</v>
      </c>
      <c r="D106" s="44"/>
      <c r="E106" s="74"/>
      <c r="F106" s="44">
        <v>6824582499</v>
      </c>
      <c r="G106" s="227"/>
      <c r="H106" s="44">
        <v>610903488</v>
      </c>
      <c r="I106" s="97"/>
      <c r="J106" s="44">
        <v>7512397794</v>
      </c>
      <c r="K106" s="44">
        <v>61421042</v>
      </c>
      <c r="L106" s="97">
        <v>13174627</v>
      </c>
      <c r="M106" s="75">
        <v>48246414</v>
      </c>
      <c r="N106" s="44">
        <v>7595789951</v>
      </c>
      <c r="O106" s="44">
        <v>132197236</v>
      </c>
      <c r="P106" s="54">
        <v>7463592715</v>
      </c>
      <c r="Q106" s="47">
        <f t="shared" si="74"/>
        <v>0.1496911162040768</v>
      </c>
      <c r="R106" s="54">
        <v>7463592715</v>
      </c>
      <c r="S106" s="47">
        <f t="shared" si="75"/>
        <v>0.14944744380569253</v>
      </c>
      <c r="T106" s="48">
        <f>((R106-P106)/P106)</f>
        <v>0</v>
      </c>
      <c r="U106" s="84">
        <f>(L106/R106)</f>
        <v>1.7651856824290821E-3</v>
      </c>
      <c r="V106" s="49">
        <f>M106/R106</f>
        <v>6.4642345640105042E-3</v>
      </c>
      <c r="W106" s="50">
        <f>R106/AB106</f>
        <v>100.65532993931221</v>
      </c>
      <c r="X106" s="50">
        <f>M106/AB106</f>
        <v>0.6506596628455833</v>
      </c>
      <c r="Y106" s="115">
        <v>100.66</v>
      </c>
      <c r="Z106" s="115">
        <v>100.66</v>
      </c>
      <c r="AA106" s="51">
        <v>57</v>
      </c>
      <c r="AB106" s="145">
        <v>74150000</v>
      </c>
      <c r="AC106" s="13"/>
      <c r="AD106" s="4"/>
      <c r="AE106" s="4"/>
      <c r="AF106" s="4"/>
      <c r="AG106" s="5"/>
      <c r="AH106" s="6"/>
      <c r="AI106" s="6"/>
      <c r="AJ106" s="6"/>
      <c r="AK106" s="7"/>
      <c r="AL106" s="5"/>
      <c r="AM106" s="6"/>
      <c r="AN106" s="6"/>
      <c r="AO106" s="6"/>
      <c r="AP106" s="7"/>
      <c r="AQ106" s="5"/>
      <c r="AR106" s="6"/>
      <c r="AS106" s="6"/>
      <c r="AT106" s="6"/>
      <c r="AU106" s="7"/>
    </row>
    <row r="107" spans="1:257" ht="16.5" customHeight="1">
      <c r="A107" s="155"/>
      <c r="B107" s="69"/>
      <c r="C107" s="59" t="s">
        <v>53</v>
      </c>
      <c r="D107" s="60"/>
      <c r="E107" s="60"/>
      <c r="F107" s="60">
        <f>SUM(F103:F106)</f>
        <v>8781453751.6300011</v>
      </c>
      <c r="G107" s="60">
        <f>SUM(G103:G106)</f>
        <v>2338693162.4699998</v>
      </c>
      <c r="H107" s="60">
        <f t="shared" ref="H107:J107" si="76">SUM(H103:H106)</f>
        <v>37065187115.400002</v>
      </c>
      <c r="I107" s="60">
        <f t="shared" si="76"/>
        <v>1494703.37</v>
      </c>
      <c r="J107" s="60">
        <f t="shared" si="76"/>
        <v>20302471086.41</v>
      </c>
      <c r="K107" s="60">
        <f>SUM(K103:K106)</f>
        <v>256512874.38</v>
      </c>
      <c r="L107" s="60">
        <f t="shared" ref="L107" si="77">SUM(L103:L106)</f>
        <v>33618464.849999994</v>
      </c>
      <c r="M107" s="60">
        <f t="shared" ref="M107" si="78">SUM(M103:M106)</f>
        <v>194415300.53</v>
      </c>
      <c r="N107" s="60">
        <f t="shared" ref="N107" si="79">SUM(N103:N106)</f>
        <v>51613868062.910004</v>
      </c>
      <c r="O107" s="60">
        <f>SUM(O103:O106)</f>
        <v>1672614299.9400001</v>
      </c>
      <c r="P107" s="61">
        <f>SUM(P103:P106)</f>
        <v>49859957653.230003</v>
      </c>
      <c r="Q107" s="118">
        <f>(P107/$P$149)</f>
        <v>3.7522519146431101E-2</v>
      </c>
      <c r="R107" s="61">
        <f>SUM(R103:R106)</f>
        <v>49941253760.779999</v>
      </c>
      <c r="S107" s="118">
        <f>(R107/$R$149)</f>
        <v>3.6050069392447787E-2</v>
      </c>
      <c r="T107" s="62">
        <f>((R107-P107)/P107)</f>
        <v>1.6304889008410327E-3</v>
      </c>
      <c r="U107" s="76"/>
      <c r="V107" s="63"/>
      <c r="W107" s="64"/>
      <c r="X107" s="64"/>
      <c r="Y107" s="60"/>
      <c r="Z107" s="60"/>
      <c r="AA107" s="65">
        <f>SUM(AA103:AA106)</f>
        <v>36785</v>
      </c>
      <c r="AB107" s="147"/>
      <c r="AC107" s="13"/>
      <c r="AD107" s="4"/>
      <c r="AE107" s="4"/>
      <c r="AF107" s="4"/>
      <c r="AG107" s="5"/>
      <c r="AH107" s="6"/>
      <c r="AI107" s="6"/>
      <c r="AJ107" s="6"/>
      <c r="AK107" s="7"/>
      <c r="AL107" s="5"/>
      <c r="AM107" s="6"/>
      <c r="AN107" s="6"/>
      <c r="AO107" s="6"/>
      <c r="AP107" s="7"/>
      <c r="AQ107" s="5"/>
      <c r="AR107" s="6"/>
      <c r="AS107" s="6"/>
      <c r="AT107" s="6"/>
      <c r="AU107" s="7"/>
    </row>
    <row r="108" spans="1:257" ht="16.5" customHeight="1">
      <c r="A108" s="232" t="s">
        <v>184</v>
      </c>
      <c r="B108" s="233"/>
      <c r="C108" s="233"/>
      <c r="D108" s="70"/>
      <c r="E108" s="70"/>
      <c r="F108" s="70"/>
      <c r="G108" s="70"/>
      <c r="H108" s="70"/>
      <c r="I108" s="70"/>
      <c r="J108" s="70"/>
      <c r="K108" s="70"/>
      <c r="L108" s="70"/>
      <c r="M108" s="211"/>
      <c r="N108" s="70"/>
      <c r="O108" s="70"/>
      <c r="P108" s="70"/>
      <c r="Q108" s="48"/>
      <c r="R108" s="70"/>
      <c r="S108" s="48"/>
      <c r="T108" s="48"/>
      <c r="U108" s="48"/>
      <c r="V108" s="71"/>
      <c r="W108" s="72"/>
      <c r="X108" s="72"/>
      <c r="Y108" s="70"/>
      <c r="Z108" s="70"/>
      <c r="AA108" s="70"/>
      <c r="AB108" s="150"/>
      <c r="AC108" s="13"/>
      <c r="AD108" s="4"/>
      <c r="AE108" s="4"/>
      <c r="AF108" s="4"/>
      <c r="AG108" s="5"/>
      <c r="AH108" s="6"/>
      <c r="AI108" s="6"/>
      <c r="AJ108" s="6"/>
      <c r="AK108" s="7"/>
      <c r="AL108" s="5"/>
      <c r="AM108" s="6"/>
      <c r="AN108" s="6"/>
      <c r="AO108" s="6"/>
      <c r="AP108" s="7"/>
      <c r="AQ108" s="5"/>
      <c r="AR108" s="6"/>
      <c r="AS108" s="6"/>
      <c r="AT108" s="6"/>
      <c r="AU108" s="7"/>
    </row>
    <row r="109" spans="1:257" ht="16.5" customHeight="1">
      <c r="A109" s="217">
        <v>92</v>
      </c>
      <c r="B109" s="83" t="s">
        <v>24</v>
      </c>
      <c r="C109" s="83" t="s">
        <v>131</v>
      </c>
      <c r="D109" s="44">
        <v>868620803.20000005</v>
      </c>
      <c r="E109" s="44"/>
      <c r="F109" s="44">
        <v>500796954.55000001</v>
      </c>
      <c r="G109" s="44">
        <v>329544825.86000001</v>
      </c>
      <c r="H109" s="53"/>
      <c r="I109" s="52"/>
      <c r="J109" s="52">
        <v>1698962583.6099999</v>
      </c>
      <c r="K109" s="52">
        <v>6705780.3399999999</v>
      </c>
      <c r="L109" s="44">
        <v>2640856.7000000002</v>
      </c>
      <c r="M109" s="193">
        <v>22100305.789999999</v>
      </c>
      <c r="N109" s="44">
        <v>1709690105.3</v>
      </c>
      <c r="O109" s="44">
        <v>9801212.4499999993</v>
      </c>
      <c r="P109" s="108">
        <v>1663945006.1800001</v>
      </c>
      <c r="Q109" s="47">
        <f t="shared" ref="Q109:Q131" si="80">(P109/$P$149)</f>
        <v>1.2522154308117991E-3</v>
      </c>
      <c r="R109" s="108">
        <v>1699888892.8499999</v>
      </c>
      <c r="S109" s="47">
        <f t="shared" ref="S109:S130" si="81">(R109/$R$131)</f>
        <v>5.6965427417488695E-2</v>
      </c>
      <c r="T109" s="48">
        <f t="shared" ref="T109:T131" si="82">((R109-P109)/P109)</f>
        <v>2.16016073466983E-2</v>
      </c>
      <c r="U109" s="84">
        <f t="shared" ref="U109:U127" si="83">(L109/R109)</f>
        <v>1.5535466530241235E-3</v>
      </c>
      <c r="V109" s="49">
        <f t="shared" ref="V109:V130" si="84">M109/R109</f>
        <v>1.30010295866732E-2</v>
      </c>
      <c r="W109" s="50">
        <f t="shared" ref="W109:W130" si="85">R109/AB109</f>
        <v>3561.6780649211055</v>
      </c>
      <c r="X109" s="50">
        <f>M109/AB109</f>
        <v>46.305481900244246</v>
      </c>
      <c r="Y109" s="44">
        <v>3537.56</v>
      </c>
      <c r="Z109" s="44">
        <v>3574.87</v>
      </c>
      <c r="AA109" s="51">
        <v>1358</v>
      </c>
      <c r="AB109" s="145">
        <v>477271.91</v>
      </c>
      <c r="AC109" s="13"/>
      <c r="AD109" s="4"/>
      <c r="AE109" s="4"/>
      <c r="AF109" s="4"/>
      <c r="AG109" s="5"/>
      <c r="AH109" s="6"/>
      <c r="AI109" s="6"/>
      <c r="AJ109" s="6"/>
      <c r="AK109" s="7"/>
      <c r="AL109" s="5"/>
      <c r="AM109" s="6"/>
      <c r="AN109" s="6"/>
      <c r="AO109" s="6"/>
      <c r="AP109" s="7"/>
      <c r="AQ109" s="5"/>
      <c r="AR109" s="6"/>
      <c r="AS109" s="6"/>
      <c r="AT109" s="6"/>
      <c r="AU109" s="7"/>
    </row>
    <row r="110" spans="1:257" ht="16.5" customHeight="1">
      <c r="A110" s="217">
        <v>93</v>
      </c>
      <c r="B110" s="83" t="s">
        <v>30</v>
      </c>
      <c r="C110" s="83" t="s">
        <v>176</v>
      </c>
      <c r="D110" s="44">
        <v>99586976.950000003</v>
      </c>
      <c r="E110" s="44"/>
      <c r="F110" s="44">
        <v>44450328.810000002</v>
      </c>
      <c r="G110" s="44">
        <v>53187736.130000003</v>
      </c>
      <c r="H110" s="53"/>
      <c r="I110" s="52"/>
      <c r="J110" s="52">
        <v>197225041.88999999</v>
      </c>
      <c r="K110" s="52">
        <v>714324.36</v>
      </c>
      <c r="L110" s="44">
        <v>363858.58</v>
      </c>
      <c r="M110" s="193">
        <v>350465.78</v>
      </c>
      <c r="N110" s="44">
        <v>201851491.55000001</v>
      </c>
      <c r="O110" s="44">
        <v>1562760.78</v>
      </c>
      <c r="P110" s="108">
        <v>200502081.5</v>
      </c>
      <c r="Q110" s="47">
        <f t="shared" si="80"/>
        <v>1.5088948218341827E-4</v>
      </c>
      <c r="R110" s="108">
        <v>200288730.77000001</v>
      </c>
      <c r="S110" s="47">
        <f t="shared" si="81"/>
        <v>6.7119287638207773E-3</v>
      </c>
      <c r="T110" s="48">
        <f t="shared" si="82"/>
        <v>-1.0640823696385878E-3</v>
      </c>
      <c r="U110" s="84">
        <f t="shared" si="83"/>
        <v>1.8166702569893168E-3</v>
      </c>
      <c r="V110" s="49">
        <f t="shared" si="84"/>
        <v>1.7498027904648049E-3</v>
      </c>
      <c r="W110" s="50">
        <f t="shared" si="85"/>
        <v>147.81227063639605</v>
      </c>
      <c r="X110" s="50">
        <f t="shared" ref="X110:X130" si="86">M110/AB110</f>
        <v>0.25864232362450473</v>
      </c>
      <c r="Y110" s="44">
        <v>146.85</v>
      </c>
      <c r="Z110" s="44">
        <v>148.43</v>
      </c>
      <c r="AA110" s="51">
        <v>713</v>
      </c>
      <c r="AB110" s="145">
        <v>1355021</v>
      </c>
      <c r="AC110" s="13"/>
      <c r="AD110" s="4"/>
      <c r="AE110" s="4"/>
      <c r="AF110" s="4"/>
      <c r="AG110" s="5"/>
      <c r="AH110" s="6"/>
      <c r="AI110" s="6"/>
      <c r="AJ110" s="6"/>
      <c r="AK110" s="7"/>
      <c r="AL110" s="5"/>
      <c r="AM110" s="6"/>
      <c r="AN110" s="6"/>
      <c r="AO110" s="6"/>
      <c r="AP110" s="7"/>
      <c r="AQ110" s="5"/>
      <c r="AR110" s="6"/>
      <c r="AS110" s="6"/>
      <c r="AT110" s="6"/>
      <c r="AU110" s="7"/>
      <c r="AV110" s="31"/>
      <c r="AW110" s="31"/>
      <c r="AX110" s="31"/>
      <c r="AY110" s="31"/>
      <c r="AZ110" s="31"/>
      <c r="BA110" s="31"/>
      <c r="BB110" s="31"/>
      <c r="BC110" s="31"/>
      <c r="BD110" s="31"/>
      <c r="BE110" s="31"/>
      <c r="BF110" s="31"/>
      <c r="BG110" s="31"/>
      <c r="BH110" s="31"/>
      <c r="BI110" s="31"/>
      <c r="BJ110" s="31"/>
      <c r="BK110" s="31"/>
      <c r="BL110" s="31"/>
      <c r="BM110" s="31"/>
      <c r="BN110" s="31"/>
      <c r="BO110" s="31"/>
      <c r="BP110" s="31"/>
      <c r="BQ110" s="31"/>
      <c r="BR110" s="31"/>
      <c r="BS110" s="31"/>
      <c r="BT110" s="31"/>
      <c r="BU110" s="31"/>
      <c r="BV110" s="31"/>
      <c r="BW110" s="31"/>
      <c r="BX110" s="31"/>
      <c r="BY110" s="31"/>
      <c r="BZ110" s="31"/>
      <c r="CA110" s="31"/>
      <c r="CB110" s="31"/>
      <c r="CC110" s="31"/>
      <c r="CD110" s="31"/>
      <c r="CE110" s="31"/>
      <c r="CF110" s="31"/>
      <c r="CG110" s="31"/>
      <c r="CH110" s="31"/>
      <c r="CI110" s="31"/>
      <c r="CJ110" s="31"/>
      <c r="CK110" s="31"/>
      <c r="CL110" s="31"/>
      <c r="CM110" s="31"/>
      <c r="CN110" s="31"/>
      <c r="CO110" s="31"/>
      <c r="CP110" s="31"/>
      <c r="CQ110" s="31"/>
      <c r="CR110" s="31"/>
      <c r="CS110" s="31"/>
      <c r="CT110" s="31"/>
      <c r="CU110" s="31"/>
      <c r="CV110" s="31"/>
      <c r="CW110" s="31"/>
      <c r="CX110" s="31"/>
      <c r="CY110" s="31"/>
      <c r="CZ110" s="31"/>
      <c r="DA110" s="31"/>
      <c r="DB110" s="31"/>
      <c r="DC110" s="31"/>
      <c r="DD110" s="31"/>
      <c r="DE110" s="31"/>
      <c r="DF110" s="31"/>
      <c r="DG110" s="31"/>
      <c r="DH110" s="31"/>
      <c r="DI110" s="31"/>
      <c r="DJ110" s="31"/>
      <c r="DK110" s="31"/>
      <c r="DL110" s="31"/>
      <c r="DM110" s="31"/>
      <c r="DN110" s="31"/>
      <c r="DO110" s="31"/>
      <c r="DP110" s="31"/>
      <c r="DQ110" s="31"/>
      <c r="DR110" s="31"/>
      <c r="DS110" s="31"/>
      <c r="DT110" s="31"/>
      <c r="DU110" s="31"/>
      <c r="DV110" s="31"/>
      <c r="DW110" s="31"/>
      <c r="DX110" s="31"/>
      <c r="DY110" s="31"/>
      <c r="DZ110" s="31"/>
      <c r="EA110" s="31"/>
      <c r="EB110" s="31"/>
      <c r="EC110" s="31"/>
      <c r="ED110" s="31"/>
      <c r="EE110" s="31"/>
      <c r="EF110" s="31"/>
      <c r="EG110" s="31"/>
      <c r="EH110" s="31"/>
      <c r="EI110" s="31"/>
      <c r="EJ110" s="31"/>
      <c r="EK110" s="31"/>
      <c r="EL110" s="31"/>
      <c r="EM110" s="31"/>
      <c r="EN110" s="31"/>
      <c r="EO110" s="31"/>
      <c r="EP110" s="31"/>
      <c r="EQ110" s="31"/>
      <c r="ER110" s="31"/>
      <c r="ES110" s="31"/>
      <c r="ET110" s="31"/>
      <c r="EU110" s="31"/>
      <c r="EV110" s="31"/>
      <c r="EW110" s="31"/>
      <c r="EX110" s="31"/>
      <c r="EY110" s="31"/>
      <c r="EZ110" s="31"/>
      <c r="FA110" s="31"/>
      <c r="FB110" s="31"/>
      <c r="FC110" s="31"/>
      <c r="FD110" s="31"/>
      <c r="FE110" s="31"/>
      <c r="FF110" s="31"/>
      <c r="FG110" s="31"/>
      <c r="FH110" s="31"/>
      <c r="FI110" s="31"/>
      <c r="FJ110" s="31"/>
      <c r="FK110" s="31"/>
      <c r="FL110" s="31"/>
      <c r="FM110" s="31"/>
      <c r="FN110" s="31"/>
      <c r="FO110" s="31"/>
      <c r="FP110" s="31"/>
      <c r="FQ110" s="31"/>
      <c r="FR110" s="31"/>
      <c r="FS110" s="31"/>
      <c r="FT110" s="31"/>
      <c r="FU110" s="31"/>
      <c r="FV110" s="31"/>
      <c r="FW110" s="31"/>
      <c r="FX110" s="31"/>
      <c r="FY110" s="31"/>
      <c r="FZ110" s="31"/>
      <c r="GA110" s="31"/>
      <c r="GB110" s="31"/>
      <c r="GC110" s="31"/>
      <c r="GD110" s="31"/>
      <c r="GE110" s="31"/>
      <c r="GF110" s="31"/>
      <c r="GG110" s="31"/>
      <c r="GH110" s="31"/>
      <c r="GI110" s="31"/>
      <c r="GJ110" s="31"/>
      <c r="GK110" s="31"/>
      <c r="GL110" s="31"/>
      <c r="GM110" s="31"/>
      <c r="GN110" s="31"/>
      <c r="GO110" s="31"/>
      <c r="GP110" s="31"/>
      <c r="GQ110" s="31"/>
      <c r="GR110" s="31"/>
      <c r="GS110" s="31"/>
      <c r="GT110" s="31"/>
      <c r="GU110" s="31"/>
      <c r="GV110" s="31"/>
      <c r="GW110" s="31"/>
      <c r="GX110" s="31"/>
      <c r="GY110" s="31"/>
      <c r="GZ110" s="31"/>
      <c r="HA110" s="31"/>
      <c r="HB110" s="31"/>
      <c r="HC110" s="31"/>
      <c r="HD110" s="31"/>
      <c r="HE110" s="31"/>
      <c r="HF110" s="31"/>
      <c r="HG110" s="31"/>
      <c r="HH110" s="31"/>
      <c r="HI110" s="31"/>
      <c r="HJ110" s="31"/>
      <c r="HK110" s="31"/>
      <c r="HL110" s="31"/>
      <c r="HM110" s="31"/>
      <c r="HN110" s="31"/>
      <c r="HO110" s="31"/>
      <c r="HP110" s="31"/>
      <c r="HQ110" s="31"/>
      <c r="HR110" s="31"/>
      <c r="HS110" s="31"/>
      <c r="HT110" s="31"/>
      <c r="HU110" s="31"/>
      <c r="HV110" s="31"/>
      <c r="HW110" s="31"/>
      <c r="HX110" s="31"/>
      <c r="HY110" s="31"/>
      <c r="HZ110" s="31"/>
      <c r="IA110" s="31"/>
      <c r="IB110" s="31"/>
      <c r="IC110" s="31"/>
      <c r="ID110" s="31"/>
      <c r="IE110" s="31"/>
      <c r="IF110" s="31"/>
      <c r="IG110" s="31"/>
      <c r="IH110" s="31"/>
      <c r="II110" s="31"/>
      <c r="IJ110" s="31"/>
      <c r="IK110" s="31"/>
      <c r="IL110" s="31"/>
      <c r="IM110" s="31"/>
      <c r="IN110" s="31"/>
      <c r="IO110" s="31"/>
      <c r="IP110" s="31"/>
      <c r="IQ110" s="31"/>
      <c r="IR110" s="31"/>
      <c r="IS110" s="31"/>
      <c r="IT110" s="31"/>
      <c r="IU110" s="31"/>
      <c r="IV110" s="31"/>
      <c r="IW110" s="31"/>
    </row>
    <row r="111" spans="1:257" ht="16.5" customHeight="1">
      <c r="A111" s="217">
        <v>94</v>
      </c>
      <c r="B111" s="83" t="s">
        <v>34</v>
      </c>
      <c r="C111" s="83" t="s">
        <v>132</v>
      </c>
      <c r="D111" s="44">
        <v>493515656.64999998</v>
      </c>
      <c r="E111" s="44"/>
      <c r="F111" s="44"/>
      <c r="G111" s="44">
        <v>295091420</v>
      </c>
      <c r="H111" s="53"/>
      <c r="I111" s="52"/>
      <c r="J111" s="52">
        <v>788607077</v>
      </c>
      <c r="K111" s="52">
        <v>3572178</v>
      </c>
      <c r="L111" s="44">
        <v>1662342</v>
      </c>
      <c r="M111" s="193">
        <v>9726997</v>
      </c>
      <c r="N111" s="44">
        <v>1004643872</v>
      </c>
      <c r="O111" s="44">
        <v>79666861</v>
      </c>
      <c r="P111" s="108">
        <v>910032113.11000001</v>
      </c>
      <c r="Q111" s="47">
        <f t="shared" si="80"/>
        <v>6.8485211370461431E-4</v>
      </c>
      <c r="R111" s="108">
        <v>924977010.94000006</v>
      </c>
      <c r="S111" s="47">
        <f t="shared" si="81"/>
        <v>3.0997149873252212E-2</v>
      </c>
      <c r="T111" s="48">
        <f t="shared" si="82"/>
        <v>1.6422385116637725E-2</v>
      </c>
      <c r="U111" s="84">
        <f t="shared" si="83"/>
        <v>1.7971711516491194E-3</v>
      </c>
      <c r="V111" s="49">
        <f t="shared" si="84"/>
        <v>1.0515933785332698E-2</v>
      </c>
      <c r="W111" s="50">
        <f t="shared" si="85"/>
        <v>1.4110796335169442</v>
      </c>
      <c r="X111" s="50">
        <f t="shared" si="86"/>
        <v>1.4838819991895716E-2</v>
      </c>
      <c r="Y111" s="44">
        <v>1.41</v>
      </c>
      <c r="Z111" s="44">
        <v>1.43</v>
      </c>
      <c r="AA111" s="51">
        <v>1309</v>
      </c>
      <c r="AB111" s="145">
        <v>655510142</v>
      </c>
      <c r="AC111" s="13"/>
      <c r="AD111" s="4"/>
      <c r="AE111" s="4"/>
      <c r="AF111" s="4"/>
      <c r="AG111" s="5"/>
      <c r="AH111" s="6"/>
      <c r="AI111" s="6"/>
      <c r="AJ111" s="6"/>
      <c r="AK111" s="7"/>
      <c r="AL111" s="5"/>
      <c r="AM111" s="6"/>
      <c r="AN111" s="6"/>
      <c r="AO111" s="6"/>
      <c r="AP111" s="7"/>
      <c r="AQ111" s="5"/>
      <c r="AR111" s="6"/>
      <c r="AS111" s="6"/>
      <c r="AT111" s="6"/>
      <c r="AU111" s="7"/>
      <c r="AV111" s="31"/>
      <c r="AW111" s="31"/>
      <c r="AX111" s="31"/>
      <c r="AY111" s="31"/>
      <c r="AZ111" s="31"/>
      <c r="BA111" s="31"/>
      <c r="BB111" s="31"/>
      <c r="BC111" s="31"/>
      <c r="BD111" s="31"/>
      <c r="BE111" s="31"/>
      <c r="BF111" s="31"/>
      <c r="BG111" s="31"/>
      <c r="BH111" s="31"/>
      <c r="BI111" s="31"/>
      <c r="BJ111" s="31"/>
      <c r="BK111" s="31"/>
      <c r="BL111" s="31"/>
      <c r="BM111" s="31"/>
      <c r="BN111" s="31"/>
      <c r="BO111" s="31"/>
      <c r="BP111" s="31"/>
      <c r="BQ111" s="31"/>
      <c r="BR111" s="31"/>
      <c r="BS111" s="31"/>
      <c r="BT111" s="31"/>
      <c r="BU111" s="31"/>
      <c r="BV111" s="31"/>
      <c r="BW111" s="31"/>
      <c r="BX111" s="31"/>
      <c r="BY111" s="31"/>
      <c r="BZ111" s="31"/>
      <c r="CA111" s="31"/>
      <c r="CB111" s="31"/>
      <c r="CC111" s="31"/>
      <c r="CD111" s="31"/>
      <c r="CE111" s="31"/>
      <c r="CF111" s="31"/>
      <c r="CG111" s="31"/>
      <c r="CH111" s="31"/>
      <c r="CI111" s="31"/>
      <c r="CJ111" s="31"/>
      <c r="CK111" s="31"/>
      <c r="CL111" s="31"/>
      <c r="CM111" s="31"/>
      <c r="CN111" s="31"/>
      <c r="CO111" s="31"/>
      <c r="CP111" s="31"/>
      <c r="CQ111" s="31"/>
      <c r="CR111" s="31"/>
      <c r="CS111" s="31"/>
      <c r="CT111" s="31"/>
      <c r="CU111" s="31"/>
      <c r="CV111" s="31"/>
      <c r="CW111" s="31"/>
      <c r="CX111" s="31"/>
      <c r="CY111" s="31"/>
      <c r="CZ111" s="31"/>
      <c r="DA111" s="31"/>
      <c r="DB111" s="31"/>
      <c r="DC111" s="31"/>
      <c r="DD111" s="31"/>
      <c r="DE111" s="31"/>
      <c r="DF111" s="31"/>
      <c r="DG111" s="31"/>
      <c r="DH111" s="31"/>
      <c r="DI111" s="31"/>
      <c r="DJ111" s="31"/>
      <c r="DK111" s="31"/>
      <c r="DL111" s="31"/>
      <c r="DM111" s="31"/>
      <c r="DN111" s="31"/>
      <c r="DO111" s="31"/>
      <c r="DP111" s="31"/>
      <c r="DQ111" s="31"/>
      <c r="DR111" s="31"/>
      <c r="DS111" s="31"/>
      <c r="DT111" s="31"/>
      <c r="DU111" s="31"/>
      <c r="DV111" s="31"/>
      <c r="DW111" s="31"/>
      <c r="DX111" s="31"/>
      <c r="DY111" s="31"/>
      <c r="DZ111" s="31"/>
      <c r="EA111" s="31"/>
      <c r="EB111" s="31"/>
      <c r="EC111" s="31"/>
      <c r="ED111" s="31"/>
      <c r="EE111" s="31"/>
      <c r="EF111" s="31"/>
      <c r="EG111" s="31"/>
      <c r="EH111" s="31"/>
      <c r="EI111" s="31"/>
      <c r="EJ111" s="31"/>
      <c r="EK111" s="31"/>
      <c r="EL111" s="31"/>
      <c r="EM111" s="31"/>
      <c r="EN111" s="31"/>
      <c r="EO111" s="31"/>
      <c r="EP111" s="31"/>
      <c r="EQ111" s="31"/>
      <c r="ER111" s="31"/>
      <c r="ES111" s="31"/>
      <c r="ET111" s="31"/>
      <c r="EU111" s="31"/>
      <c r="EV111" s="31"/>
      <c r="EW111" s="31"/>
      <c r="EX111" s="31"/>
      <c r="EY111" s="31"/>
      <c r="EZ111" s="31"/>
      <c r="FA111" s="31"/>
      <c r="FB111" s="31"/>
      <c r="FC111" s="31"/>
      <c r="FD111" s="31"/>
      <c r="FE111" s="31"/>
      <c r="FF111" s="31"/>
      <c r="FG111" s="31"/>
      <c r="FH111" s="31"/>
      <c r="FI111" s="31"/>
      <c r="FJ111" s="31"/>
      <c r="FK111" s="31"/>
      <c r="FL111" s="31"/>
      <c r="FM111" s="31"/>
      <c r="FN111" s="31"/>
      <c r="FO111" s="31"/>
      <c r="FP111" s="31"/>
      <c r="FQ111" s="31"/>
      <c r="FR111" s="31"/>
      <c r="FS111" s="31"/>
      <c r="FT111" s="31"/>
      <c r="FU111" s="31"/>
      <c r="FV111" s="31"/>
      <c r="FW111" s="31"/>
      <c r="FX111" s="31"/>
      <c r="FY111" s="31"/>
      <c r="FZ111" s="31"/>
      <c r="GA111" s="31"/>
      <c r="GB111" s="31"/>
      <c r="GC111" s="31"/>
      <c r="GD111" s="31"/>
      <c r="GE111" s="31"/>
      <c r="GF111" s="31"/>
      <c r="GG111" s="31"/>
      <c r="GH111" s="31"/>
      <c r="GI111" s="31"/>
      <c r="GJ111" s="31"/>
      <c r="GK111" s="31"/>
      <c r="GL111" s="31"/>
      <c r="GM111" s="31"/>
      <c r="GN111" s="31"/>
      <c r="GO111" s="31"/>
      <c r="GP111" s="31"/>
      <c r="GQ111" s="31"/>
      <c r="GR111" s="31"/>
      <c r="GS111" s="31"/>
      <c r="GT111" s="31"/>
      <c r="GU111" s="31"/>
      <c r="GV111" s="31"/>
      <c r="GW111" s="31"/>
      <c r="GX111" s="31"/>
      <c r="GY111" s="31"/>
      <c r="GZ111" s="31"/>
      <c r="HA111" s="31"/>
      <c r="HB111" s="31"/>
      <c r="HC111" s="31"/>
      <c r="HD111" s="31"/>
      <c r="HE111" s="31"/>
      <c r="HF111" s="31"/>
      <c r="HG111" s="31"/>
      <c r="HH111" s="31"/>
      <c r="HI111" s="31"/>
      <c r="HJ111" s="31"/>
      <c r="HK111" s="31"/>
      <c r="HL111" s="31"/>
      <c r="HM111" s="31"/>
      <c r="HN111" s="31"/>
      <c r="HO111" s="31"/>
      <c r="HP111" s="31"/>
      <c r="HQ111" s="31"/>
      <c r="HR111" s="31"/>
      <c r="HS111" s="31"/>
      <c r="HT111" s="31"/>
      <c r="HU111" s="31"/>
      <c r="HV111" s="31"/>
      <c r="HW111" s="31"/>
      <c r="HX111" s="31"/>
      <c r="HY111" s="31"/>
      <c r="HZ111" s="31"/>
      <c r="IA111" s="31"/>
      <c r="IB111" s="31"/>
      <c r="IC111" s="31"/>
      <c r="ID111" s="31"/>
      <c r="IE111" s="31"/>
      <c r="IF111" s="31"/>
      <c r="IG111" s="31"/>
      <c r="IH111" s="31"/>
      <c r="II111" s="31"/>
      <c r="IJ111" s="31"/>
      <c r="IK111" s="31"/>
      <c r="IL111" s="31"/>
      <c r="IM111" s="31"/>
      <c r="IN111" s="31"/>
      <c r="IO111" s="31"/>
      <c r="IP111" s="31"/>
      <c r="IQ111" s="31"/>
      <c r="IR111" s="31"/>
      <c r="IS111" s="31"/>
      <c r="IT111" s="31"/>
      <c r="IU111" s="31"/>
      <c r="IV111" s="31"/>
      <c r="IW111" s="31"/>
    </row>
    <row r="112" spans="1:257" ht="16.5" customHeight="1">
      <c r="A112" s="217">
        <v>95</v>
      </c>
      <c r="B112" s="82" t="s">
        <v>36</v>
      </c>
      <c r="C112" s="83" t="s">
        <v>169</v>
      </c>
      <c r="D112" s="44">
        <v>2785146547.75</v>
      </c>
      <c r="E112" s="44"/>
      <c r="F112" s="44"/>
      <c r="G112" s="44">
        <v>446067130.60000002</v>
      </c>
      <c r="H112" s="104">
        <v>62308198.600000001</v>
      </c>
      <c r="I112" s="52"/>
      <c r="J112" s="52">
        <v>3293521876.9499998</v>
      </c>
      <c r="K112" s="52">
        <v>82352048.829999998</v>
      </c>
      <c r="L112" s="44">
        <v>14558532.970000001</v>
      </c>
      <c r="M112" s="193">
        <v>132412733.61</v>
      </c>
      <c r="N112" s="44">
        <v>4765869789</v>
      </c>
      <c r="O112" s="44">
        <v>1965049</v>
      </c>
      <c r="P112" s="108">
        <v>4708251821</v>
      </c>
      <c r="Q112" s="47">
        <f t="shared" si="80"/>
        <v>3.5432334365058759E-3</v>
      </c>
      <c r="R112" s="108">
        <v>4763904739</v>
      </c>
      <c r="S112" s="47">
        <f t="shared" si="81"/>
        <v>0.15964447486820635</v>
      </c>
      <c r="T112" s="48">
        <f t="shared" si="82"/>
        <v>1.1820293415864852E-2</v>
      </c>
      <c r="U112" s="84">
        <f t="shared" si="83"/>
        <v>3.0560084148651572E-3</v>
      </c>
      <c r="V112" s="49">
        <f t="shared" si="84"/>
        <v>2.7795000291671448E-2</v>
      </c>
      <c r="W112" s="50">
        <f t="shared" si="85"/>
        <v>486.7770798411097</v>
      </c>
      <c r="X112" s="50">
        <f t="shared" si="86"/>
        <v>13.529969076162621</v>
      </c>
      <c r="Y112" s="44">
        <v>476.53</v>
      </c>
      <c r="Z112" s="44">
        <v>490.6</v>
      </c>
      <c r="AA112" s="51">
        <v>35683</v>
      </c>
      <c r="AB112" s="145">
        <v>9786625</v>
      </c>
      <c r="AC112" s="13"/>
      <c r="AD112" s="4"/>
      <c r="AE112" s="4"/>
      <c r="AF112" s="4"/>
      <c r="AG112" s="5"/>
      <c r="AH112" s="6"/>
      <c r="AI112" s="6"/>
      <c r="AJ112" s="6"/>
      <c r="AK112" s="7"/>
      <c r="AL112" s="5"/>
      <c r="AM112" s="6"/>
      <c r="AN112" s="6"/>
      <c r="AO112" s="6"/>
      <c r="AP112" s="7"/>
      <c r="AQ112" s="5"/>
      <c r="AR112" s="6"/>
      <c r="AS112" s="6"/>
      <c r="AT112" s="6"/>
      <c r="AU112" s="7"/>
    </row>
    <row r="113" spans="1:257" ht="16.5" customHeight="1">
      <c r="A113" s="217">
        <v>96</v>
      </c>
      <c r="B113" s="83" t="s">
        <v>75</v>
      </c>
      <c r="C113" s="83" t="s">
        <v>194</v>
      </c>
      <c r="D113" s="44">
        <v>1133976338.3</v>
      </c>
      <c r="E113" s="44"/>
      <c r="F113" s="44">
        <v>304610272.08999997</v>
      </c>
      <c r="G113" s="44">
        <v>1038583640.3200001</v>
      </c>
      <c r="H113" s="53"/>
      <c r="I113" s="52"/>
      <c r="J113" s="52">
        <v>2477170250.71</v>
      </c>
      <c r="K113" s="52">
        <v>10153366.42</v>
      </c>
      <c r="L113" s="44">
        <v>18360859.120000001</v>
      </c>
      <c r="M113" s="193">
        <v>9354585.1899999995</v>
      </c>
      <c r="N113" s="44">
        <v>2502684883.98</v>
      </c>
      <c r="O113" s="44">
        <v>22972813.149999999</v>
      </c>
      <c r="P113" s="108">
        <v>2499398122.5799999</v>
      </c>
      <c r="Q113" s="47">
        <f t="shared" si="80"/>
        <v>1.8809425102467279E-3</v>
      </c>
      <c r="R113" s="108">
        <v>2479712070.8299999</v>
      </c>
      <c r="S113" s="47">
        <f t="shared" si="81"/>
        <v>8.3098288706567658E-2</v>
      </c>
      <c r="T113" s="48">
        <f t="shared" si="82"/>
        <v>-7.8763169309253953E-3</v>
      </c>
      <c r="U113" s="84">
        <f t="shared" si="83"/>
        <v>7.4044318838413859E-3</v>
      </c>
      <c r="V113" s="49">
        <f t="shared" si="84"/>
        <v>3.772448140266893E-3</v>
      </c>
      <c r="W113" s="50">
        <f t="shared" si="85"/>
        <v>13.423258702257366</v>
      </c>
      <c r="X113" s="50">
        <f t="shared" si="86"/>
        <v>5.0638547327652189E-2</v>
      </c>
      <c r="Y113" s="44">
        <v>13.423299999999999</v>
      </c>
      <c r="Z113" s="44">
        <v>13.5519</v>
      </c>
      <c r="AA113" s="51">
        <v>6418</v>
      </c>
      <c r="AB113" s="145">
        <v>184732494.97999999</v>
      </c>
      <c r="AC113" s="13"/>
      <c r="AD113" s="4"/>
      <c r="AE113" s="4"/>
      <c r="AF113" s="4"/>
      <c r="AG113" s="5"/>
      <c r="AH113" s="6"/>
      <c r="AI113" s="6"/>
      <c r="AJ113" s="6"/>
      <c r="AK113" s="7"/>
      <c r="AL113" s="5"/>
      <c r="AM113" s="6"/>
      <c r="AN113" s="6"/>
      <c r="AO113" s="6"/>
      <c r="AP113" s="7"/>
      <c r="AQ113" s="5"/>
      <c r="AR113" s="6"/>
      <c r="AS113" s="6"/>
      <c r="AT113" s="6"/>
      <c r="AU113" s="7"/>
    </row>
    <row r="114" spans="1:257" ht="16.5" customHeight="1">
      <c r="A114" s="217">
        <v>97</v>
      </c>
      <c r="B114" s="82" t="s">
        <v>56</v>
      </c>
      <c r="C114" s="82" t="s">
        <v>135</v>
      </c>
      <c r="D114" s="44">
        <v>1949703698.55</v>
      </c>
      <c r="E114" s="44"/>
      <c r="F114" s="44">
        <v>1221220486.03</v>
      </c>
      <c r="G114" s="44">
        <v>1147964042.75</v>
      </c>
      <c r="H114" s="53"/>
      <c r="I114" s="52"/>
      <c r="J114" s="52">
        <v>4295185852.79</v>
      </c>
      <c r="K114" s="52">
        <v>62479472.700000003</v>
      </c>
      <c r="L114" s="44">
        <v>11514213.210000001</v>
      </c>
      <c r="M114" s="193">
        <v>194706303.62</v>
      </c>
      <c r="N114" s="44">
        <v>4335666347.2600002</v>
      </c>
      <c r="O114" s="44">
        <v>40480494.469999999</v>
      </c>
      <c r="P114" s="108">
        <v>4209224995.1300001</v>
      </c>
      <c r="Q114" s="47">
        <f t="shared" si="80"/>
        <v>3.1676867150562077E-3</v>
      </c>
      <c r="R114" s="108">
        <v>4295185852.79</v>
      </c>
      <c r="S114" s="47">
        <f t="shared" si="81"/>
        <v>0.14393711199060324</v>
      </c>
      <c r="T114" s="48">
        <f t="shared" ref="T114:T123" si="87">((R114-P114)/P114)</f>
        <v>2.0422015397004212E-2</v>
      </c>
      <c r="U114" s="84">
        <f t="shared" ref="U114:U123" si="88">(L114/R114)</f>
        <v>2.6807252595416279E-3</v>
      </c>
      <c r="V114" s="49">
        <f>M114/R114</f>
        <v>4.5331287234876158E-2</v>
      </c>
      <c r="W114" s="50">
        <f t="shared" ref="W114:W123" si="89">R114/AB114</f>
        <v>183.13724575230003</v>
      </c>
      <c r="X114" s="50">
        <f t="shared" ref="X114:X119" si="90">M114/AB114</f>
        <v>8.3018470906016173</v>
      </c>
      <c r="Y114" s="44">
        <v>183.14</v>
      </c>
      <c r="Z114" s="44">
        <v>184.51</v>
      </c>
      <c r="AA114" s="51">
        <v>5472</v>
      </c>
      <c r="AB114" s="145">
        <v>23453371.460000001</v>
      </c>
      <c r="AC114" s="13"/>
      <c r="AD114" s="4"/>
      <c r="AE114" s="4"/>
      <c r="AF114" s="4"/>
      <c r="AG114" s="5"/>
      <c r="AH114" s="6"/>
      <c r="AI114" s="6"/>
      <c r="AJ114" s="6"/>
      <c r="AK114" s="7"/>
      <c r="AL114" s="5"/>
      <c r="AM114" s="6"/>
      <c r="AN114" s="6"/>
      <c r="AO114" s="6"/>
      <c r="AP114" s="7"/>
      <c r="AQ114" s="5"/>
      <c r="AR114" s="6"/>
      <c r="AS114" s="6"/>
      <c r="AT114" s="6"/>
      <c r="AU114" s="7"/>
      <c r="AV114" s="31"/>
      <c r="AW114" s="31"/>
      <c r="AX114" s="31"/>
      <c r="AY114" s="31"/>
      <c r="AZ114" s="31"/>
      <c r="BA114" s="31"/>
      <c r="BB114" s="31"/>
      <c r="BC114" s="31"/>
      <c r="BD114" s="31"/>
      <c r="BE114" s="31"/>
      <c r="BF114" s="31"/>
      <c r="BG114" s="31"/>
      <c r="BH114" s="31"/>
      <c r="BI114" s="31"/>
      <c r="BJ114" s="31"/>
      <c r="BK114" s="31"/>
      <c r="BL114" s="31"/>
      <c r="BM114" s="31"/>
      <c r="BN114" s="31"/>
      <c r="BO114" s="31"/>
      <c r="BP114" s="31"/>
      <c r="BQ114" s="31"/>
      <c r="BR114" s="31"/>
      <c r="BS114" s="31"/>
      <c r="BT114" s="31"/>
      <c r="BU114" s="31"/>
      <c r="BV114" s="31"/>
      <c r="BW114" s="31"/>
      <c r="BX114" s="31"/>
      <c r="BY114" s="31"/>
      <c r="BZ114" s="31"/>
      <c r="CA114" s="31"/>
      <c r="CB114" s="31"/>
      <c r="CC114" s="31"/>
      <c r="CD114" s="31"/>
      <c r="CE114" s="31"/>
      <c r="CF114" s="31"/>
      <c r="CG114" s="31"/>
      <c r="CH114" s="31"/>
      <c r="CI114" s="31"/>
      <c r="CJ114" s="31"/>
      <c r="CK114" s="31"/>
      <c r="CL114" s="31"/>
      <c r="CM114" s="31"/>
      <c r="CN114" s="31"/>
      <c r="CO114" s="31"/>
      <c r="CP114" s="31"/>
      <c r="CQ114" s="31"/>
      <c r="CR114" s="31"/>
      <c r="CS114" s="31"/>
      <c r="CT114" s="31"/>
      <c r="CU114" s="31"/>
      <c r="CV114" s="31"/>
      <c r="CW114" s="31"/>
      <c r="CX114" s="31"/>
      <c r="CY114" s="31"/>
      <c r="CZ114" s="31"/>
      <c r="DA114" s="31"/>
      <c r="DB114" s="31"/>
      <c r="DC114" s="31"/>
      <c r="DD114" s="31"/>
      <c r="DE114" s="31"/>
      <c r="DF114" s="31"/>
      <c r="DG114" s="31"/>
      <c r="DH114" s="31"/>
      <c r="DI114" s="31"/>
      <c r="DJ114" s="31"/>
      <c r="DK114" s="31"/>
      <c r="DL114" s="31"/>
      <c r="DM114" s="31"/>
      <c r="DN114" s="31"/>
      <c r="DO114" s="31"/>
      <c r="DP114" s="31"/>
      <c r="DQ114" s="31"/>
      <c r="DR114" s="31"/>
      <c r="DS114" s="31"/>
      <c r="DT114" s="31"/>
      <c r="DU114" s="31"/>
      <c r="DV114" s="31"/>
      <c r="DW114" s="31"/>
      <c r="DX114" s="31"/>
      <c r="DY114" s="31"/>
      <c r="DZ114" s="31"/>
      <c r="EA114" s="31"/>
      <c r="EB114" s="31"/>
      <c r="EC114" s="31"/>
      <c r="ED114" s="31"/>
      <c r="EE114" s="31"/>
      <c r="EF114" s="31"/>
      <c r="EG114" s="31"/>
      <c r="EH114" s="31"/>
      <c r="EI114" s="31"/>
      <c r="EJ114" s="31"/>
      <c r="EK114" s="31"/>
      <c r="EL114" s="31"/>
      <c r="EM114" s="31"/>
      <c r="EN114" s="31"/>
      <c r="EO114" s="31"/>
      <c r="EP114" s="31"/>
      <c r="EQ114" s="31"/>
      <c r="ER114" s="31"/>
      <c r="ES114" s="31"/>
      <c r="ET114" s="31"/>
      <c r="EU114" s="31"/>
      <c r="EV114" s="31"/>
      <c r="EW114" s="31"/>
      <c r="EX114" s="31"/>
      <c r="EY114" s="31"/>
      <c r="EZ114" s="31"/>
      <c r="FA114" s="31"/>
      <c r="FB114" s="31"/>
      <c r="FC114" s="31"/>
      <c r="FD114" s="31"/>
      <c r="FE114" s="31"/>
      <c r="FF114" s="31"/>
      <c r="FG114" s="31"/>
      <c r="FH114" s="31"/>
      <c r="FI114" s="31"/>
      <c r="FJ114" s="31"/>
      <c r="FK114" s="31"/>
      <c r="FL114" s="31"/>
      <c r="FM114" s="31"/>
      <c r="FN114" s="31"/>
      <c r="FO114" s="31"/>
      <c r="FP114" s="31"/>
      <c r="FQ114" s="31"/>
      <c r="FR114" s="31"/>
      <c r="FS114" s="31"/>
      <c r="FT114" s="31"/>
      <c r="FU114" s="31"/>
      <c r="FV114" s="31"/>
      <c r="FW114" s="31"/>
      <c r="FX114" s="31"/>
      <c r="FY114" s="31"/>
      <c r="FZ114" s="31"/>
      <c r="GA114" s="31"/>
      <c r="GB114" s="31"/>
      <c r="GC114" s="31"/>
      <c r="GD114" s="31"/>
      <c r="GE114" s="31"/>
      <c r="GF114" s="31"/>
      <c r="GG114" s="31"/>
      <c r="GH114" s="31"/>
      <c r="GI114" s="31"/>
      <c r="GJ114" s="31"/>
      <c r="GK114" s="31"/>
      <c r="GL114" s="31"/>
      <c r="GM114" s="31"/>
      <c r="GN114" s="31"/>
      <c r="GO114" s="31"/>
      <c r="GP114" s="31"/>
      <c r="GQ114" s="31"/>
      <c r="GR114" s="31"/>
      <c r="GS114" s="31"/>
      <c r="GT114" s="31"/>
      <c r="GU114" s="31"/>
      <c r="GV114" s="31"/>
      <c r="GW114" s="31"/>
      <c r="GX114" s="31"/>
      <c r="GY114" s="31"/>
      <c r="GZ114" s="31"/>
      <c r="HA114" s="31"/>
      <c r="HB114" s="31"/>
      <c r="HC114" s="31"/>
      <c r="HD114" s="31"/>
      <c r="HE114" s="31"/>
      <c r="HF114" s="31"/>
      <c r="HG114" s="31"/>
      <c r="HH114" s="31"/>
      <c r="HI114" s="31"/>
      <c r="HJ114" s="31"/>
      <c r="HK114" s="31"/>
      <c r="HL114" s="31"/>
      <c r="HM114" s="31"/>
      <c r="HN114" s="31"/>
      <c r="HO114" s="31"/>
      <c r="HP114" s="31"/>
      <c r="HQ114" s="31"/>
      <c r="HR114" s="31"/>
      <c r="HS114" s="31"/>
      <c r="HT114" s="31"/>
      <c r="HU114" s="31"/>
      <c r="HV114" s="31"/>
      <c r="HW114" s="31"/>
      <c r="HX114" s="31"/>
      <c r="HY114" s="31"/>
      <c r="HZ114" s="31"/>
      <c r="IA114" s="31"/>
      <c r="IB114" s="31"/>
      <c r="IC114" s="31"/>
      <c r="ID114" s="31"/>
      <c r="IE114" s="31"/>
      <c r="IF114" s="31"/>
      <c r="IG114" s="31"/>
      <c r="IH114" s="31"/>
      <c r="II114" s="31"/>
      <c r="IJ114" s="31"/>
      <c r="IK114" s="31"/>
      <c r="IL114" s="31"/>
      <c r="IM114" s="31"/>
      <c r="IN114" s="31"/>
      <c r="IO114" s="31"/>
      <c r="IP114" s="31"/>
      <c r="IQ114" s="31"/>
      <c r="IR114" s="31"/>
      <c r="IS114" s="31"/>
      <c r="IT114" s="31"/>
      <c r="IU114" s="31"/>
      <c r="IV114" s="31"/>
      <c r="IW114" s="31"/>
    </row>
    <row r="115" spans="1:257" ht="16.5" customHeight="1">
      <c r="A115" s="217">
        <v>98</v>
      </c>
      <c r="B115" s="83" t="s">
        <v>88</v>
      </c>
      <c r="C115" s="86" t="s">
        <v>136</v>
      </c>
      <c r="D115" s="44">
        <v>3177676559.75</v>
      </c>
      <c r="E115" s="44"/>
      <c r="F115" s="44"/>
      <c r="G115" s="44">
        <v>975747547.27999997</v>
      </c>
      <c r="H115" s="53"/>
      <c r="I115" s="52"/>
      <c r="J115" s="52">
        <v>4542353473.2700005</v>
      </c>
      <c r="K115" s="52">
        <v>11058658.310000001</v>
      </c>
      <c r="L115" s="44">
        <v>8291821.0099999998</v>
      </c>
      <c r="M115" s="214">
        <v>26147404.359999999</v>
      </c>
      <c r="N115" s="44">
        <v>4933682681.3599997</v>
      </c>
      <c r="O115" s="44">
        <v>14941464.220000001</v>
      </c>
      <c r="P115" s="108">
        <v>4812796520.1599998</v>
      </c>
      <c r="Q115" s="47">
        <f t="shared" si="80"/>
        <v>3.6219094053699377E-3</v>
      </c>
      <c r="R115" s="108">
        <v>4918741217.1400003</v>
      </c>
      <c r="S115" s="47">
        <f t="shared" si="81"/>
        <v>0.16483324114238077</v>
      </c>
      <c r="T115" s="48">
        <f t="shared" si="87"/>
        <v>2.2013126159856514E-2</v>
      </c>
      <c r="U115" s="84">
        <f t="shared" si="88"/>
        <v>1.6857607757663809E-3</v>
      </c>
      <c r="V115" s="49">
        <f>M115/R115</f>
        <v>5.3158731483750219E-3</v>
      </c>
      <c r="W115" s="50">
        <f t="shared" si="89"/>
        <v>179.23643510328574</v>
      </c>
      <c r="X115" s="50">
        <f t="shared" si="90"/>
        <v>0.95279815257601885</v>
      </c>
      <c r="Y115" s="44">
        <v>176.804</v>
      </c>
      <c r="Z115" s="44">
        <v>180.7996</v>
      </c>
      <c r="AA115" s="51">
        <v>25</v>
      </c>
      <c r="AB115" s="145">
        <v>27442753</v>
      </c>
      <c r="AC115" s="13"/>
      <c r="AD115" s="4"/>
      <c r="AE115" s="4"/>
      <c r="AF115" s="4"/>
      <c r="AG115" s="5"/>
      <c r="AH115" s="6"/>
      <c r="AI115" s="6"/>
      <c r="AJ115" s="6"/>
      <c r="AK115" s="7"/>
      <c r="AL115" s="5"/>
      <c r="AM115" s="6"/>
      <c r="AN115" s="6"/>
      <c r="AO115" s="6"/>
      <c r="AP115" s="7"/>
      <c r="AQ115" s="5"/>
      <c r="AR115" s="6"/>
      <c r="AS115" s="6"/>
      <c r="AT115" s="6"/>
      <c r="AU115" s="7"/>
      <c r="AV115" s="31"/>
      <c r="AW115" s="31"/>
      <c r="AX115" s="31"/>
      <c r="AY115" s="31"/>
      <c r="AZ115" s="31"/>
      <c r="BA115" s="31"/>
      <c r="BB115" s="31"/>
      <c r="BC115" s="31"/>
      <c r="BD115" s="31"/>
      <c r="BE115" s="31"/>
      <c r="BF115" s="31"/>
      <c r="BG115" s="31"/>
      <c r="BH115" s="31"/>
      <c r="BI115" s="31"/>
      <c r="BJ115" s="31"/>
      <c r="BK115" s="31"/>
      <c r="BL115" s="31"/>
      <c r="BM115" s="31"/>
      <c r="BN115" s="31"/>
      <c r="BO115" s="31"/>
      <c r="BP115" s="31"/>
      <c r="BQ115" s="31"/>
      <c r="BR115" s="31"/>
      <c r="BS115" s="31"/>
      <c r="BT115" s="31"/>
      <c r="BU115" s="31"/>
      <c r="BV115" s="31"/>
      <c r="BW115" s="31"/>
      <c r="BX115" s="31"/>
      <c r="BY115" s="31"/>
      <c r="BZ115" s="31"/>
      <c r="CA115" s="31"/>
      <c r="CB115" s="31"/>
      <c r="CC115" s="31"/>
      <c r="CD115" s="31"/>
      <c r="CE115" s="31"/>
      <c r="CF115" s="31"/>
      <c r="CG115" s="31"/>
      <c r="CH115" s="31"/>
      <c r="CI115" s="31"/>
      <c r="CJ115" s="31"/>
      <c r="CK115" s="31"/>
      <c r="CL115" s="31"/>
      <c r="CM115" s="31"/>
      <c r="CN115" s="31"/>
      <c r="CO115" s="31"/>
      <c r="CP115" s="31"/>
      <c r="CQ115" s="31"/>
      <c r="CR115" s="31"/>
      <c r="CS115" s="31"/>
      <c r="CT115" s="31"/>
      <c r="CU115" s="31"/>
      <c r="CV115" s="31"/>
      <c r="CW115" s="31"/>
      <c r="CX115" s="31"/>
      <c r="CY115" s="31"/>
      <c r="CZ115" s="31"/>
      <c r="DA115" s="31"/>
      <c r="DB115" s="31"/>
      <c r="DC115" s="31"/>
      <c r="DD115" s="31"/>
      <c r="DE115" s="31"/>
      <c r="DF115" s="31"/>
      <c r="DG115" s="31"/>
      <c r="DH115" s="31"/>
      <c r="DI115" s="31"/>
      <c r="DJ115" s="31"/>
      <c r="DK115" s="31"/>
      <c r="DL115" s="31"/>
      <c r="DM115" s="31"/>
      <c r="DN115" s="31"/>
      <c r="DO115" s="31"/>
      <c r="DP115" s="31"/>
      <c r="DQ115" s="31"/>
      <c r="DR115" s="31"/>
      <c r="DS115" s="31"/>
      <c r="DT115" s="31"/>
      <c r="DU115" s="31"/>
      <c r="DV115" s="31"/>
      <c r="DW115" s="31"/>
      <c r="DX115" s="31"/>
      <c r="DY115" s="31"/>
      <c r="DZ115" s="31"/>
      <c r="EA115" s="31"/>
      <c r="EB115" s="31"/>
      <c r="EC115" s="31"/>
      <c r="ED115" s="31"/>
      <c r="EE115" s="31"/>
      <c r="EF115" s="31"/>
      <c r="EG115" s="31"/>
      <c r="EH115" s="31"/>
      <c r="EI115" s="31"/>
      <c r="EJ115" s="31"/>
      <c r="EK115" s="31"/>
      <c r="EL115" s="31"/>
      <c r="EM115" s="31"/>
      <c r="EN115" s="31"/>
      <c r="EO115" s="31"/>
      <c r="EP115" s="31"/>
      <c r="EQ115" s="31"/>
      <c r="ER115" s="31"/>
      <c r="ES115" s="31"/>
      <c r="ET115" s="31"/>
      <c r="EU115" s="31"/>
      <c r="EV115" s="31"/>
      <c r="EW115" s="31"/>
      <c r="EX115" s="31"/>
      <c r="EY115" s="31"/>
      <c r="EZ115" s="31"/>
      <c r="FA115" s="31"/>
      <c r="FB115" s="31"/>
      <c r="FC115" s="31"/>
      <c r="FD115" s="31"/>
      <c r="FE115" s="31"/>
      <c r="FF115" s="31"/>
      <c r="FG115" s="31"/>
      <c r="FH115" s="31"/>
      <c r="FI115" s="31"/>
      <c r="FJ115" s="31"/>
      <c r="FK115" s="31"/>
      <c r="FL115" s="31"/>
      <c r="FM115" s="31"/>
      <c r="FN115" s="31"/>
      <c r="FO115" s="31"/>
      <c r="FP115" s="31"/>
      <c r="FQ115" s="31"/>
      <c r="FR115" s="31"/>
      <c r="FS115" s="31"/>
      <c r="FT115" s="31"/>
      <c r="FU115" s="31"/>
      <c r="FV115" s="31"/>
      <c r="FW115" s="31"/>
      <c r="FX115" s="31"/>
      <c r="FY115" s="31"/>
      <c r="FZ115" s="31"/>
      <c r="GA115" s="31"/>
      <c r="GB115" s="31"/>
      <c r="GC115" s="31"/>
      <c r="GD115" s="31"/>
      <c r="GE115" s="31"/>
      <c r="GF115" s="31"/>
      <c r="GG115" s="31"/>
      <c r="GH115" s="31"/>
      <c r="GI115" s="31"/>
      <c r="GJ115" s="31"/>
      <c r="GK115" s="31"/>
      <c r="GL115" s="31"/>
      <c r="GM115" s="31"/>
      <c r="GN115" s="31"/>
      <c r="GO115" s="31"/>
      <c r="GP115" s="31"/>
      <c r="GQ115" s="31"/>
      <c r="GR115" s="31"/>
      <c r="GS115" s="31"/>
      <c r="GT115" s="31"/>
      <c r="GU115" s="31"/>
      <c r="GV115" s="31"/>
      <c r="GW115" s="31"/>
      <c r="GX115" s="31"/>
      <c r="GY115" s="31"/>
      <c r="GZ115" s="31"/>
      <c r="HA115" s="31"/>
      <c r="HB115" s="31"/>
      <c r="HC115" s="31"/>
      <c r="HD115" s="31"/>
      <c r="HE115" s="31"/>
      <c r="HF115" s="31"/>
      <c r="HG115" s="31"/>
      <c r="HH115" s="31"/>
      <c r="HI115" s="31"/>
      <c r="HJ115" s="31"/>
      <c r="HK115" s="31"/>
      <c r="HL115" s="31"/>
      <c r="HM115" s="31"/>
      <c r="HN115" s="31"/>
      <c r="HO115" s="31"/>
      <c r="HP115" s="31"/>
      <c r="HQ115" s="31"/>
      <c r="HR115" s="31"/>
      <c r="HS115" s="31"/>
      <c r="HT115" s="31"/>
      <c r="HU115" s="31"/>
      <c r="HV115" s="31"/>
      <c r="HW115" s="31"/>
      <c r="HX115" s="31"/>
      <c r="HY115" s="31"/>
      <c r="HZ115" s="31"/>
      <c r="IA115" s="31"/>
      <c r="IB115" s="31"/>
      <c r="IC115" s="31"/>
      <c r="ID115" s="31"/>
      <c r="IE115" s="31"/>
      <c r="IF115" s="31"/>
      <c r="IG115" s="31"/>
      <c r="IH115" s="31"/>
      <c r="II115" s="31"/>
      <c r="IJ115" s="31"/>
      <c r="IK115" s="31"/>
      <c r="IL115" s="31"/>
      <c r="IM115" s="31"/>
      <c r="IN115" s="31"/>
      <c r="IO115" s="31"/>
      <c r="IP115" s="31"/>
      <c r="IQ115" s="31"/>
      <c r="IR115" s="31"/>
      <c r="IS115" s="31"/>
      <c r="IT115" s="31"/>
      <c r="IU115" s="31"/>
      <c r="IV115" s="31"/>
      <c r="IW115" s="31"/>
    </row>
    <row r="116" spans="1:257" ht="16.5" customHeight="1">
      <c r="A116" s="217">
        <v>99</v>
      </c>
      <c r="B116" s="83" t="s">
        <v>83</v>
      </c>
      <c r="C116" s="116" t="s">
        <v>175</v>
      </c>
      <c r="D116" s="44">
        <v>1046831145.95</v>
      </c>
      <c r="E116" s="44"/>
      <c r="F116" s="44">
        <v>560198580.44000006</v>
      </c>
      <c r="G116" s="44">
        <v>629825819.00999999</v>
      </c>
      <c r="H116" s="53"/>
      <c r="I116" s="52"/>
      <c r="J116" s="52">
        <v>2236855545.4000001</v>
      </c>
      <c r="K116" s="52">
        <v>10554837.6</v>
      </c>
      <c r="L116" s="44">
        <v>5014916.16</v>
      </c>
      <c r="M116" s="193">
        <v>10160649.84</v>
      </c>
      <c r="N116" s="44">
        <v>2241092033.4200001</v>
      </c>
      <c r="O116" s="44">
        <v>22442943.989999998</v>
      </c>
      <c r="P116" s="108">
        <v>2187648310.4499998</v>
      </c>
      <c r="Q116" s="47">
        <f t="shared" si="80"/>
        <v>1.6463326380141861E-3</v>
      </c>
      <c r="R116" s="108">
        <v>2218649089.4299998</v>
      </c>
      <c r="S116" s="47">
        <f t="shared" si="81"/>
        <v>7.4349737915461803E-2</v>
      </c>
      <c r="T116" s="48">
        <f t="shared" si="87"/>
        <v>1.4170823907990564E-2</v>
      </c>
      <c r="U116" s="84">
        <f t="shared" si="88"/>
        <v>2.2603467055208799E-3</v>
      </c>
      <c r="V116" s="49">
        <f>M116/R116</f>
        <v>4.5796561017273823E-3</v>
      </c>
      <c r="W116" s="50">
        <f t="shared" si="89"/>
        <v>4049.6576584129289</v>
      </c>
      <c r="X116" s="50">
        <f t="shared" si="90"/>
        <v>18.546039405257794</v>
      </c>
      <c r="Y116" s="44">
        <v>4015.75</v>
      </c>
      <c r="Z116" s="44">
        <v>4076.9</v>
      </c>
      <c r="AA116" s="51">
        <v>816</v>
      </c>
      <c r="AB116" s="145">
        <v>547860.9</v>
      </c>
      <c r="AC116" s="13"/>
      <c r="AD116" s="4"/>
      <c r="AE116" s="4"/>
      <c r="AF116" s="4"/>
      <c r="AG116" s="5"/>
      <c r="AH116" s="6"/>
      <c r="AI116" s="6"/>
      <c r="AJ116" s="6"/>
      <c r="AK116" s="7"/>
      <c r="AL116" s="5"/>
      <c r="AM116" s="6"/>
      <c r="AN116" s="6"/>
      <c r="AO116" s="6"/>
      <c r="AP116" s="7"/>
      <c r="AQ116" s="5"/>
      <c r="AR116" s="6"/>
      <c r="AS116" s="6"/>
      <c r="AT116" s="6"/>
      <c r="AU116" s="7"/>
      <c r="AV116" s="31"/>
      <c r="AW116" s="31"/>
      <c r="AX116" s="31"/>
      <c r="AY116" s="31"/>
      <c r="AZ116" s="31"/>
      <c r="BA116" s="31"/>
      <c r="BB116" s="31"/>
      <c r="BC116" s="31"/>
      <c r="BD116" s="31"/>
      <c r="BE116" s="31"/>
      <c r="BF116" s="31"/>
      <c r="BG116" s="31"/>
      <c r="BH116" s="31"/>
      <c r="BI116" s="31"/>
      <c r="BJ116" s="31"/>
      <c r="BK116" s="31"/>
      <c r="BL116" s="31"/>
      <c r="BM116" s="31"/>
      <c r="BN116" s="31"/>
      <c r="BO116" s="31"/>
      <c r="BP116" s="31"/>
      <c r="BQ116" s="31"/>
      <c r="BR116" s="31"/>
      <c r="BS116" s="31"/>
      <c r="BT116" s="31"/>
      <c r="BU116" s="31"/>
      <c r="BV116" s="31"/>
      <c r="BW116" s="31"/>
      <c r="BX116" s="31"/>
      <c r="BY116" s="31"/>
      <c r="BZ116" s="31"/>
      <c r="CA116" s="31"/>
      <c r="CB116" s="31"/>
      <c r="CC116" s="31"/>
      <c r="CD116" s="31"/>
      <c r="CE116" s="31"/>
      <c r="CF116" s="31"/>
      <c r="CG116" s="31"/>
      <c r="CH116" s="31"/>
      <c r="CI116" s="31"/>
      <c r="CJ116" s="31"/>
      <c r="CK116" s="31"/>
      <c r="CL116" s="31"/>
      <c r="CM116" s="31"/>
      <c r="CN116" s="31"/>
      <c r="CO116" s="31"/>
      <c r="CP116" s="31"/>
      <c r="CQ116" s="31"/>
      <c r="CR116" s="31"/>
      <c r="CS116" s="31"/>
      <c r="CT116" s="31"/>
      <c r="CU116" s="31"/>
      <c r="CV116" s="31"/>
      <c r="CW116" s="31"/>
      <c r="CX116" s="31"/>
      <c r="CY116" s="31"/>
      <c r="CZ116" s="31"/>
      <c r="DA116" s="31"/>
      <c r="DB116" s="31"/>
      <c r="DC116" s="31"/>
      <c r="DD116" s="31"/>
      <c r="DE116" s="31"/>
      <c r="DF116" s="31"/>
      <c r="DG116" s="31"/>
      <c r="DH116" s="31"/>
      <c r="DI116" s="31"/>
      <c r="DJ116" s="31"/>
      <c r="DK116" s="31"/>
      <c r="DL116" s="31"/>
      <c r="DM116" s="31"/>
      <c r="DN116" s="31"/>
      <c r="DO116" s="31"/>
      <c r="DP116" s="31"/>
      <c r="DQ116" s="31"/>
      <c r="DR116" s="31"/>
      <c r="DS116" s="31"/>
      <c r="DT116" s="31"/>
      <c r="DU116" s="31"/>
      <c r="DV116" s="31"/>
      <c r="DW116" s="31"/>
      <c r="DX116" s="31"/>
      <c r="DY116" s="31"/>
      <c r="DZ116" s="31"/>
      <c r="EA116" s="31"/>
      <c r="EB116" s="31"/>
      <c r="EC116" s="31"/>
      <c r="ED116" s="31"/>
      <c r="EE116" s="31"/>
      <c r="EF116" s="31"/>
      <c r="EG116" s="31"/>
      <c r="EH116" s="31"/>
      <c r="EI116" s="31"/>
      <c r="EJ116" s="31"/>
      <c r="EK116" s="31"/>
      <c r="EL116" s="31"/>
      <c r="EM116" s="31"/>
      <c r="EN116" s="31"/>
      <c r="EO116" s="31"/>
      <c r="EP116" s="31"/>
      <c r="EQ116" s="31"/>
      <c r="ER116" s="31"/>
      <c r="ES116" s="31"/>
      <c r="ET116" s="31"/>
      <c r="EU116" s="31"/>
      <c r="EV116" s="31"/>
      <c r="EW116" s="31"/>
      <c r="EX116" s="31"/>
      <c r="EY116" s="31"/>
      <c r="EZ116" s="31"/>
      <c r="FA116" s="31"/>
      <c r="FB116" s="31"/>
      <c r="FC116" s="31"/>
      <c r="FD116" s="31"/>
      <c r="FE116" s="31"/>
      <c r="FF116" s="31"/>
      <c r="FG116" s="31"/>
      <c r="FH116" s="31"/>
      <c r="FI116" s="31"/>
      <c r="FJ116" s="31"/>
      <c r="FK116" s="31"/>
      <c r="FL116" s="31"/>
      <c r="FM116" s="31"/>
      <c r="FN116" s="31"/>
      <c r="FO116" s="31"/>
      <c r="FP116" s="31"/>
      <c r="FQ116" s="31"/>
      <c r="FR116" s="31"/>
      <c r="FS116" s="31"/>
      <c r="FT116" s="31"/>
      <c r="FU116" s="31"/>
      <c r="FV116" s="31"/>
      <c r="FW116" s="31"/>
      <c r="FX116" s="31"/>
      <c r="FY116" s="31"/>
      <c r="FZ116" s="31"/>
      <c r="GA116" s="31"/>
      <c r="GB116" s="31"/>
      <c r="GC116" s="31"/>
      <c r="GD116" s="31"/>
      <c r="GE116" s="31"/>
      <c r="GF116" s="31"/>
      <c r="GG116" s="31"/>
      <c r="GH116" s="31"/>
      <c r="GI116" s="31"/>
      <c r="GJ116" s="31"/>
      <c r="GK116" s="31"/>
      <c r="GL116" s="31"/>
      <c r="GM116" s="31"/>
      <c r="GN116" s="31"/>
      <c r="GO116" s="31"/>
      <c r="GP116" s="31"/>
      <c r="GQ116" s="31"/>
      <c r="GR116" s="31"/>
      <c r="GS116" s="31"/>
      <c r="GT116" s="31"/>
      <c r="GU116" s="31"/>
      <c r="GV116" s="31"/>
      <c r="GW116" s="31"/>
      <c r="GX116" s="31"/>
      <c r="GY116" s="31"/>
      <c r="GZ116" s="31"/>
      <c r="HA116" s="31"/>
      <c r="HB116" s="31"/>
      <c r="HC116" s="31"/>
      <c r="HD116" s="31"/>
      <c r="HE116" s="31"/>
      <c r="HF116" s="31"/>
      <c r="HG116" s="31"/>
      <c r="HH116" s="31"/>
      <c r="HI116" s="31"/>
      <c r="HJ116" s="31"/>
      <c r="HK116" s="31"/>
      <c r="HL116" s="31"/>
      <c r="HM116" s="31"/>
      <c r="HN116" s="31"/>
      <c r="HO116" s="31"/>
      <c r="HP116" s="31"/>
      <c r="HQ116" s="31"/>
      <c r="HR116" s="31"/>
      <c r="HS116" s="31"/>
      <c r="HT116" s="31"/>
      <c r="HU116" s="31"/>
      <c r="HV116" s="31"/>
      <c r="HW116" s="31"/>
      <c r="HX116" s="31"/>
      <c r="HY116" s="31"/>
      <c r="HZ116" s="31"/>
      <c r="IA116" s="31"/>
      <c r="IB116" s="31"/>
      <c r="IC116" s="31"/>
      <c r="ID116" s="31"/>
      <c r="IE116" s="31"/>
      <c r="IF116" s="31"/>
      <c r="IG116" s="31"/>
      <c r="IH116" s="31"/>
      <c r="II116" s="31"/>
      <c r="IJ116" s="31"/>
      <c r="IK116" s="31"/>
      <c r="IL116" s="31"/>
      <c r="IM116" s="31"/>
      <c r="IN116" s="31"/>
      <c r="IO116" s="31"/>
      <c r="IP116" s="31"/>
      <c r="IQ116" s="31"/>
      <c r="IR116" s="31"/>
      <c r="IS116" s="31"/>
      <c r="IT116" s="31"/>
      <c r="IU116" s="31"/>
      <c r="IV116" s="31"/>
      <c r="IW116" s="31"/>
    </row>
    <row r="117" spans="1:257" ht="16.5" customHeight="1">
      <c r="A117" s="217">
        <v>100</v>
      </c>
      <c r="B117" s="83" t="s">
        <v>79</v>
      </c>
      <c r="C117" s="67" t="s">
        <v>177</v>
      </c>
      <c r="D117" s="44">
        <v>923585450.20000005</v>
      </c>
      <c r="E117" s="44"/>
      <c r="F117" s="44"/>
      <c r="G117" s="44">
        <v>604126089.04999995</v>
      </c>
      <c r="H117" s="53"/>
      <c r="I117" s="52"/>
      <c r="J117" s="52">
        <v>2095864829.8699999</v>
      </c>
      <c r="K117" s="52">
        <v>7958268.7000000002</v>
      </c>
      <c r="L117" s="44">
        <v>6520791.2400000002</v>
      </c>
      <c r="M117" s="193">
        <v>55604956.369999997</v>
      </c>
      <c r="N117" s="44">
        <v>2015382874.9300001</v>
      </c>
      <c r="O117" s="44">
        <v>112941071.53</v>
      </c>
      <c r="P117" s="108">
        <v>2017182181.8099999</v>
      </c>
      <c r="Q117" s="47">
        <f t="shared" si="80"/>
        <v>1.5180469579460642E-3</v>
      </c>
      <c r="R117" s="108">
        <v>1902441803.4000001</v>
      </c>
      <c r="S117" s="47">
        <f t="shared" si="81"/>
        <v>6.3753231710269184E-2</v>
      </c>
      <c r="T117" s="48">
        <f t="shared" si="87"/>
        <v>-5.6881514939341925E-2</v>
      </c>
      <c r="U117" s="84">
        <f t="shared" si="88"/>
        <v>3.4275903884924061E-3</v>
      </c>
      <c r="V117" s="49">
        <f>M117/R117</f>
        <v>2.922820360161562E-2</v>
      </c>
      <c r="W117" s="50">
        <f t="shared" si="89"/>
        <v>1.2664781374490897</v>
      </c>
      <c r="X117" s="50">
        <f t="shared" si="90"/>
        <v>3.7016880858356929E-2</v>
      </c>
      <c r="Y117" s="44">
        <v>1.2565</v>
      </c>
      <c r="Z117" s="44">
        <v>1.2565</v>
      </c>
      <c r="AA117" s="51">
        <v>10343</v>
      </c>
      <c r="AB117" s="145">
        <v>1502151318.01</v>
      </c>
      <c r="AC117" s="13"/>
      <c r="AD117" s="4"/>
      <c r="AE117" s="4"/>
      <c r="AF117" s="4"/>
      <c r="AG117" s="5"/>
      <c r="AH117" s="6"/>
      <c r="AI117" s="6"/>
      <c r="AJ117" s="6"/>
      <c r="AK117" s="7"/>
      <c r="AL117" s="5"/>
      <c r="AM117" s="6"/>
      <c r="AN117" s="6"/>
      <c r="AO117" s="6"/>
      <c r="AP117" s="7"/>
      <c r="AQ117" s="5"/>
      <c r="AR117" s="6"/>
      <c r="AS117" s="6"/>
      <c r="AT117" s="6"/>
      <c r="AU117" s="7"/>
      <c r="AV117" s="31"/>
      <c r="AW117" s="31"/>
      <c r="AX117" s="31"/>
      <c r="AY117" s="31"/>
      <c r="AZ117" s="31"/>
      <c r="BA117" s="31"/>
      <c r="BB117" s="31"/>
      <c r="BC117" s="31"/>
      <c r="BD117" s="31"/>
      <c r="BE117" s="31"/>
      <c r="BF117" s="31"/>
      <c r="BG117" s="31"/>
      <c r="BH117" s="31"/>
      <c r="BI117" s="31"/>
      <c r="BJ117" s="31"/>
      <c r="BK117" s="31"/>
      <c r="BL117" s="31"/>
      <c r="BM117" s="31"/>
      <c r="BN117" s="31"/>
      <c r="BO117" s="31"/>
      <c r="BP117" s="31"/>
      <c r="BQ117" s="31"/>
      <c r="BR117" s="31"/>
      <c r="BS117" s="31"/>
      <c r="BT117" s="31"/>
      <c r="BU117" s="31"/>
      <c r="BV117" s="31"/>
      <c r="BW117" s="31"/>
      <c r="BX117" s="31"/>
      <c r="BY117" s="31"/>
      <c r="BZ117" s="31"/>
      <c r="CA117" s="31"/>
      <c r="CB117" s="31"/>
      <c r="CC117" s="31"/>
      <c r="CD117" s="31"/>
      <c r="CE117" s="31"/>
      <c r="CF117" s="31"/>
      <c r="CG117" s="31"/>
      <c r="CH117" s="31"/>
      <c r="CI117" s="31"/>
      <c r="CJ117" s="31"/>
      <c r="CK117" s="31"/>
      <c r="CL117" s="31"/>
      <c r="CM117" s="31"/>
      <c r="CN117" s="31"/>
      <c r="CO117" s="31"/>
      <c r="CP117" s="31"/>
      <c r="CQ117" s="31"/>
      <c r="CR117" s="31"/>
      <c r="CS117" s="31"/>
      <c r="CT117" s="31"/>
      <c r="CU117" s="31"/>
      <c r="CV117" s="31"/>
      <c r="CW117" s="31"/>
      <c r="CX117" s="31"/>
      <c r="CY117" s="31"/>
      <c r="CZ117" s="31"/>
      <c r="DA117" s="31"/>
      <c r="DB117" s="31"/>
      <c r="DC117" s="31"/>
      <c r="DD117" s="31"/>
      <c r="DE117" s="31"/>
      <c r="DF117" s="31"/>
      <c r="DG117" s="31"/>
      <c r="DH117" s="31"/>
      <c r="DI117" s="31"/>
      <c r="DJ117" s="31"/>
      <c r="DK117" s="31"/>
      <c r="DL117" s="31"/>
      <c r="DM117" s="31"/>
      <c r="DN117" s="31"/>
      <c r="DO117" s="31"/>
      <c r="DP117" s="31"/>
      <c r="DQ117" s="31"/>
      <c r="DR117" s="31"/>
      <c r="DS117" s="31"/>
      <c r="DT117" s="31"/>
      <c r="DU117" s="31"/>
      <c r="DV117" s="31"/>
      <c r="DW117" s="31"/>
      <c r="DX117" s="31"/>
      <c r="DY117" s="31"/>
      <c r="DZ117" s="31"/>
      <c r="EA117" s="31"/>
      <c r="EB117" s="31"/>
      <c r="EC117" s="31"/>
      <c r="ED117" s="31"/>
      <c r="EE117" s="31"/>
      <c r="EF117" s="31"/>
      <c r="EG117" s="31"/>
      <c r="EH117" s="31"/>
      <c r="EI117" s="31"/>
      <c r="EJ117" s="31"/>
      <c r="EK117" s="31"/>
      <c r="EL117" s="31"/>
      <c r="EM117" s="31"/>
      <c r="EN117" s="31"/>
      <c r="EO117" s="31"/>
      <c r="EP117" s="31"/>
      <c r="EQ117" s="31"/>
      <c r="ER117" s="31"/>
      <c r="ES117" s="31"/>
      <c r="ET117" s="31"/>
      <c r="EU117" s="31"/>
      <c r="EV117" s="31"/>
      <c r="EW117" s="31"/>
      <c r="EX117" s="31"/>
      <c r="EY117" s="31"/>
      <c r="EZ117" s="31"/>
      <c r="FA117" s="31"/>
      <c r="FB117" s="31"/>
      <c r="FC117" s="31"/>
      <c r="FD117" s="31"/>
      <c r="FE117" s="31"/>
      <c r="FF117" s="31"/>
      <c r="FG117" s="31"/>
      <c r="FH117" s="31"/>
      <c r="FI117" s="31"/>
      <c r="FJ117" s="31"/>
      <c r="FK117" s="31"/>
      <c r="FL117" s="31"/>
      <c r="FM117" s="31"/>
      <c r="FN117" s="31"/>
      <c r="FO117" s="31"/>
      <c r="FP117" s="31"/>
      <c r="FQ117" s="31"/>
      <c r="FR117" s="31"/>
      <c r="FS117" s="31"/>
      <c r="FT117" s="31"/>
      <c r="FU117" s="31"/>
      <c r="FV117" s="31"/>
      <c r="FW117" s="31"/>
      <c r="FX117" s="31"/>
      <c r="FY117" s="31"/>
      <c r="FZ117" s="31"/>
      <c r="GA117" s="31"/>
      <c r="GB117" s="31"/>
      <c r="GC117" s="31"/>
      <c r="GD117" s="31"/>
      <c r="GE117" s="31"/>
      <c r="GF117" s="31"/>
      <c r="GG117" s="31"/>
      <c r="GH117" s="31"/>
      <c r="GI117" s="31"/>
      <c r="GJ117" s="31"/>
      <c r="GK117" s="31"/>
      <c r="GL117" s="31"/>
      <c r="GM117" s="31"/>
      <c r="GN117" s="31"/>
      <c r="GO117" s="31"/>
      <c r="GP117" s="31"/>
      <c r="GQ117" s="31"/>
      <c r="GR117" s="31"/>
      <c r="GS117" s="31"/>
      <c r="GT117" s="31"/>
      <c r="GU117" s="31"/>
      <c r="GV117" s="31"/>
      <c r="GW117" s="31"/>
      <c r="GX117" s="31"/>
      <c r="GY117" s="31"/>
      <c r="GZ117" s="31"/>
      <c r="HA117" s="31"/>
      <c r="HB117" s="31"/>
      <c r="HC117" s="31"/>
      <c r="HD117" s="31"/>
      <c r="HE117" s="31"/>
      <c r="HF117" s="31"/>
      <c r="HG117" s="31"/>
      <c r="HH117" s="31"/>
      <c r="HI117" s="31"/>
      <c r="HJ117" s="31"/>
      <c r="HK117" s="31"/>
      <c r="HL117" s="31"/>
      <c r="HM117" s="31"/>
      <c r="HN117" s="31"/>
      <c r="HO117" s="31"/>
      <c r="HP117" s="31"/>
      <c r="HQ117" s="31"/>
      <c r="HR117" s="31"/>
      <c r="HS117" s="31"/>
      <c r="HT117" s="31"/>
      <c r="HU117" s="31"/>
      <c r="HV117" s="31"/>
      <c r="HW117" s="31"/>
      <c r="HX117" s="31"/>
      <c r="HY117" s="31"/>
      <c r="HZ117" s="31"/>
      <c r="IA117" s="31"/>
      <c r="IB117" s="31"/>
      <c r="IC117" s="31"/>
      <c r="ID117" s="31"/>
      <c r="IE117" s="31"/>
      <c r="IF117" s="31"/>
      <c r="IG117" s="31"/>
      <c r="IH117" s="31"/>
      <c r="II117" s="31"/>
      <c r="IJ117" s="31"/>
      <c r="IK117" s="31"/>
      <c r="IL117" s="31"/>
      <c r="IM117" s="31"/>
      <c r="IN117" s="31"/>
      <c r="IO117" s="31"/>
      <c r="IP117" s="31"/>
      <c r="IQ117" s="31"/>
      <c r="IR117" s="31"/>
      <c r="IS117" s="31"/>
      <c r="IT117" s="31"/>
      <c r="IU117" s="31"/>
      <c r="IV117" s="31"/>
      <c r="IW117" s="31"/>
    </row>
    <row r="118" spans="1:257" ht="16.5" customHeight="1">
      <c r="A118" s="217">
        <v>101</v>
      </c>
      <c r="B118" s="82" t="s">
        <v>28</v>
      </c>
      <c r="C118" s="83" t="s">
        <v>138</v>
      </c>
      <c r="D118" s="44">
        <v>262224537.80000001</v>
      </c>
      <c r="E118" s="44"/>
      <c r="F118" s="44">
        <v>965075918.59000003</v>
      </c>
      <c r="G118" s="44"/>
      <c r="H118" s="53"/>
      <c r="I118" s="52"/>
      <c r="J118" s="52">
        <v>1231293471.6600001</v>
      </c>
      <c r="K118" s="52">
        <f>SUM(F118:J118,D118)</f>
        <v>2458593928.0500002</v>
      </c>
      <c r="L118" s="44">
        <v>2140734.7599999998</v>
      </c>
      <c r="M118" s="193">
        <v>18996153.41</v>
      </c>
      <c r="N118" s="44">
        <v>1235988421.99</v>
      </c>
      <c r="O118" s="44">
        <v>42831262.990000002</v>
      </c>
      <c r="P118" s="108">
        <v>1174141598.29</v>
      </c>
      <c r="Q118" s="47">
        <f t="shared" si="80"/>
        <v>8.8360986804014415E-4</v>
      </c>
      <c r="R118" s="108">
        <v>1193157158.3199999</v>
      </c>
      <c r="S118" s="47">
        <f t="shared" si="81"/>
        <v>3.9984205900645678E-2</v>
      </c>
      <c r="T118" s="48">
        <f t="shared" si="87"/>
        <v>1.6195286886772357E-2</v>
      </c>
      <c r="U118" s="84">
        <f t="shared" si="88"/>
        <v>1.7941766891917379E-3</v>
      </c>
      <c r="V118" s="49">
        <f>M118/R118</f>
        <v>1.5920914757572371E-2</v>
      </c>
      <c r="W118" s="50">
        <f t="shared" si="89"/>
        <v>1599.5135844493598</v>
      </c>
      <c r="X118" s="50">
        <f t="shared" si="90"/>
        <v>25.465719431597293</v>
      </c>
      <c r="Y118" s="44">
        <v>0</v>
      </c>
      <c r="Z118" s="44">
        <v>0</v>
      </c>
      <c r="AA118" s="51">
        <v>830</v>
      </c>
      <c r="AB118" s="145">
        <v>745950</v>
      </c>
      <c r="AC118" s="13"/>
      <c r="AD118" s="4"/>
      <c r="AE118" s="4"/>
      <c r="AF118" s="4"/>
      <c r="AG118" s="5"/>
      <c r="AH118" s="6"/>
      <c r="AI118" s="6"/>
      <c r="AJ118" s="6"/>
      <c r="AK118" s="7"/>
      <c r="AL118" s="5"/>
      <c r="AM118" s="6"/>
      <c r="AN118" s="6"/>
      <c r="AO118" s="6"/>
      <c r="AP118" s="7"/>
      <c r="AQ118" s="5"/>
      <c r="AR118" s="6"/>
      <c r="AS118" s="6"/>
      <c r="AT118" s="6"/>
      <c r="AU118" s="7"/>
      <c r="AV118" s="31"/>
      <c r="AW118" s="31"/>
      <c r="AX118" s="31"/>
      <c r="AY118" s="31"/>
      <c r="AZ118" s="31"/>
      <c r="BA118" s="31"/>
      <c r="BB118" s="31"/>
      <c r="BC118" s="31"/>
      <c r="BD118" s="31"/>
      <c r="BE118" s="31"/>
      <c r="BF118" s="31"/>
      <c r="BG118" s="31"/>
      <c r="BH118" s="31"/>
      <c r="BI118" s="31"/>
      <c r="BJ118" s="31"/>
      <c r="BK118" s="31"/>
      <c r="BL118" s="31"/>
      <c r="BM118" s="31"/>
      <c r="BN118" s="31"/>
      <c r="BO118" s="31"/>
      <c r="BP118" s="31"/>
      <c r="BQ118" s="31"/>
      <c r="BR118" s="31"/>
      <c r="BS118" s="31"/>
      <c r="BT118" s="31"/>
      <c r="BU118" s="31"/>
      <c r="BV118" s="31"/>
      <c r="BW118" s="31"/>
      <c r="BX118" s="31"/>
      <c r="BY118" s="31"/>
      <c r="BZ118" s="31"/>
      <c r="CA118" s="31"/>
      <c r="CB118" s="31"/>
      <c r="CC118" s="31"/>
      <c r="CD118" s="31"/>
      <c r="CE118" s="31"/>
      <c r="CF118" s="31"/>
      <c r="CG118" s="31"/>
      <c r="CH118" s="31"/>
      <c r="CI118" s="31"/>
      <c r="CJ118" s="31"/>
      <c r="CK118" s="31"/>
      <c r="CL118" s="31"/>
      <c r="CM118" s="31"/>
      <c r="CN118" s="31"/>
      <c r="CO118" s="31"/>
      <c r="CP118" s="31"/>
      <c r="CQ118" s="31"/>
      <c r="CR118" s="31"/>
      <c r="CS118" s="31"/>
      <c r="CT118" s="31"/>
      <c r="CU118" s="31"/>
      <c r="CV118" s="31"/>
      <c r="CW118" s="31"/>
      <c r="CX118" s="31"/>
      <c r="CY118" s="31"/>
      <c r="CZ118" s="31"/>
      <c r="DA118" s="31"/>
      <c r="DB118" s="31"/>
      <c r="DC118" s="31"/>
      <c r="DD118" s="31"/>
      <c r="DE118" s="31"/>
      <c r="DF118" s="31"/>
      <c r="DG118" s="31"/>
      <c r="DH118" s="31"/>
      <c r="DI118" s="31"/>
      <c r="DJ118" s="31"/>
      <c r="DK118" s="31"/>
      <c r="DL118" s="31"/>
      <c r="DM118" s="31"/>
      <c r="DN118" s="31"/>
      <c r="DO118" s="31"/>
      <c r="DP118" s="31"/>
      <c r="DQ118" s="31"/>
      <c r="DR118" s="31"/>
      <c r="DS118" s="31"/>
      <c r="DT118" s="31"/>
      <c r="DU118" s="31"/>
      <c r="DV118" s="31"/>
      <c r="DW118" s="31"/>
      <c r="DX118" s="31"/>
      <c r="DY118" s="31"/>
      <c r="DZ118" s="31"/>
      <c r="EA118" s="31"/>
      <c r="EB118" s="31"/>
      <c r="EC118" s="31"/>
      <c r="ED118" s="31"/>
      <c r="EE118" s="31"/>
      <c r="EF118" s="31"/>
      <c r="EG118" s="31"/>
      <c r="EH118" s="31"/>
      <c r="EI118" s="31"/>
      <c r="EJ118" s="31"/>
      <c r="EK118" s="31"/>
      <c r="EL118" s="31"/>
      <c r="EM118" s="31"/>
      <c r="EN118" s="31"/>
      <c r="EO118" s="31"/>
      <c r="EP118" s="31"/>
      <c r="EQ118" s="31"/>
      <c r="ER118" s="31"/>
      <c r="ES118" s="31"/>
      <c r="ET118" s="31"/>
      <c r="EU118" s="31"/>
      <c r="EV118" s="31"/>
      <c r="EW118" s="31"/>
      <c r="EX118" s="31"/>
      <c r="EY118" s="31"/>
      <c r="EZ118" s="31"/>
      <c r="FA118" s="31"/>
      <c r="FB118" s="31"/>
      <c r="FC118" s="31"/>
      <c r="FD118" s="31"/>
      <c r="FE118" s="31"/>
      <c r="FF118" s="31"/>
      <c r="FG118" s="31"/>
      <c r="FH118" s="31"/>
      <c r="FI118" s="31"/>
      <c r="FJ118" s="31"/>
      <c r="FK118" s="31"/>
      <c r="FL118" s="31"/>
      <c r="FM118" s="31"/>
      <c r="FN118" s="31"/>
      <c r="FO118" s="31"/>
      <c r="FP118" s="31"/>
      <c r="FQ118" s="31"/>
      <c r="FR118" s="31"/>
      <c r="FS118" s="31"/>
      <c r="FT118" s="31"/>
      <c r="FU118" s="31"/>
      <c r="FV118" s="31"/>
      <c r="FW118" s="31"/>
      <c r="FX118" s="31"/>
      <c r="FY118" s="31"/>
      <c r="FZ118" s="31"/>
      <c r="GA118" s="31"/>
      <c r="GB118" s="31"/>
      <c r="GC118" s="31"/>
      <c r="GD118" s="31"/>
      <c r="GE118" s="31"/>
      <c r="GF118" s="31"/>
      <c r="GG118" s="31"/>
      <c r="GH118" s="31"/>
      <c r="GI118" s="31"/>
      <c r="GJ118" s="31"/>
      <c r="GK118" s="31"/>
      <c r="GL118" s="31"/>
      <c r="GM118" s="31"/>
      <c r="GN118" s="31"/>
      <c r="GO118" s="31"/>
      <c r="GP118" s="31"/>
      <c r="GQ118" s="31"/>
      <c r="GR118" s="31"/>
      <c r="GS118" s="31"/>
      <c r="GT118" s="31"/>
      <c r="GU118" s="31"/>
      <c r="GV118" s="31"/>
      <c r="GW118" s="31"/>
      <c r="GX118" s="31"/>
      <c r="GY118" s="31"/>
      <c r="GZ118" s="31"/>
      <c r="HA118" s="31"/>
      <c r="HB118" s="31"/>
      <c r="HC118" s="31"/>
      <c r="HD118" s="31"/>
      <c r="HE118" s="31"/>
      <c r="HF118" s="31"/>
      <c r="HG118" s="31"/>
      <c r="HH118" s="31"/>
      <c r="HI118" s="31"/>
      <c r="HJ118" s="31"/>
      <c r="HK118" s="31"/>
      <c r="HL118" s="31"/>
      <c r="HM118" s="31"/>
      <c r="HN118" s="31"/>
      <c r="HO118" s="31"/>
      <c r="HP118" s="31"/>
      <c r="HQ118" s="31"/>
      <c r="HR118" s="31"/>
      <c r="HS118" s="31"/>
      <c r="HT118" s="31"/>
      <c r="HU118" s="31"/>
      <c r="HV118" s="31"/>
      <c r="HW118" s="31"/>
      <c r="HX118" s="31"/>
      <c r="HY118" s="31"/>
      <c r="HZ118" s="31"/>
      <c r="IA118" s="31"/>
      <c r="IB118" s="31"/>
      <c r="IC118" s="31"/>
      <c r="ID118" s="31"/>
      <c r="IE118" s="31"/>
      <c r="IF118" s="31"/>
      <c r="IG118" s="31"/>
      <c r="IH118" s="31"/>
      <c r="II118" s="31"/>
      <c r="IJ118" s="31"/>
      <c r="IK118" s="31"/>
      <c r="IL118" s="31"/>
      <c r="IM118" s="31"/>
      <c r="IN118" s="31"/>
      <c r="IO118" s="31"/>
      <c r="IP118" s="31"/>
      <c r="IQ118" s="31"/>
      <c r="IR118" s="31"/>
      <c r="IS118" s="31"/>
      <c r="IT118" s="31"/>
      <c r="IU118" s="31"/>
      <c r="IV118" s="31"/>
      <c r="IW118" s="31"/>
    </row>
    <row r="119" spans="1:257" ht="16.5" customHeight="1">
      <c r="A119" s="217">
        <v>102</v>
      </c>
      <c r="B119" s="82" t="s">
        <v>45</v>
      </c>
      <c r="C119" s="83" t="s">
        <v>141</v>
      </c>
      <c r="D119" s="44">
        <v>1174792659.8</v>
      </c>
      <c r="E119" s="44"/>
      <c r="F119" s="44">
        <v>483078442.42000002</v>
      </c>
      <c r="G119" s="44">
        <v>512135408.77999997</v>
      </c>
      <c r="H119" s="53"/>
      <c r="I119" s="52"/>
      <c r="J119" s="52">
        <v>2170006511</v>
      </c>
      <c r="K119" s="52">
        <v>7836567.9299999997</v>
      </c>
      <c r="L119" s="44">
        <v>4195239.99</v>
      </c>
      <c r="M119" s="193">
        <v>23533529.640000001</v>
      </c>
      <c r="N119" s="44">
        <v>2171696476.5900002</v>
      </c>
      <c r="O119" s="44">
        <v>73253631.790000007</v>
      </c>
      <c r="P119" s="108">
        <v>2075604917.8599999</v>
      </c>
      <c r="Q119" s="47">
        <f t="shared" si="80"/>
        <v>1.5620134660459962E-3</v>
      </c>
      <c r="R119" s="108">
        <v>2098442844.8</v>
      </c>
      <c r="S119" s="47">
        <f t="shared" si="81"/>
        <v>7.0321474578721843E-2</v>
      </c>
      <c r="T119" s="48">
        <f t="shared" si="87"/>
        <v>1.1003022176082781E-2</v>
      </c>
      <c r="U119" s="84">
        <f t="shared" si="88"/>
        <v>1.9992157520019771E-3</v>
      </c>
      <c r="V119" s="49">
        <f ca="1">V119/R119</f>
        <v>0</v>
      </c>
      <c r="W119" s="50">
        <f t="shared" si="89"/>
        <v>3.0246753144067098</v>
      </c>
      <c r="X119" s="50">
        <f t="shared" si="90"/>
        <v>3.3921003061558645E-2</v>
      </c>
      <c r="Y119" s="44">
        <v>2.89</v>
      </c>
      <c r="Z119" s="44">
        <v>2.95</v>
      </c>
      <c r="AA119" s="51">
        <v>2027</v>
      </c>
      <c r="AB119" s="145">
        <v>693774579.63999999</v>
      </c>
      <c r="AC119" s="13"/>
      <c r="AD119" s="4"/>
      <c r="AE119" s="4"/>
      <c r="AF119" s="4"/>
      <c r="AG119" s="5"/>
      <c r="AH119" s="6"/>
      <c r="AI119" s="6"/>
      <c r="AJ119" s="6"/>
      <c r="AK119" s="7"/>
      <c r="AL119" s="5"/>
      <c r="AM119" s="6"/>
      <c r="AN119" s="6"/>
      <c r="AO119" s="6"/>
      <c r="AP119" s="7"/>
      <c r="AQ119" s="5"/>
      <c r="AR119" s="6"/>
      <c r="AS119" s="6"/>
      <c r="AT119" s="6"/>
      <c r="AU119" s="7"/>
      <c r="AV119" s="31"/>
      <c r="AW119" s="31"/>
      <c r="AX119" s="31"/>
      <c r="AY119" s="31"/>
      <c r="AZ119" s="31"/>
      <c r="BA119" s="31"/>
      <c r="BB119" s="31"/>
      <c r="BC119" s="31"/>
      <c r="BD119" s="31"/>
      <c r="BE119" s="31"/>
      <c r="BF119" s="31"/>
      <c r="BG119" s="31"/>
      <c r="BH119" s="31"/>
      <c r="BI119" s="31"/>
      <c r="BJ119" s="31"/>
      <c r="BK119" s="31"/>
      <c r="BL119" s="31"/>
      <c r="BM119" s="31"/>
      <c r="BN119" s="31"/>
      <c r="BO119" s="31"/>
      <c r="BP119" s="31"/>
      <c r="BQ119" s="31"/>
      <c r="BR119" s="31"/>
      <c r="BS119" s="31"/>
      <c r="BT119" s="31"/>
      <c r="BU119" s="31"/>
      <c r="BV119" s="31"/>
      <c r="BW119" s="31"/>
      <c r="BX119" s="31"/>
      <c r="BY119" s="31"/>
      <c r="BZ119" s="31"/>
      <c r="CA119" s="31"/>
      <c r="CB119" s="31"/>
      <c r="CC119" s="31"/>
      <c r="CD119" s="31"/>
      <c r="CE119" s="31"/>
      <c r="CF119" s="31"/>
      <c r="CG119" s="31"/>
      <c r="CH119" s="31"/>
      <c r="CI119" s="31"/>
      <c r="CJ119" s="31"/>
      <c r="CK119" s="31"/>
      <c r="CL119" s="31"/>
      <c r="CM119" s="31"/>
      <c r="CN119" s="31"/>
      <c r="CO119" s="31"/>
      <c r="CP119" s="31"/>
      <c r="CQ119" s="31"/>
      <c r="CR119" s="31"/>
      <c r="CS119" s="31"/>
      <c r="CT119" s="31"/>
      <c r="CU119" s="31"/>
      <c r="CV119" s="31"/>
      <c r="CW119" s="31"/>
      <c r="CX119" s="31"/>
      <c r="CY119" s="31"/>
      <c r="CZ119" s="31"/>
      <c r="DA119" s="31"/>
      <c r="DB119" s="31"/>
      <c r="DC119" s="31"/>
      <c r="DD119" s="31"/>
      <c r="DE119" s="31"/>
      <c r="DF119" s="31"/>
      <c r="DG119" s="31"/>
      <c r="DH119" s="31"/>
      <c r="DI119" s="31"/>
      <c r="DJ119" s="31"/>
      <c r="DK119" s="31"/>
      <c r="DL119" s="31"/>
      <c r="DM119" s="31"/>
      <c r="DN119" s="31"/>
      <c r="DO119" s="31"/>
      <c r="DP119" s="31"/>
      <c r="DQ119" s="31"/>
      <c r="DR119" s="31"/>
      <c r="DS119" s="31"/>
      <c r="DT119" s="31"/>
      <c r="DU119" s="31"/>
      <c r="DV119" s="31"/>
      <c r="DW119" s="31"/>
      <c r="DX119" s="31"/>
      <c r="DY119" s="31"/>
      <c r="DZ119" s="31"/>
      <c r="EA119" s="31"/>
      <c r="EB119" s="31"/>
      <c r="EC119" s="31"/>
      <c r="ED119" s="31"/>
      <c r="EE119" s="31"/>
      <c r="EF119" s="31"/>
      <c r="EG119" s="31"/>
      <c r="EH119" s="31"/>
      <c r="EI119" s="31"/>
      <c r="EJ119" s="31"/>
      <c r="EK119" s="31"/>
      <c r="EL119" s="31"/>
      <c r="EM119" s="31"/>
      <c r="EN119" s="31"/>
      <c r="EO119" s="31"/>
      <c r="EP119" s="31"/>
      <c r="EQ119" s="31"/>
      <c r="ER119" s="31"/>
      <c r="ES119" s="31"/>
      <c r="ET119" s="31"/>
      <c r="EU119" s="31"/>
      <c r="EV119" s="31"/>
      <c r="EW119" s="31"/>
      <c r="EX119" s="31"/>
      <c r="EY119" s="31"/>
      <c r="EZ119" s="31"/>
      <c r="FA119" s="31"/>
      <c r="FB119" s="31"/>
      <c r="FC119" s="31"/>
      <c r="FD119" s="31"/>
      <c r="FE119" s="31"/>
      <c r="FF119" s="31"/>
      <c r="FG119" s="31"/>
      <c r="FH119" s="31"/>
      <c r="FI119" s="31"/>
      <c r="FJ119" s="31"/>
      <c r="FK119" s="31"/>
      <c r="FL119" s="31"/>
      <c r="FM119" s="31"/>
      <c r="FN119" s="31"/>
      <c r="FO119" s="31"/>
      <c r="FP119" s="31"/>
      <c r="FQ119" s="31"/>
      <c r="FR119" s="31"/>
      <c r="FS119" s="31"/>
      <c r="FT119" s="31"/>
      <c r="FU119" s="31"/>
      <c r="FV119" s="31"/>
      <c r="FW119" s="31"/>
      <c r="FX119" s="31"/>
      <c r="FY119" s="31"/>
      <c r="FZ119" s="31"/>
      <c r="GA119" s="31"/>
      <c r="GB119" s="31"/>
      <c r="GC119" s="31"/>
      <c r="GD119" s="31"/>
      <c r="GE119" s="31"/>
      <c r="GF119" s="31"/>
      <c r="GG119" s="31"/>
      <c r="GH119" s="31"/>
      <c r="GI119" s="31"/>
      <c r="GJ119" s="31"/>
      <c r="GK119" s="31"/>
      <c r="GL119" s="31"/>
      <c r="GM119" s="31"/>
      <c r="GN119" s="31"/>
      <c r="GO119" s="31"/>
      <c r="GP119" s="31"/>
      <c r="GQ119" s="31"/>
      <c r="GR119" s="31"/>
      <c r="GS119" s="31"/>
      <c r="GT119" s="31"/>
      <c r="GU119" s="31"/>
      <c r="GV119" s="31"/>
      <c r="GW119" s="31"/>
      <c r="GX119" s="31"/>
      <c r="GY119" s="31"/>
      <c r="GZ119" s="31"/>
      <c r="HA119" s="31"/>
      <c r="HB119" s="31"/>
      <c r="HC119" s="31"/>
      <c r="HD119" s="31"/>
      <c r="HE119" s="31"/>
      <c r="HF119" s="31"/>
      <c r="HG119" s="31"/>
      <c r="HH119" s="31"/>
      <c r="HI119" s="31"/>
      <c r="HJ119" s="31"/>
      <c r="HK119" s="31"/>
      <c r="HL119" s="31"/>
      <c r="HM119" s="31"/>
      <c r="HN119" s="31"/>
      <c r="HO119" s="31"/>
      <c r="HP119" s="31"/>
      <c r="HQ119" s="31"/>
      <c r="HR119" s="31"/>
      <c r="HS119" s="31"/>
      <c r="HT119" s="31"/>
      <c r="HU119" s="31"/>
      <c r="HV119" s="31"/>
      <c r="HW119" s="31"/>
      <c r="HX119" s="31"/>
      <c r="HY119" s="31"/>
      <c r="HZ119" s="31"/>
      <c r="IA119" s="31"/>
      <c r="IB119" s="31"/>
      <c r="IC119" s="31"/>
      <c r="ID119" s="31"/>
      <c r="IE119" s="31"/>
      <c r="IF119" s="31"/>
      <c r="IG119" s="31"/>
      <c r="IH119" s="31"/>
      <c r="II119" s="31"/>
      <c r="IJ119" s="31"/>
      <c r="IK119" s="31"/>
      <c r="IL119" s="31"/>
      <c r="IM119" s="31"/>
      <c r="IN119" s="31"/>
      <c r="IO119" s="31"/>
      <c r="IP119" s="31"/>
      <c r="IQ119" s="31"/>
      <c r="IR119" s="31"/>
      <c r="IS119" s="31"/>
      <c r="IT119" s="31"/>
      <c r="IU119" s="31"/>
      <c r="IV119" s="31"/>
      <c r="IW119" s="31"/>
    </row>
    <row r="120" spans="1:257" ht="16.5" customHeight="1">
      <c r="A120" s="217">
        <v>103</v>
      </c>
      <c r="B120" s="82" t="s">
        <v>47</v>
      </c>
      <c r="C120" s="82" t="s">
        <v>142</v>
      </c>
      <c r="D120" s="44">
        <v>79017727.900000006</v>
      </c>
      <c r="E120" s="44"/>
      <c r="F120" s="44">
        <v>29085372.59</v>
      </c>
      <c r="G120" s="44">
        <v>51366561.25</v>
      </c>
      <c r="H120" s="104">
        <v>840000</v>
      </c>
      <c r="I120" s="52"/>
      <c r="J120" s="52">
        <v>160309661.69999999</v>
      </c>
      <c r="K120" s="52">
        <v>3119696.33</v>
      </c>
      <c r="L120" s="44">
        <v>222298.56</v>
      </c>
      <c r="M120" s="193">
        <v>2897397.77</v>
      </c>
      <c r="N120" s="44">
        <v>168496105.13999999</v>
      </c>
      <c r="O120" s="44">
        <v>2371182.5299999998</v>
      </c>
      <c r="P120" s="108">
        <v>165061055.58000001</v>
      </c>
      <c r="Q120" s="47">
        <f t="shared" si="80"/>
        <v>1.2421804810597254E-4</v>
      </c>
      <c r="R120" s="108">
        <v>166124922.61000001</v>
      </c>
      <c r="S120" s="47">
        <f t="shared" si="81"/>
        <v>5.5670563299638791E-3</v>
      </c>
      <c r="T120" s="48">
        <f t="shared" si="87"/>
        <v>6.4452939929514601E-3</v>
      </c>
      <c r="U120" s="84">
        <f t="shared" si="88"/>
        <v>1.3381409394054313E-3</v>
      </c>
      <c r="V120" s="49">
        <f>M119/R120</f>
        <v>0.14166164396204439</v>
      </c>
      <c r="W120" s="50">
        <f t="shared" si="89"/>
        <v>1.6320021642741087</v>
      </c>
      <c r="X120" s="50">
        <f>M119/AB120</f>
        <v>0.23119210954068467</v>
      </c>
      <c r="Y120" s="44">
        <v>1.6319999999999999</v>
      </c>
      <c r="Z120" s="44">
        <v>1.6553</v>
      </c>
      <c r="AA120" s="51">
        <v>100</v>
      </c>
      <c r="AB120" s="145">
        <v>101792097</v>
      </c>
      <c r="AC120" s="13"/>
      <c r="AD120" s="4"/>
      <c r="AE120" s="4"/>
      <c r="AF120" s="4"/>
      <c r="AG120" s="5"/>
      <c r="AH120" s="6"/>
      <c r="AI120" s="6"/>
      <c r="AJ120" s="6"/>
      <c r="AK120" s="7"/>
      <c r="AL120" s="5"/>
      <c r="AM120" s="6"/>
      <c r="AN120" s="6"/>
      <c r="AO120" s="6"/>
      <c r="AP120" s="7"/>
      <c r="AQ120" s="5"/>
      <c r="AR120" s="6"/>
      <c r="AS120" s="6"/>
      <c r="AT120" s="6"/>
      <c r="AU120" s="7"/>
      <c r="AV120" s="31"/>
      <c r="AW120" s="31"/>
      <c r="AX120" s="31"/>
      <c r="AY120" s="31"/>
      <c r="AZ120" s="31"/>
      <c r="BA120" s="31"/>
      <c r="BB120" s="31"/>
      <c r="BC120" s="31"/>
      <c r="BD120" s="31"/>
      <c r="BE120" s="31"/>
      <c r="BF120" s="31"/>
      <c r="BG120" s="31"/>
      <c r="BH120" s="31"/>
      <c r="BI120" s="31"/>
      <c r="BJ120" s="31"/>
      <c r="BK120" s="31"/>
      <c r="BL120" s="31"/>
      <c r="BM120" s="31"/>
      <c r="BN120" s="31"/>
      <c r="BO120" s="31"/>
      <c r="BP120" s="31"/>
      <c r="BQ120" s="31"/>
      <c r="BR120" s="31"/>
      <c r="BS120" s="31"/>
      <c r="BT120" s="31"/>
      <c r="BU120" s="31"/>
      <c r="BV120" s="31"/>
      <c r="BW120" s="31"/>
      <c r="BX120" s="31"/>
      <c r="BY120" s="31"/>
      <c r="BZ120" s="31"/>
      <c r="CA120" s="31"/>
      <c r="CB120" s="31"/>
      <c r="CC120" s="31"/>
      <c r="CD120" s="31"/>
      <c r="CE120" s="31"/>
      <c r="CF120" s="31"/>
      <c r="CG120" s="31"/>
      <c r="CH120" s="31"/>
      <c r="CI120" s="31"/>
      <c r="CJ120" s="31"/>
      <c r="CK120" s="31"/>
      <c r="CL120" s="31"/>
      <c r="CM120" s="31"/>
      <c r="CN120" s="31"/>
      <c r="CO120" s="31"/>
      <c r="CP120" s="31"/>
      <c r="CQ120" s="31"/>
      <c r="CR120" s="31"/>
      <c r="CS120" s="31"/>
      <c r="CT120" s="31"/>
      <c r="CU120" s="31"/>
      <c r="CV120" s="31"/>
      <c r="CW120" s="31"/>
      <c r="CX120" s="31"/>
      <c r="CY120" s="31"/>
      <c r="CZ120" s="31"/>
      <c r="DA120" s="31"/>
      <c r="DB120" s="31"/>
      <c r="DC120" s="31"/>
      <c r="DD120" s="31"/>
      <c r="DE120" s="31"/>
      <c r="DF120" s="31"/>
      <c r="DG120" s="31"/>
      <c r="DH120" s="31"/>
      <c r="DI120" s="31"/>
      <c r="DJ120" s="31"/>
      <c r="DK120" s="31"/>
      <c r="DL120" s="31"/>
      <c r="DM120" s="31"/>
      <c r="DN120" s="31"/>
      <c r="DO120" s="31"/>
      <c r="DP120" s="31"/>
      <c r="DQ120" s="31"/>
      <c r="DR120" s="31"/>
      <c r="DS120" s="31"/>
      <c r="DT120" s="31"/>
      <c r="DU120" s="31"/>
      <c r="DV120" s="31"/>
      <c r="DW120" s="31"/>
      <c r="DX120" s="31"/>
      <c r="DY120" s="31"/>
      <c r="DZ120" s="31"/>
      <c r="EA120" s="31"/>
      <c r="EB120" s="31"/>
      <c r="EC120" s="31"/>
      <c r="ED120" s="31"/>
      <c r="EE120" s="31"/>
      <c r="EF120" s="31"/>
      <c r="EG120" s="31"/>
      <c r="EH120" s="31"/>
      <c r="EI120" s="31"/>
      <c r="EJ120" s="31"/>
      <c r="EK120" s="31"/>
      <c r="EL120" s="31"/>
      <c r="EM120" s="31"/>
      <c r="EN120" s="31"/>
      <c r="EO120" s="31"/>
      <c r="EP120" s="31"/>
      <c r="EQ120" s="31"/>
      <c r="ER120" s="31"/>
      <c r="ES120" s="31"/>
      <c r="ET120" s="31"/>
      <c r="EU120" s="31"/>
      <c r="EV120" s="31"/>
      <c r="EW120" s="31"/>
      <c r="EX120" s="31"/>
      <c r="EY120" s="31"/>
      <c r="EZ120" s="31"/>
      <c r="FA120" s="31"/>
      <c r="FB120" s="31"/>
      <c r="FC120" s="31"/>
      <c r="FD120" s="31"/>
      <c r="FE120" s="31"/>
      <c r="FF120" s="31"/>
      <c r="FG120" s="31"/>
      <c r="FH120" s="31"/>
      <c r="FI120" s="31"/>
      <c r="FJ120" s="31"/>
      <c r="FK120" s="31"/>
      <c r="FL120" s="31"/>
      <c r="FM120" s="31"/>
      <c r="FN120" s="31"/>
      <c r="FO120" s="31"/>
      <c r="FP120" s="31"/>
      <c r="FQ120" s="31"/>
      <c r="FR120" s="31"/>
      <c r="FS120" s="31"/>
      <c r="FT120" s="31"/>
      <c r="FU120" s="31"/>
      <c r="FV120" s="31"/>
      <c r="FW120" s="31"/>
      <c r="FX120" s="31"/>
      <c r="FY120" s="31"/>
      <c r="FZ120" s="31"/>
      <c r="GA120" s="31"/>
      <c r="GB120" s="31"/>
      <c r="GC120" s="31"/>
      <c r="GD120" s="31"/>
      <c r="GE120" s="31"/>
      <c r="GF120" s="31"/>
      <c r="GG120" s="31"/>
      <c r="GH120" s="31"/>
      <c r="GI120" s="31"/>
      <c r="GJ120" s="31"/>
      <c r="GK120" s="31"/>
      <c r="GL120" s="31"/>
      <c r="GM120" s="31"/>
      <c r="GN120" s="31"/>
      <c r="GO120" s="31"/>
      <c r="GP120" s="31"/>
      <c r="GQ120" s="31"/>
      <c r="GR120" s="31"/>
      <c r="GS120" s="31"/>
      <c r="GT120" s="31"/>
      <c r="GU120" s="31"/>
      <c r="GV120" s="31"/>
      <c r="GW120" s="31"/>
      <c r="GX120" s="31"/>
      <c r="GY120" s="31"/>
      <c r="GZ120" s="31"/>
      <c r="HA120" s="31"/>
      <c r="HB120" s="31"/>
      <c r="HC120" s="31"/>
      <c r="HD120" s="31"/>
      <c r="HE120" s="31"/>
      <c r="HF120" s="31"/>
      <c r="HG120" s="31"/>
      <c r="HH120" s="31"/>
      <c r="HI120" s="31"/>
      <c r="HJ120" s="31"/>
      <c r="HK120" s="31"/>
      <c r="HL120" s="31"/>
      <c r="HM120" s="31"/>
      <c r="HN120" s="31"/>
      <c r="HO120" s="31"/>
      <c r="HP120" s="31"/>
      <c r="HQ120" s="31"/>
      <c r="HR120" s="31"/>
      <c r="HS120" s="31"/>
      <c r="HT120" s="31"/>
      <c r="HU120" s="31"/>
      <c r="HV120" s="31"/>
      <c r="HW120" s="31"/>
      <c r="HX120" s="31"/>
      <c r="HY120" s="31"/>
      <c r="HZ120" s="31"/>
      <c r="IA120" s="31"/>
      <c r="IB120" s="31"/>
      <c r="IC120" s="31"/>
      <c r="ID120" s="31"/>
      <c r="IE120" s="31"/>
      <c r="IF120" s="31"/>
      <c r="IG120" s="31"/>
      <c r="IH120" s="31"/>
      <c r="II120" s="31"/>
      <c r="IJ120" s="31"/>
      <c r="IK120" s="31"/>
      <c r="IL120" s="31"/>
      <c r="IM120" s="31"/>
      <c r="IN120" s="31"/>
      <c r="IO120" s="31"/>
      <c r="IP120" s="31"/>
      <c r="IQ120" s="31"/>
      <c r="IR120" s="31"/>
      <c r="IS120" s="31"/>
      <c r="IT120" s="31"/>
      <c r="IU120" s="31"/>
      <c r="IV120" s="31"/>
      <c r="IW120" s="31"/>
    </row>
    <row r="121" spans="1:257" ht="16.5" customHeight="1">
      <c r="A121" s="217">
        <v>104</v>
      </c>
      <c r="B121" s="83" t="s">
        <v>34</v>
      </c>
      <c r="C121" s="83" t="s">
        <v>137</v>
      </c>
      <c r="D121" s="44">
        <v>259050941</v>
      </c>
      <c r="E121" s="44"/>
      <c r="F121" s="44"/>
      <c r="G121" s="44"/>
      <c r="H121" s="53"/>
      <c r="I121" s="52"/>
      <c r="J121" s="52">
        <v>259050941</v>
      </c>
      <c r="K121" s="52">
        <v>2645865</v>
      </c>
      <c r="L121" s="44">
        <v>1039360</v>
      </c>
      <c r="M121" s="193">
        <v>12627158</v>
      </c>
      <c r="N121" s="44">
        <v>609248803</v>
      </c>
      <c r="O121" s="44">
        <v>5818555</v>
      </c>
      <c r="P121" s="108">
        <v>594236499</v>
      </c>
      <c r="Q121" s="47">
        <f t="shared" si="80"/>
        <v>4.4719754008437743E-4</v>
      </c>
      <c r="R121" s="108">
        <v>603430248</v>
      </c>
      <c r="S121" s="47">
        <f t="shared" si="81"/>
        <v>2.0221711041554798E-2</v>
      </c>
      <c r="T121" s="48">
        <f t="shared" si="87"/>
        <v>1.5471531983430051E-2</v>
      </c>
      <c r="U121" s="84">
        <f t="shared" si="88"/>
        <v>1.7224194568383651E-3</v>
      </c>
      <c r="V121" s="49">
        <f>M121/R121</f>
        <v>2.0925629833524684E-2</v>
      </c>
      <c r="W121" s="50">
        <f t="shared" si="89"/>
        <v>1.1471213678526355</v>
      </c>
      <c r="X121" s="50">
        <f>M121/AB121</f>
        <v>2.4004237117810755E-2</v>
      </c>
      <c r="Y121" s="44">
        <v>1.1499999999999999</v>
      </c>
      <c r="Z121" s="44">
        <v>1.1593</v>
      </c>
      <c r="AA121" s="51">
        <v>253</v>
      </c>
      <c r="AB121" s="145">
        <v>526038713</v>
      </c>
      <c r="AC121" s="13"/>
      <c r="AD121" s="4"/>
      <c r="AE121" s="4"/>
      <c r="AF121" s="4"/>
      <c r="AG121" s="5"/>
      <c r="AH121" s="6"/>
      <c r="AI121" s="6"/>
      <c r="AJ121" s="6"/>
      <c r="AK121" s="7"/>
      <c r="AL121" s="5"/>
      <c r="AM121" s="6"/>
      <c r="AN121" s="6"/>
      <c r="AO121" s="6"/>
      <c r="AP121" s="7"/>
      <c r="AQ121" s="5"/>
      <c r="AR121" s="6"/>
      <c r="AS121" s="6"/>
      <c r="AT121" s="6"/>
      <c r="AU121" s="7"/>
      <c r="AV121" s="31"/>
      <c r="AW121" s="31"/>
      <c r="AX121" s="31"/>
      <c r="AY121" s="31"/>
      <c r="AZ121" s="31"/>
      <c r="BA121" s="31"/>
      <c r="BB121" s="31"/>
      <c r="BC121" s="31"/>
      <c r="BD121" s="31"/>
      <c r="BE121" s="31"/>
      <c r="BF121" s="31"/>
      <c r="BG121" s="31"/>
      <c r="BH121" s="31"/>
      <c r="BI121" s="31"/>
      <c r="BJ121" s="31"/>
      <c r="BK121" s="31"/>
      <c r="BL121" s="31"/>
      <c r="BM121" s="31"/>
      <c r="BN121" s="31"/>
      <c r="BO121" s="31"/>
      <c r="BP121" s="31"/>
      <c r="BQ121" s="31"/>
      <c r="BR121" s="31"/>
      <c r="BS121" s="31"/>
      <c r="BT121" s="31"/>
      <c r="BU121" s="31"/>
      <c r="BV121" s="31"/>
      <c r="BW121" s="31"/>
      <c r="BX121" s="31"/>
      <c r="BY121" s="31"/>
      <c r="BZ121" s="31"/>
      <c r="CA121" s="31"/>
      <c r="CB121" s="31"/>
      <c r="CC121" s="31"/>
      <c r="CD121" s="31"/>
      <c r="CE121" s="31"/>
      <c r="CF121" s="31"/>
      <c r="CG121" s="31"/>
      <c r="CH121" s="31"/>
      <c r="CI121" s="31"/>
      <c r="CJ121" s="31"/>
      <c r="CK121" s="31"/>
      <c r="CL121" s="31"/>
      <c r="CM121" s="31"/>
      <c r="CN121" s="31"/>
      <c r="CO121" s="31"/>
      <c r="CP121" s="31"/>
      <c r="CQ121" s="31"/>
      <c r="CR121" s="31"/>
      <c r="CS121" s="31"/>
      <c r="CT121" s="31"/>
      <c r="CU121" s="31"/>
      <c r="CV121" s="31"/>
      <c r="CW121" s="31"/>
      <c r="CX121" s="31"/>
      <c r="CY121" s="31"/>
      <c r="CZ121" s="31"/>
      <c r="DA121" s="31"/>
      <c r="DB121" s="31"/>
      <c r="DC121" s="31"/>
      <c r="DD121" s="31"/>
      <c r="DE121" s="31"/>
      <c r="DF121" s="31"/>
      <c r="DG121" s="31"/>
      <c r="DH121" s="31"/>
      <c r="DI121" s="31"/>
      <c r="DJ121" s="31"/>
      <c r="DK121" s="31"/>
      <c r="DL121" s="31"/>
      <c r="DM121" s="31"/>
      <c r="DN121" s="31"/>
      <c r="DO121" s="31"/>
      <c r="DP121" s="31"/>
      <c r="DQ121" s="31"/>
      <c r="DR121" s="31"/>
      <c r="DS121" s="31"/>
      <c r="DT121" s="31"/>
      <c r="DU121" s="31"/>
      <c r="DV121" s="31"/>
      <c r="DW121" s="31"/>
      <c r="DX121" s="31"/>
      <c r="DY121" s="31"/>
      <c r="DZ121" s="31"/>
      <c r="EA121" s="31"/>
      <c r="EB121" s="31"/>
      <c r="EC121" s="31"/>
      <c r="ED121" s="31"/>
      <c r="EE121" s="31"/>
      <c r="EF121" s="31"/>
      <c r="EG121" s="31"/>
      <c r="EH121" s="31"/>
      <c r="EI121" s="31"/>
      <c r="EJ121" s="31"/>
      <c r="EK121" s="31"/>
      <c r="EL121" s="31"/>
      <c r="EM121" s="31"/>
      <c r="EN121" s="31"/>
      <c r="EO121" s="31"/>
      <c r="EP121" s="31"/>
      <c r="EQ121" s="31"/>
      <c r="ER121" s="31"/>
      <c r="ES121" s="31"/>
      <c r="ET121" s="31"/>
      <c r="EU121" s="31"/>
      <c r="EV121" s="31"/>
      <c r="EW121" s="31"/>
      <c r="EX121" s="31"/>
      <c r="EY121" s="31"/>
      <c r="EZ121" s="31"/>
      <c r="FA121" s="31"/>
      <c r="FB121" s="31"/>
      <c r="FC121" s="31"/>
      <c r="FD121" s="31"/>
      <c r="FE121" s="31"/>
      <c r="FF121" s="31"/>
      <c r="FG121" s="31"/>
      <c r="FH121" s="31"/>
      <c r="FI121" s="31"/>
      <c r="FJ121" s="31"/>
      <c r="FK121" s="31"/>
      <c r="FL121" s="31"/>
      <c r="FM121" s="31"/>
      <c r="FN121" s="31"/>
      <c r="FO121" s="31"/>
      <c r="FP121" s="31"/>
      <c r="FQ121" s="31"/>
      <c r="FR121" s="31"/>
      <c r="FS121" s="31"/>
      <c r="FT121" s="31"/>
      <c r="FU121" s="31"/>
      <c r="FV121" s="31"/>
      <c r="FW121" s="31"/>
      <c r="FX121" s="31"/>
      <c r="FY121" s="31"/>
      <c r="FZ121" s="31"/>
      <c r="GA121" s="31"/>
      <c r="GB121" s="31"/>
      <c r="GC121" s="31"/>
      <c r="GD121" s="31"/>
      <c r="GE121" s="31"/>
      <c r="GF121" s="31"/>
      <c r="GG121" s="31"/>
      <c r="GH121" s="31"/>
      <c r="GI121" s="31"/>
      <c r="GJ121" s="31"/>
      <c r="GK121" s="31"/>
      <c r="GL121" s="31"/>
      <c r="GM121" s="31"/>
      <c r="GN121" s="31"/>
      <c r="GO121" s="31"/>
      <c r="GP121" s="31"/>
      <c r="GQ121" s="31"/>
      <c r="GR121" s="31"/>
      <c r="GS121" s="31"/>
      <c r="GT121" s="31"/>
      <c r="GU121" s="31"/>
      <c r="GV121" s="31"/>
      <c r="GW121" s="31"/>
      <c r="GX121" s="31"/>
      <c r="GY121" s="31"/>
      <c r="GZ121" s="31"/>
      <c r="HA121" s="31"/>
      <c r="HB121" s="31"/>
      <c r="HC121" s="31"/>
      <c r="HD121" s="31"/>
      <c r="HE121" s="31"/>
      <c r="HF121" s="31"/>
      <c r="HG121" s="31"/>
      <c r="HH121" s="31"/>
      <c r="HI121" s="31"/>
      <c r="HJ121" s="31"/>
      <c r="HK121" s="31"/>
      <c r="HL121" s="31"/>
      <c r="HM121" s="31"/>
      <c r="HN121" s="31"/>
      <c r="HO121" s="31"/>
      <c r="HP121" s="31"/>
      <c r="HQ121" s="31"/>
      <c r="HR121" s="31"/>
      <c r="HS121" s="31"/>
      <c r="HT121" s="31"/>
      <c r="HU121" s="31"/>
      <c r="HV121" s="31"/>
      <c r="HW121" s="31"/>
      <c r="HX121" s="31"/>
      <c r="HY121" s="31"/>
      <c r="HZ121" s="31"/>
      <c r="IA121" s="31"/>
      <c r="IB121" s="31"/>
      <c r="IC121" s="31"/>
      <c r="ID121" s="31"/>
      <c r="IE121" s="31"/>
      <c r="IF121" s="31"/>
      <c r="IG121" s="31"/>
      <c r="IH121" s="31"/>
      <c r="II121" s="31"/>
      <c r="IJ121" s="31"/>
      <c r="IK121" s="31"/>
      <c r="IL121" s="31"/>
      <c r="IM121" s="31"/>
      <c r="IN121" s="31"/>
      <c r="IO121" s="31"/>
      <c r="IP121" s="31"/>
      <c r="IQ121" s="31"/>
      <c r="IR121" s="31"/>
      <c r="IS121" s="31"/>
      <c r="IT121" s="31"/>
      <c r="IU121" s="31"/>
      <c r="IV121" s="31"/>
      <c r="IW121" s="31"/>
    </row>
    <row r="122" spans="1:257" ht="16.5" customHeight="1">
      <c r="A122" s="217">
        <v>105</v>
      </c>
      <c r="B122" s="82" t="s">
        <v>73</v>
      </c>
      <c r="C122" s="116" t="s">
        <v>139</v>
      </c>
      <c r="D122" s="44">
        <v>65921691.399999999</v>
      </c>
      <c r="E122" s="44"/>
      <c r="F122" s="44">
        <v>39234000.57</v>
      </c>
      <c r="G122" s="44">
        <v>3892557.7</v>
      </c>
      <c r="H122" s="53"/>
      <c r="I122" s="52"/>
      <c r="J122" s="52">
        <v>109048249.67</v>
      </c>
      <c r="K122" s="52">
        <v>1794029.98</v>
      </c>
      <c r="L122" s="44">
        <v>281552.99</v>
      </c>
      <c r="M122" s="193">
        <v>939136.16</v>
      </c>
      <c r="N122" s="44">
        <v>118021010.93000001</v>
      </c>
      <c r="O122" s="44">
        <v>984722.63</v>
      </c>
      <c r="P122" s="108">
        <v>101601454.84</v>
      </c>
      <c r="Q122" s="47">
        <f t="shared" si="80"/>
        <v>7.6461006265860428E-5</v>
      </c>
      <c r="R122" s="108">
        <v>117036288.3</v>
      </c>
      <c r="S122" s="47">
        <f t="shared" si="81"/>
        <v>3.9220340896446082E-3</v>
      </c>
      <c r="T122" s="48">
        <f t="shared" si="87"/>
        <v>0.1519154768433825</v>
      </c>
      <c r="U122" s="84">
        <f t="shared" si="88"/>
        <v>2.4056896718929869E-3</v>
      </c>
      <c r="V122" s="49">
        <f>M122/R122</f>
        <v>8.0243159932815479E-3</v>
      </c>
      <c r="W122" s="50">
        <f t="shared" si="89"/>
        <v>1.1534102907283659</v>
      </c>
      <c r="X122" s="50">
        <f>M122/AB122</f>
        <v>9.2553286427071463E-3</v>
      </c>
      <c r="Y122" s="44">
        <v>1.1452</v>
      </c>
      <c r="Z122" s="44">
        <v>1.1593</v>
      </c>
      <c r="AA122" s="51">
        <v>88</v>
      </c>
      <c r="AB122" s="145">
        <v>101469779.87</v>
      </c>
      <c r="AC122" s="13"/>
      <c r="AD122" s="4"/>
      <c r="AE122" s="4"/>
      <c r="AF122" s="4"/>
      <c r="AG122" s="5"/>
      <c r="AH122" s="6"/>
      <c r="AI122" s="6"/>
      <c r="AJ122" s="6"/>
      <c r="AK122" s="7"/>
      <c r="AL122" s="5"/>
      <c r="AM122" s="6"/>
      <c r="AN122" s="6"/>
      <c r="AO122" s="6"/>
      <c r="AP122" s="7"/>
      <c r="AQ122" s="5"/>
      <c r="AR122" s="6"/>
      <c r="AS122" s="6"/>
      <c r="AT122" s="6"/>
      <c r="AU122" s="7"/>
      <c r="AV122" s="31"/>
      <c r="AW122" s="31"/>
      <c r="AX122" s="31"/>
      <c r="AY122" s="31"/>
      <c r="AZ122" s="31"/>
      <c r="BA122" s="31"/>
      <c r="BB122" s="31"/>
      <c r="BC122" s="31"/>
      <c r="BD122" s="31"/>
      <c r="BE122" s="31"/>
      <c r="BF122" s="31"/>
      <c r="BG122" s="31"/>
      <c r="BH122" s="31"/>
      <c r="BI122" s="31"/>
      <c r="BJ122" s="31"/>
      <c r="BK122" s="31"/>
      <c r="BL122" s="31"/>
      <c r="BM122" s="31"/>
      <c r="BN122" s="31"/>
      <c r="BO122" s="31"/>
      <c r="BP122" s="31"/>
      <c r="BQ122" s="31"/>
      <c r="BR122" s="31"/>
      <c r="BS122" s="31"/>
      <c r="BT122" s="31"/>
      <c r="BU122" s="31"/>
      <c r="BV122" s="31"/>
      <c r="BW122" s="31"/>
      <c r="BX122" s="31"/>
      <c r="BY122" s="31"/>
      <c r="BZ122" s="31"/>
      <c r="CA122" s="31"/>
      <c r="CB122" s="31"/>
      <c r="CC122" s="31"/>
      <c r="CD122" s="31"/>
      <c r="CE122" s="31"/>
      <c r="CF122" s="31"/>
      <c r="CG122" s="31"/>
      <c r="CH122" s="31"/>
      <c r="CI122" s="31"/>
      <c r="CJ122" s="31"/>
      <c r="CK122" s="31"/>
      <c r="CL122" s="31"/>
      <c r="CM122" s="31"/>
      <c r="CN122" s="31"/>
      <c r="CO122" s="31"/>
      <c r="CP122" s="31"/>
      <c r="CQ122" s="31"/>
      <c r="CR122" s="31"/>
      <c r="CS122" s="31"/>
      <c r="CT122" s="31"/>
      <c r="CU122" s="31"/>
      <c r="CV122" s="31"/>
      <c r="CW122" s="31"/>
      <c r="CX122" s="31"/>
      <c r="CY122" s="31"/>
      <c r="CZ122" s="31"/>
      <c r="DA122" s="31"/>
      <c r="DB122" s="31"/>
      <c r="DC122" s="31"/>
      <c r="DD122" s="31"/>
      <c r="DE122" s="31"/>
      <c r="DF122" s="31"/>
      <c r="DG122" s="31"/>
      <c r="DH122" s="31"/>
      <c r="DI122" s="31"/>
      <c r="DJ122" s="31"/>
      <c r="DK122" s="31"/>
      <c r="DL122" s="31"/>
      <c r="DM122" s="31"/>
      <c r="DN122" s="31"/>
      <c r="DO122" s="31"/>
      <c r="DP122" s="31"/>
      <c r="DQ122" s="31"/>
      <c r="DR122" s="31"/>
      <c r="DS122" s="31"/>
      <c r="DT122" s="31"/>
      <c r="DU122" s="31"/>
      <c r="DV122" s="31"/>
      <c r="DW122" s="31"/>
      <c r="DX122" s="31"/>
      <c r="DY122" s="31"/>
      <c r="DZ122" s="31"/>
      <c r="EA122" s="31"/>
      <c r="EB122" s="31"/>
      <c r="EC122" s="31"/>
      <c r="ED122" s="31"/>
      <c r="EE122" s="31"/>
      <c r="EF122" s="31"/>
      <c r="EG122" s="31"/>
      <c r="EH122" s="31"/>
      <c r="EI122" s="31"/>
      <c r="EJ122" s="31"/>
      <c r="EK122" s="31"/>
      <c r="EL122" s="31"/>
      <c r="EM122" s="31"/>
      <c r="EN122" s="31"/>
      <c r="EO122" s="31"/>
      <c r="EP122" s="31"/>
      <c r="EQ122" s="31"/>
      <c r="ER122" s="31"/>
      <c r="ES122" s="31"/>
      <c r="ET122" s="31"/>
      <c r="EU122" s="31"/>
      <c r="EV122" s="31"/>
      <c r="EW122" s="31"/>
      <c r="EX122" s="31"/>
      <c r="EY122" s="31"/>
      <c r="EZ122" s="31"/>
      <c r="FA122" s="31"/>
      <c r="FB122" s="31"/>
      <c r="FC122" s="31"/>
      <c r="FD122" s="31"/>
      <c r="FE122" s="31"/>
      <c r="FF122" s="31"/>
      <c r="FG122" s="31"/>
      <c r="FH122" s="31"/>
      <c r="FI122" s="31"/>
      <c r="FJ122" s="31"/>
      <c r="FK122" s="31"/>
      <c r="FL122" s="31"/>
      <c r="FM122" s="31"/>
      <c r="FN122" s="31"/>
      <c r="FO122" s="31"/>
      <c r="FP122" s="31"/>
      <c r="FQ122" s="31"/>
      <c r="FR122" s="31"/>
      <c r="FS122" s="31"/>
      <c r="FT122" s="31"/>
      <c r="FU122" s="31"/>
      <c r="FV122" s="31"/>
      <c r="FW122" s="31"/>
      <c r="FX122" s="31"/>
      <c r="FY122" s="31"/>
      <c r="FZ122" s="31"/>
      <c r="GA122" s="31"/>
      <c r="GB122" s="31"/>
      <c r="GC122" s="31"/>
      <c r="GD122" s="31"/>
      <c r="GE122" s="31"/>
      <c r="GF122" s="31"/>
      <c r="GG122" s="31"/>
      <c r="GH122" s="31"/>
      <c r="GI122" s="31"/>
      <c r="GJ122" s="31"/>
      <c r="GK122" s="31"/>
      <c r="GL122" s="31"/>
      <c r="GM122" s="31"/>
      <c r="GN122" s="31"/>
      <c r="GO122" s="31"/>
      <c r="GP122" s="31"/>
      <c r="GQ122" s="31"/>
      <c r="GR122" s="31"/>
      <c r="GS122" s="31"/>
      <c r="GT122" s="31"/>
      <c r="GU122" s="31"/>
      <c r="GV122" s="31"/>
      <c r="GW122" s="31"/>
      <c r="GX122" s="31"/>
      <c r="GY122" s="31"/>
      <c r="GZ122" s="31"/>
      <c r="HA122" s="31"/>
      <c r="HB122" s="31"/>
      <c r="HC122" s="31"/>
      <c r="HD122" s="31"/>
      <c r="HE122" s="31"/>
      <c r="HF122" s="31"/>
      <c r="HG122" s="31"/>
      <c r="HH122" s="31"/>
      <c r="HI122" s="31"/>
      <c r="HJ122" s="31"/>
      <c r="HK122" s="31"/>
      <c r="HL122" s="31"/>
      <c r="HM122" s="31"/>
      <c r="HN122" s="31"/>
      <c r="HO122" s="31"/>
      <c r="HP122" s="31"/>
      <c r="HQ122" s="31"/>
      <c r="HR122" s="31"/>
      <c r="HS122" s="31"/>
      <c r="HT122" s="31"/>
      <c r="HU122" s="31"/>
      <c r="HV122" s="31"/>
      <c r="HW122" s="31"/>
      <c r="HX122" s="31"/>
      <c r="HY122" s="31"/>
      <c r="HZ122" s="31"/>
      <c r="IA122" s="31"/>
      <c r="IB122" s="31"/>
      <c r="IC122" s="31"/>
      <c r="ID122" s="31"/>
      <c r="IE122" s="31"/>
      <c r="IF122" s="31"/>
      <c r="IG122" s="31"/>
      <c r="IH122" s="31"/>
      <c r="II122" s="31"/>
      <c r="IJ122" s="31"/>
      <c r="IK122" s="31"/>
      <c r="IL122" s="31"/>
      <c r="IM122" s="31"/>
      <c r="IN122" s="31"/>
      <c r="IO122" s="31"/>
      <c r="IP122" s="31"/>
      <c r="IQ122" s="31"/>
      <c r="IR122" s="31"/>
      <c r="IS122" s="31"/>
      <c r="IT122" s="31"/>
      <c r="IU122" s="31"/>
      <c r="IV122" s="31"/>
      <c r="IW122" s="31"/>
    </row>
    <row r="123" spans="1:257" ht="16.5" customHeight="1">
      <c r="A123" s="217">
        <v>106</v>
      </c>
      <c r="B123" s="82" t="s">
        <v>64</v>
      </c>
      <c r="C123" s="83" t="s">
        <v>211</v>
      </c>
      <c r="D123" s="44">
        <v>56221369.100000001</v>
      </c>
      <c r="E123" s="44"/>
      <c r="F123" s="44"/>
      <c r="G123" s="44"/>
      <c r="H123" s="53"/>
      <c r="I123" s="52"/>
      <c r="J123" s="52">
        <v>56221369.100000001</v>
      </c>
      <c r="K123" s="52">
        <v>1468366.76</v>
      </c>
      <c r="L123" s="44">
        <v>294941.27</v>
      </c>
      <c r="M123" s="193">
        <v>1173425.49</v>
      </c>
      <c r="N123" s="44">
        <v>225877927.81999999</v>
      </c>
      <c r="O123" s="44">
        <v>621147.63</v>
      </c>
      <c r="P123" s="108">
        <v>225660538.38</v>
      </c>
      <c r="Q123" s="47">
        <f t="shared" si="80"/>
        <v>1.6982268478539256E-4</v>
      </c>
      <c r="R123" s="108">
        <v>225582986.56</v>
      </c>
      <c r="S123" s="47">
        <f t="shared" si="81"/>
        <v>7.5595712764257375E-3</v>
      </c>
      <c r="T123" s="48">
        <f t="shared" si="87"/>
        <v>-3.4366584674809129E-4</v>
      </c>
      <c r="U123" s="84">
        <f t="shared" si="88"/>
        <v>1.3074623866705137E-3</v>
      </c>
      <c r="V123" s="49">
        <f>M123/R123</f>
        <v>5.2017464078032106E-3</v>
      </c>
      <c r="W123" s="50">
        <f t="shared" si="89"/>
        <v>147.84144811658334</v>
      </c>
      <c r="X123" s="50">
        <f>M123/AB123</f>
        <v>0.76903372166486217</v>
      </c>
      <c r="Y123" s="44">
        <v>147.36000000000001</v>
      </c>
      <c r="Z123" s="44">
        <v>147.55000000000001</v>
      </c>
      <c r="AA123" s="51">
        <v>39</v>
      </c>
      <c r="AB123" s="145">
        <v>1525844</v>
      </c>
      <c r="AC123" s="13"/>
      <c r="AD123" s="4"/>
      <c r="AE123" s="4"/>
      <c r="AF123" s="4"/>
      <c r="AG123" s="5"/>
      <c r="AH123" s="6"/>
      <c r="AI123" s="6"/>
      <c r="AJ123" s="6"/>
      <c r="AK123" s="7"/>
      <c r="AL123" s="5"/>
      <c r="AM123" s="6"/>
      <c r="AN123" s="6"/>
      <c r="AO123" s="6"/>
      <c r="AP123" s="7"/>
      <c r="AQ123" s="5"/>
      <c r="AR123" s="6"/>
      <c r="AS123" s="6"/>
      <c r="AT123" s="6"/>
      <c r="AU123" s="7"/>
      <c r="AV123" s="31"/>
      <c r="AW123" s="31"/>
      <c r="AX123" s="31"/>
      <c r="AY123" s="31"/>
      <c r="AZ123" s="31"/>
      <c r="BA123" s="31"/>
      <c r="BB123" s="31"/>
      <c r="BC123" s="31"/>
      <c r="BD123" s="31"/>
      <c r="BE123" s="31"/>
      <c r="BF123" s="31"/>
      <c r="BG123" s="31"/>
      <c r="BH123" s="31"/>
      <c r="BI123" s="31"/>
      <c r="BJ123" s="31"/>
      <c r="BK123" s="31"/>
      <c r="BL123" s="31"/>
      <c r="BM123" s="31"/>
      <c r="BN123" s="31"/>
      <c r="BO123" s="31"/>
      <c r="BP123" s="31"/>
      <c r="BQ123" s="31"/>
      <c r="BR123" s="31"/>
      <c r="BS123" s="31"/>
      <c r="BT123" s="31"/>
      <c r="BU123" s="31"/>
      <c r="BV123" s="31"/>
      <c r="BW123" s="31"/>
      <c r="BX123" s="31"/>
      <c r="BY123" s="31"/>
      <c r="BZ123" s="31"/>
      <c r="CA123" s="31"/>
      <c r="CB123" s="31"/>
      <c r="CC123" s="31"/>
      <c r="CD123" s="31"/>
      <c r="CE123" s="31"/>
      <c r="CF123" s="31"/>
      <c r="CG123" s="31"/>
      <c r="CH123" s="31"/>
      <c r="CI123" s="31"/>
      <c r="CJ123" s="31"/>
      <c r="CK123" s="31"/>
      <c r="CL123" s="31"/>
      <c r="CM123" s="31"/>
      <c r="CN123" s="31"/>
      <c r="CO123" s="31"/>
      <c r="CP123" s="31"/>
      <c r="CQ123" s="31"/>
      <c r="CR123" s="31"/>
      <c r="CS123" s="31"/>
      <c r="CT123" s="31"/>
      <c r="CU123" s="31"/>
      <c r="CV123" s="31"/>
      <c r="CW123" s="31"/>
      <c r="CX123" s="31"/>
      <c r="CY123" s="31"/>
      <c r="CZ123" s="31"/>
      <c r="DA123" s="31"/>
      <c r="DB123" s="31"/>
      <c r="DC123" s="31"/>
      <c r="DD123" s="31"/>
      <c r="DE123" s="31"/>
      <c r="DF123" s="31"/>
      <c r="DG123" s="31"/>
      <c r="DH123" s="31"/>
      <c r="DI123" s="31"/>
      <c r="DJ123" s="31"/>
      <c r="DK123" s="31"/>
      <c r="DL123" s="31"/>
      <c r="DM123" s="31"/>
      <c r="DN123" s="31"/>
      <c r="DO123" s="31"/>
      <c r="DP123" s="31"/>
      <c r="DQ123" s="31"/>
      <c r="DR123" s="31"/>
      <c r="DS123" s="31"/>
      <c r="DT123" s="31"/>
      <c r="DU123" s="31"/>
      <c r="DV123" s="31"/>
      <c r="DW123" s="31"/>
      <c r="DX123" s="31"/>
      <c r="DY123" s="31"/>
      <c r="DZ123" s="31"/>
      <c r="EA123" s="31"/>
      <c r="EB123" s="31"/>
      <c r="EC123" s="31"/>
      <c r="ED123" s="31"/>
      <c r="EE123" s="31"/>
      <c r="EF123" s="31"/>
      <c r="EG123" s="31"/>
      <c r="EH123" s="31"/>
      <c r="EI123" s="31"/>
      <c r="EJ123" s="31"/>
      <c r="EK123" s="31"/>
      <c r="EL123" s="31"/>
      <c r="EM123" s="31"/>
      <c r="EN123" s="31"/>
      <c r="EO123" s="31"/>
      <c r="EP123" s="31"/>
      <c r="EQ123" s="31"/>
      <c r="ER123" s="31"/>
      <c r="ES123" s="31"/>
      <c r="ET123" s="31"/>
      <c r="EU123" s="31"/>
      <c r="EV123" s="31"/>
      <c r="EW123" s="31"/>
      <c r="EX123" s="31"/>
      <c r="EY123" s="31"/>
      <c r="EZ123" s="31"/>
      <c r="FA123" s="31"/>
      <c r="FB123" s="31"/>
      <c r="FC123" s="31"/>
      <c r="FD123" s="31"/>
      <c r="FE123" s="31"/>
      <c r="FF123" s="31"/>
      <c r="FG123" s="31"/>
      <c r="FH123" s="31"/>
      <c r="FI123" s="31"/>
      <c r="FJ123" s="31"/>
      <c r="FK123" s="31"/>
      <c r="FL123" s="31"/>
      <c r="FM123" s="31"/>
      <c r="FN123" s="31"/>
      <c r="FO123" s="31"/>
      <c r="FP123" s="31"/>
      <c r="FQ123" s="31"/>
      <c r="FR123" s="31"/>
      <c r="FS123" s="31"/>
      <c r="FT123" s="31"/>
      <c r="FU123" s="31"/>
      <c r="FV123" s="31"/>
      <c r="FW123" s="31"/>
      <c r="FX123" s="31"/>
      <c r="FY123" s="31"/>
      <c r="FZ123" s="31"/>
      <c r="GA123" s="31"/>
      <c r="GB123" s="31"/>
      <c r="GC123" s="31"/>
      <c r="GD123" s="31"/>
      <c r="GE123" s="31"/>
      <c r="GF123" s="31"/>
      <c r="GG123" s="31"/>
      <c r="GH123" s="31"/>
      <c r="GI123" s="31"/>
      <c r="GJ123" s="31"/>
      <c r="GK123" s="31"/>
      <c r="GL123" s="31"/>
      <c r="GM123" s="31"/>
      <c r="GN123" s="31"/>
      <c r="GO123" s="31"/>
      <c r="GP123" s="31"/>
      <c r="GQ123" s="31"/>
      <c r="GR123" s="31"/>
      <c r="GS123" s="31"/>
      <c r="GT123" s="31"/>
      <c r="GU123" s="31"/>
      <c r="GV123" s="31"/>
      <c r="GW123" s="31"/>
      <c r="GX123" s="31"/>
      <c r="GY123" s="31"/>
      <c r="GZ123" s="31"/>
      <c r="HA123" s="31"/>
      <c r="HB123" s="31"/>
      <c r="HC123" s="31"/>
      <c r="HD123" s="31"/>
      <c r="HE123" s="31"/>
      <c r="HF123" s="31"/>
      <c r="HG123" s="31"/>
      <c r="HH123" s="31"/>
      <c r="HI123" s="31"/>
      <c r="HJ123" s="31"/>
      <c r="HK123" s="31"/>
      <c r="HL123" s="31"/>
      <c r="HM123" s="31"/>
      <c r="HN123" s="31"/>
      <c r="HO123" s="31"/>
      <c r="HP123" s="31"/>
      <c r="HQ123" s="31"/>
      <c r="HR123" s="31"/>
      <c r="HS123" s="31"/>
      <c r="HT123" s="31"/>
      <c r="HU123" s="31"/>
      <c r="HV123" s="31"/>
      <c r="HW123" s="31"/>
      <c r="HX123" s="31"/>
      <c r="HY123" s="31"/>
      <c r="HZ123" s="31"/>
      <c r="IA123" s="31"/>
      <c r="IB123" s="31"/>
      <c r="IC123" s="31"/>
      <c r="ID123" s="31"/>
      <c r="IE123" s="31"/>
      <c r="IF123" s="31"/>
      <c r="IG123" s="31"/>
      <c r="IH123" s="31"/>
      <c r="II123" s="31"/>
      <c r="IJ123" s="31"/>
      <c r="IK123" s="31"/>
      <c r="IL123" s="31"/>
      <c r="IM123" s="31"/>
      <c r="IN123" s="31"/>
      <c r="IO123" s="31"/>
      <c r="IP123" s="31"/>
      <c r="IQ123" s="31"/>
      <c r="IR123" s="31"/>
      <c r="IS123" s="31"/>
      <c r="IT123" s="31"/>
      <c r="IU123" s="31"/>
      <c r="IV123" s="31"/>
      <c r="IW123" s="31"/>
    </row>
    <row r="124" spans="1:257" ht="16.5" customHeight="1">
      <c r="A124" s="217">
        <v>107</v>
      </c>
      <c r="B124" s="83" t="s">
        <v>59</v>
      </c>
      <c r="C124" s="116" t="s">
        <v>134</v>
      </c>
      <c r="D124" s="44">
        <v>83669855.329999998</v>
      </c>
      <c r="E124" s="44"/>
      <c r="F124" s="44"/>
      <c r="G124" s="44">
        <v>35143737.640000001</v>
      </c>
      <c r="H124" s="53"/>
      <c r="I124" s="52"/>
      <c r="J124" s="52">
        <v>166378352</v>
      </c>
      <c r="K124" s="52">
        <v>983670.79</v>
      </c>
      <c r="L124" s="44">
        <v>424277.53</v>
      </c>
      <c r="M124" s="193">
        <v>559393.26</v>
      </c>
      <c r="N124" s="44">
        <v>166378352</v>
      </c>
      <c r="O124" s="44">
        <v>10045360.939999999</v>
      </c>
      <c r="P124" s="108">
        <v>156332991.06</v>
      </c>
      <c r="Q124" s="47">
        <f t="shared" si="80"/>
        <v>1.1764967172786364E-4</v>
      </c>
      <c r="R124" s="108">
        <v>156332991.06</v>
      </c>
      <c r="S124" s="47">
        <f t="shared" si="81"/>
        <v>5.238916315440139E-3</v>
      </c>
      <c r="T124" s="48">
        <f t="shared" ref="T124:T125" si="91">((R124-P124)/P124)</f>
        <v>0</v>
      </c>
      <c r="U124" s="84">
        <f t="shared" ref="U124:U125" si="92">(L124/R124)</f>
        <v>2.7139347051651046E-3</v>
      </c>
      <c r="V124" s="49">
        <f t="shared" ref="V124:V125" si="93">M124/R124</f>
        <v>3.5782163202219231E-3</v>
      </c>
      <c r="W124" s="50">
        <f t="shared" ref="W124:W125" si="94">R124/AB124</f>
        <v>3.5635003229650724</v>
      </c>
      <c r="X124" s="50">
        <f t="shared" ref="X124:X125" si="95">M124/AB124</f>
        <v>1.2750975012749716E-2</v>
      </c>
      <c r="Y124" s="44">
        <v>3.4851999999999999</v>
      </c>
      <c r="Z124" s="44">
        <v>3.5510000000000002</v>
      </c>
      <c r="AA124" s="51">
        <v>11816</v>
      </c>
      <c r="AB124" s="145">
        <v>43870626.32</v>
      </c>
      <c r="AC124" s="13"/>
      <c r="AD124" s="4"/>
      <c r="AE124" s="4"/>
      <c r="AF124" s="4"/>
      <c r="AG124" s="5"/>
      <c r="AH124" s="6"/>
      <c r="AI124" s="6"/>
      <c r="AJ124" s="6"/>
      <c r="AK124" s="7"/>
      <c r="AL124" s="5"/>
      <c r="AM124" s="6"/>
      <c r="AN124" s="6"/>
      <c r="AO124" s="6"/>
      <c r="AP124" s="7"/>
      <c r="AQ124" s="5"/>
      <c r="AR124" s="6"/>
      <c r="AS124" s="6"/>
      <c r="AT124" s="6"/>
      <c r="AU124" s="7"/>
      <c r="AV124" s="31"/>
      <c r="AW124" s="31"/>
      <c r="AX124" s="31"/>
      <c r="AY124" s="31"/>
      <c r="AZ124" s="31"/>
      <c r="BA124" s="31"/>
      <c r="BB124" s="31"/>
      <c r="BC124" s="31"/>
      <c r="BD124" s="31"/>
      <c r="BE124" s="31"/>
      <c r="BF124" s="31"/>
      <c r="BG124" s="31"/>
      <c r="BH124" s="31"/>
      <c r="BI124" s="31"/>
      <c r="BJ124" s="31"/>
      <c r="BK124" s="31"/>
      <c r="BL124" s="31"/>
      <c r="BM124" s="31"/>
      <c r="BN124" s="31"/>
      <c r="BO124" s="31"/>
      <c r="BP124" s="31"/>
      <c r="BQ124" s="31"/>
      <c r="BR124" s="31"/>
      <c r="BS124" s="31"/>
      <c r="BT124" s="31"/>
      <c r="BU124" s="31"/>
      <c r="BV124" s="31"/>
      <c r="BW124" s="31"/>
      <c r="BX124" s="31"/>
      <c r="BY124" s="31"/>
      <c r="BZ124" s="31"/>
      <c r="CA124" s="31"/>
      <c r="CB124" s="31"/>
      <c r="CC124" s="31"/>
      <c r="CD124" s="31"/>
      <c r="CE124" s="31"/>
      <c r="CF124" s="31"/>
      <c r="CG124" s="31"/>
      <c r="CH124" s="31"/>
      <c r="CI124" s="31"/>
      <c r="CJ124" s="31"/>
      <c r="CK124" s="31"/>
      <c r="CL124" s="31"/>
      <c r="CM124" s="31"/>
      <c r="CN124" s="31"/>
      <c r="CO124" s="31"/>
      <c r="CP124" s="31"/>
      <c r="CQ124" s="31"/>
      <c r="CR124" s="31"/>
      <c r="CS124" s="31"/>
      <c r="CT124" s="31"/>
      <c r="CU124" s="31"/>
      <c r="CV124" s="31"/>
      <c r="CW124" s="31"/>
      <c r="CX124" s="31"/>
      <c r="CY124" s="31"/>
      <c r="CZ124" s="31"/>
      <c r="DA124" s="31"/>
      <c r="DB124" s="31"/>
      <c r="DC124" s="31"/>
      <c r="DD124" s="31"/>
      <c r="DE124" s="31"/>
      <c r="DF124" s="31"/>
      <c r="DG124" s="31"/>
      <c r="DH124" s="31"/>
      <c r="DI124" s="31"/>
      <c r="DJ124" s="31"/>
      <c r="DK124" s="31"/>
      <c r="DL124" s="31"/>
      <c r="DM124" s="31"/>
      <c r="DN124" s="31"/>
      <c r="DO124" s="31"/>
      <c r="DP124" s="31"/>
      <c r="DQ124" s="31"/>
      <c r="DR124" s="31"/>
      <c r="DS124" s="31"/>
      <c r="DT124" s="31"/>
      <c r="DU124" s="31"/>
      <c r="DV124" s="31"/>
      <c r="DW124" s="31"/>
      <c r="DX124" s="31"/>
      <c r="DY124" s="31"/>
      <c r="DZ124" s="31"/>
      <c r="EA124" s="31"/>
      <c r="EB124" s="31"/>
      <c r="EC124" s="31"/>
      <c r="ED124" s="31"/>
      <c r="EE124" s="31"/>
      <c r="EF124" s="31"/>
      <c r="EG124" s="31"/>
      <c r="EH124" s="31"/>
      <c r="EI124" s="31"/>
      <c r="EJ124" s="31"/>
      <c r="EK124" s="31"/>
      <c r="EL124" s="31"/>
      <c r="EM124" s="31"/>
      <c r="EN124" s="31"/>
      <c r="EO124" s="31"/>
      <c r="EP124" s="31"/>
      <c r="EQ124" s="31"/>
      <c r="ER124" s="31"/>
      <c r="ES124" s="31"/>
      <c r="ET124" s="31"/>
      <c r="EU124" s="31"/>
      <c r="EV124" s="31"/>
      <c r="EW124" s="31"/>
      <c r="EX124" s="31"/>
      <c r="EY124" s="31"/>
      <c r="EZ124" s="31"/>
      <c r="FA124" s="31"/>
      <c r="FB124" s="31"/>
      <c r="FC124" s="31"/>
      <c r="FD124" s="31"/>
      <c r="FE124" s="31"/>
      <c r="FF124" s="31"/>
      <c r="FG124" s="31"/>
      <c r="FH124" s="31"/>
      <c r="FI124" s="31"/>
      <c r="FJ124" s="31"/>
      <c r="FK124" s="31"/>
      <c r="FL124" s="31"/>
      <c r="FM124" s="31"/>
      <c r="FN124" s="31"/>
      <c r="FO124" s="31"/>
      <c r="FP124" s="31"/>
      <c r="FQ124" s="31"/>
      <c r="FR124" s="31"/>
      <c r="FS124" s="31"/>
      <c r="FT124" s="31"/>
      <c r="FU124" s="31"/>
      <c r="FV124" s="31"/>
      <c r="FW124" s="31"/>
      <c r="FX124" s="31"/>
      <c r="FY124" s="31"/>
      <c r="FZ124" s="31"/>
      <c r="GA124" s="31"/>
      <c r="GB124" s="31"/>
      <c r="GC124" s="31"/>
      <c r="GD124" s="31"/>
      <c r="GE124" s="31"/>
      <c r="GF124" s="31"/>
      <c r="GG124" s="31"/>
      <c r="GH124" s="31"/>
      <c r="GI124" s="31"/>
      <c r="GJ124" s="31"/>
      <c r="GK124" s="31"/>
      <c r="GL124" s="31"/>
      <c r="GM124" s="31"/>
      <c r="GN124" s="31"/>
      <c r="GO124" s="31"/>
      <c r="GP124" s="31"/>
      <c r="GQ124" s="31"/>
      <c r="GR124" s="31"/>
      <c r="GS124" s="31"/>
      <c r="GT124" s="31"/>
      <c r="GU124" s="31"/>
      <c r="GV124" s="31"/>
      <c r="GW124" s="31"/>
      <c r="GX124" s="31"/>
      <c r="GY124" s="31"/>
      <c r="GZ124" s="31"/>
      <c r="HA124" s="31"/>
      <c r="HB124" s="31"/>
      <c r="HC124" s="31"/>
      <c r="HD124" s="31"/>
      <c r="HE124" s="31"/>
      <c r="HF124" s="31"/>
      <c r="HG124" s="31"/>
      <c r="HH124" s="31"/>
      <c r="HI124" s="31"/>
      <c r="HJ124" s="31"/>
      <c r="HK124" s="31"/>
      <c r="HL124" s="31"/>
      <c r="HM124" s="31"/>
      <c r="HN124" s="31"/>
      <c r="HO124" s="31"/>
      <c r="HP124" s="31"/>
      <c r="HQ124" s="31"/>
      <c r="HR124" s="31"/>
      <c r="HS124" s="31"/>
      <c r="HT124" s="31"/>
      <c r="HU124" s="31"/>
      <c r="HV124" s="31"/>
      <c r="HW124" s="31"/>
      <c r="HX124" s="31"/>
      <c r="HY124" s="31"/>
      <c r="HZ124" s="31"/>
      <c r="IA124" s="31"/>
      <c r="IB124" s="31"/>
      <c r="IC124" s="31"/>
      <c r="ID124" s="31"/>
      <c r="IE124" s="31"/>
      <c r="IF124" s="31"/>
      <c r="IG124" s="31"/>
      <c r="IH124" s="31"/>
      <c r="II124" s="31"/>
      <c r="IJ124" s="31"/>
      <c r="IK124" s="31"/>
      <c r="IL124" s="31"/>
      <c r="IM124" s="31"/>
      <c r="IN124" s="31"/>
      <c r="IO124" s="31"/>
      <c r="IP124" s="31"/>
      <c r="IQ124" s="31"/>
      <c r="IR124" s="31"/>
      <c r="IS124" s="31"/>
      <c r="IT124" s="31"/>
      <c r="IU124" s="31"/>
      <c r="IV124" s="31"/>
      <c r="IW124" s="31"/>
    </row>
    <row r="125" spans="1:257" ht="16.5" customHeight="1">
      <c r="A125" s="217">
        <v>108</v>
      </c>
      <c r="B125" s="82" t="s">
        <v>66</v>
      </c>
      <c r="C125" s="83" t="s">
        <v>140</v>
      </c>
      <c r="D125" s="44">
        <v>149762852.15000001</v>
      </c>
      <c r="E125" s="44"/>
      <c r="F125" s="44"/>
      <c r="G125" s="44">
        <v>130835538.63</v>
      </c>
      <c r="H125" s="53"/>
      <c r="I125" s="52"/>
      <c r="J125" s="52">
        <v>280598390.77999997</v>
      </c>
      <c r="K125" s="52">
        <v>1644342.35</v>
      </c>
      <c r="L125" s="44">
        <v>612956.36</v>
      </c>
      <c r="M125" s="193">
        <v>8633484.6999999993</v>
      </c>
      <c r="N125" s="44">
        <v>362044089.05000001</v>
      </c>
      <c r="O125" s="44">
        <v>7470052.04</v>
      </c>
      <c r="P125" s="108">
        <v>349956942.11000001</v>
      </c>
      <c r="Q125" s="47">
        <f t="shared" si="80"/>
        <v>2.6336296055595011E-4</v>
      </c>
      <c r="R125" s="108">
        <v>354574037.00999999</v>
      </c>
      <c r="S125" s="47">
        <f t="shared" si="81"/>
        <v>1.1882224570309866E-2</v>
      </c>
      <c r="T125" s="48">
        <f t="shared" si="91"/>
        <v>1.3193322790404057E-2</v>
      </c>
      <c r="U125" s="84">
        <f t="shared" si="92"/>
        <v>1.728711907867955E-3</v>
      </c>
      <c r="V125" s="49">
        <f t="shared" si="93"/>
        <v>2.434889134242085E-2</v>
      </c>
      <c r="W125" s="50">
        <f t="shared" si="94"/>
        <v>140.60488997040181</v>
      </c>
      <c r="X125" s="50">
        <f t="shared" si="95"/>
        <v>3.423573188102353</v>
      </c>
      <c r="Y125" s="44">
        <v>140.01</v>
      </c>
      <c r="Z125" s="44">
        <v>140.96</v>
      </c>
      <c r="AA125" s="51">
        <f>SUM(613,29,3)</f>
        <v>645</v>
      </c>
      <c r="AB125" s="145">
        <v>2521776</v>
      </c>
      <c r="AC125" s="13"/>
      <c r="AD125" s="4"/>
      <c r="AE125" s="4"/>
      <c r="AF125" s="4"/>
      <c r="AG125" s="5"/>
      <c r="AH125" s="6"/>
      <c r="AI125" s="6"/>
      <c r="AJ125" s="6"/>
      <c r="AK125" s="7"/>
      <c r="AL125" s="5"/>
      <c r="AM125" s="6"/>
      <c r="AN125" s="6"/>
      <c r="AO125" s="6"/>
      <c r="AP125" s="7"/>
      <c r="AQ125" s="5"/>
      <c r="AR125" s="6"/>
      <c r="AS125" s="6"/>
      <c r="AT125" s="6"/>
      <c r="AU125" s="7"/>
      <c r="AV125" s="31"/>
      <c r="AW125" s="31"/>
      <c r="AX125" s="31"/>
      <c r="AY125" s="31"/>
      <c r="AZ125" s="31"/>
      <c r="BA125" s="31"/>
      <c r="BB125" s="31"/>
      <c r="BC125" s="31"/>
      <c r="BD125" s="31"/>
      <c r="BE125" s="31"/>
      <c r="BF125" s="31"/>
      <c r="BG125" s="31"/>
      <c r="BH125" s="31"/>
      <c r="BI125" s="31"/>
      <c r="BJ125" s="31"/>
      <c r="BK125" s="31"/>
      <c r="BL125" s="31"/>
      <c r="BM125" s="31"/>
      <c r="BN125" s="31"/>
      <c r="BO125" s="31"/>
      <c r="BP125" s="31"/>
      <c r="BQ125" s="31"/>
      <c r="BR125" s="31"/>
      <c r="BS125" s="31"/>
      <c r="BT125" s="31"/>
      <c r="BU125" s="31"/>
      <c r="BV125" s="31"/>
      <c r="BW125" s="31"/>
      <c r="BX125" s="31"/>
      <c r="BY125" s="31"/>
      <c r="BZ125" s="31"/>
      <c r="CA125" s="31"/>
      <c r="CB125" s="31"/>
      <c r="CC125" s="31"/>
      <c r="CD125" s="31"/>
      <c r="CE125" s="31"/>
      <c r="CF125" s="31"/>
      <c r="CG125" s="31"/>
      <c r="CH125" s="31"/>
      <c r="CI125" s="31"/>
      <c r="CJ125" s="31"/>
      <c r="CK125" s="31"/>
      <c r="CL125" s="31"/>
      <c r="CM125" s="31"/>
      <c r="CN125" s="31"/>
      <c r="CO125" s="31"/>
      <c r="CP125" s="31"/>
      <c r="CQ125" s="31"/>
      <c r="CR125" s="31"/>
      <c r="CS125" s="31"/>
      <c r="CT125" s="31"/>
      <c r="CU125" s="31"/>
      <c r="CV125" s="31"/>
      <c r="CW125" s="31"/>
      <c r="CX125" s="31"/>
      <c r="CY125" s="31"/>
      <c r="CZ125" s="31"/>
      <c r="DA125" s="31"/>
      <c r="DB125" s="31"/>
      <c r="DC125" s="31"/>
      <c r="DD125" s="31"/>
      <c r="DE125" s="31"/>
      <c r="DF125" s="31"/>
      <c r="DG125" s="31"/>
      <c r="DH125" s="31"/>
      <c r="DI125" s="31"/>
      <c r="DJ125" s="31"/>
      <c r="DK125" s="31"/>
      <c r="DL125" s="31"/>
      <c r="DM125" s="31"/>
      <c r="DN125" s="31"/>
      <c r="DO125" s="31"/>
      <c r="DP125" s="31"/>
      <c r="DQ125" s="31"/>
      <c r="DR125" s="31"/>
      <c r="DS125" s="31"/>
      <c r="DT125" s="31"/>
      <c r="DU125" s="31"/>
      <c r="DV125" s="31"/>
      <c r="DW125" s="31"/>
      <c r="DX125" s="31"/>
      <c r="DY125" s="31"/>
      <c r="DZ125" s="31"/>
      <c r="EA125" s="31"/>
      <c r="EB125" s="31"/>
      <c r="EC125" s="31"/>
      <c r="ED125" s="31"/>
      <c r="EE125" s="31"/>
      <c r="EF125" s="31"/>
      <c r="EG125" s="31"/>
      <c r="EH125" s="31"/>
      <c r="EI125" s="31"/>
      <c r="EJ125" s="31"/>
      <c r="EK125" s="31"/>
      <c r="EL125" s="31"/>
      <c r="EM125" s="31"/>
      <c r="EN125" s="31"/>
      <c r="EO125" s="31"/>
      <c r="EP125" s="31"/>
      <c r="EQ125" s="31"/>
      <c r="ER125" s="31"/>
      <c r="ES125" s="31"/>
      <c r="ET125" s="31"/>
      <c r="EU125" s="31"/>
      <c r="EV125" s="31"/>
      <c r="EW125" s="31"/>
      <c r="EX125" s="31"/>
      <c r="EY125" s="31"/>
      <c r="EZ125" s="31"/>
      <c r="FA125" s="31"/>
      <c r="FB125" s="31"/>
      <c r="FC125" s="31"/>
      <c r="FD125" s="31"/>
      <c r="FE125" s="31"/>
      <c r="FF125" s="31"/>
      <c r="FG125" s="31"/>
      <c r="FH125" s="31"/>
      <c r="FI125" s="31"/>
      <c r="FJ125" s="31"/>
      <c r="FK125" s="31"/>
      <c r="FL125" s="31"/>
      <c r="FM125" s="31"/>
      <c r="FN125" s="31"/>
      <c r="FO125" s="31"/>
      <c r="FP125" s="31"/>
      <c r="FQ125" s="31"/>
      <c r="FR125" s="31"/>
      <c r="FS125" s="31"/>
      <c r="FT125" s="31"/>
      <c r="FU125" s="31"/>
      <c r="FV125" s="31"/>
      <c r="FW125" s="31"/>
      <c r="FX125" s="31"/>
      <c r="FY125" s="31"/>
      <c r="FZ125" s="31"/>
      <c r="GA125" s="31"/>
      <c r="GB125" s="31"/>
      <c r="GC125" s="31"/>
      <c r="GD125" s="31"/>
      <c r="GE125" s="31"/>
      <c r="GF125" s="31"/>
      <c r="GG125" s="31"/>
      <c r="GH125" s="31"/>
      <c r="GI125" s="31"/>
      <c r="GJ125" s="31"/>
      <c r="GK125" s="31"/>
      <c r="GL125" s="31"/>
      <c r="GM125" s="31"/>
      <c r="GN125" s="31"/>
      <c r="GO125" s="31"/>
      <c r="GP125" s="31"/>
      <c r="GQ125" s="31"/>
      <c r="GR125" s="31"/>
      <c r="GS125" s="31"/>
      <c r="GT125" s="31"/>
      <c r="GU125" s="31"/>
      <c r="GV125" s="31"/>
      <c r="GW125" s="31"/>
      <c r="GX125" s="31"/>
      <c r="GY125" s="31"/>
      <c r="GZ125" s="31"/>
      <c r="HA125" s="31"/>
      <c r="HB125" s="31"/>
      <c r="HC125" s="31"/>
      <c r="HD125" s="31"/>
      <c r="HE125" s="31"/>
      <c r="HF125" s="31"/>
      <c r="HG125" s="31"/>
      <c r="HH125" s="31"/>
      <c r="HI125" s="31"/>
      <c r="HJ125" s="31"/>
      <c r="HK125" s="31"/>
      <c r="HL125" s="31"/>
      <c r="HM125" s="31"/>
      <c r="HN125" s="31"/>
      <c r="HO125" s="31"/>
      <c r="HP125" s="31"/>
      <c r="HQ125" s="31"/>
      <c r="HR125" s="31"/>
      <c r="HS125" s="31"/>
      <c r="HT125" s="31"/>
      <c r="HU125" s="31"/>
      <c r="HV125" s="31"/>
      <c r="HW125" s="31"/>
      <c r="HX125" s="31"/>
      <c r="HY125" s="31"/>
      <c r="HZ125" s="31"/>
      <c r="IA125" s="31"/>
      <c r="IB125" s="31"/>
      <c r="IC125" s="31"/>
      <c r="ID125" s="31"/>
      <c r="IE125" s="31"/>
      <c r="IF125" s="31"/>
      <c r="IG125" s="31"/>
      <c r="IH125" s="31"/>
      <c r="II125" s="31"/>
      <c r="IJ125" s="31"/>
      <c r="IK125" s="31"/>
      <c r="IL125" s="31"/>
      <c r="IM125" s="31"/>
      <c r="IN125" s="31"/>
      <c r="IO125" s="31"/>
      <c r="IP125" s="31"/>
      <c r="IQ125" s="31"/>
      <c r="IR125" s="31"/>
      <c r="IS125" s="31"/>
      <c r="IT125" s="31"/>
      <c r="IU125" s="31"/>
      <c r="IV125" s="31"/>
      <c r="IW125" s="31"/>
    </row>
    <row r="126" spans="1:257" ht="16.5" customHeight="1">
      <c r="A126" s="217">
        <v>109</v>
      </c>
      <c r="B126" s="87" t="s">
        <v>115</v>
      </c>
      <c r="C126" s="87" t="s">
        <v>143</v>
      </c>
      <c r="D126" s="44">
        <v>59380900.299999997</v>
      </c>
      <c r="E126" s="44"/>
      <c r="F126" s="44">
        <v>52852408.950000003</v>
      </c>
      <c r="G126" s="44">
        <v>26355662.98</v>
      </c>
      <c r="H126" s="53"/>
      <c r="I126" s="52"/>
      <c r="J126" s="52">
        <v>138721548.11000001</v>
      </c>
      <c r="K126" s="52">
        <v>2308428.09</v>
      </c>
      <c r="L126" s="44">
        <v>744789.88</v>
      </c>
      <c r="M126" s="193">
        <v>1563638.21</v>
      </c>
      <c r="N126" s="44">
        <v>138721548.11000001</v>
      </c>
      <c r="O126" s="44">
        <v>5256882.96</v>
      </c>
      <c r="P126" s="108">
        <v>132508600.92</v>
      </c>
      <c r="Q126" s="47">
        <f t="shared" si="80"/>
        <v>9.9720431968024353E-5</v>
      </c>
      <c r="R126" s="108">
        <v>133464665.16</v>
      </c>
      <c r="S126" s="47">
        <f t="shared" si="81"/>
        <v>4.4725697826194909E-3</v>
      </c>
      <c r="T126" s="48">
        <f>((R126-P126)/P126)</f>
        <v>7.2151108181815566E-3</v>
      </c>
      <c r="U126" s="84">
        <f>(L126/R126)</f>
        <v>5.5804274420284319E-3</v>
      </c>
      <c r="V126" s="49">
        <f>M126/R126</f>
        <v>1.17157466968915E-2</v>
      </c>
      <c r="W126" s="50">
        <f>R126/AB126</f>
        <v>138.67383834510144</v>
      </c>
      <c r="X126" s="50">
        <f>M126/AB126</f>
        <v>1.6246675635368879</v>
      </c>
      <c r="Y126" s="44">
        <v>138.6738</v>
      </c>
      <c r="Z126" s="44">
        <v>144.13589999999999</v>
      </c>
      <c r="AA126" s="51">
        <v>126</v>
      </c>
      <c r="AB126" s="145">
        <v>962435.79</v>
      </c>
      <c r="AC126" s="13"/>
      <c r="AD126" s="4"/>
      <c r="AE126" s="4"/>
      <c r="AF126" s="4"/>
      <c r="AG126" s="5"/>
      <c r="AH126" s="6"/>
      <c r="AI126" s="6"/>
      <c r="AJ126" s="6"/>
      <c r="AK126" s="7"/>
      <c r="AL126" s="5"/>
      <c r="AM126" s="6"/>
      <c r="AN126" s="6"/>
      <c r="AO126" s="6"/>
      <c r="AP126" s="7"/>
      <c r="AQ126" s="5"/>
      <c r="AR126" s="6"/>
      <c r="AS126" s="6"/>
      <c r="AT126" s="6"/>
      <c r="AU126" s="7"/>
      <c r="AV126" s="31"/>
      <c r="AW126" s="31"/>
      <c r="AX126" s="31"/>
      <c r="AY126" s="31"/>
      <c r="AZ126" s="31"/>
      <c r="BA126" s="31"/>
      <c r="BB126" s="31"/>
      <c r="BC126" s="31"/>
      <c r="BD126" s="31"/>
      <c r="BE126" s="31"/>
      <c r="BF126" s="31"/>
      <c r="BG126" s="31"/>
      <c r="BH126" s="31"/>
      <c r="BI126" s="31"/>
      <c r="BJ126" s="31"/>
      <c r="BK126" s="31"/>
      <c r="BL126" s="31"/>
      <c r="BM126" s="31"/>
      <c r="BN126" s="31"/>
      <c r="BO126" s="31"/>
      <c r="BP126" s="31"/>
      <c r="BQ126" s="31"/>
      <c r="BR126" s="31"/>
      <c r="BS126" s="31"/>
      <c r="BT126" s="31"/>
      <c r="BU126" s="31"/>
      <c r="BV126" s="31"/>
      <c r="BW126" s="31"/>
      <c r="BX126" s="31"/>
      <c r="BY126" s="31"/>
      <c r="BZ126" s="31"/>
      <c r="CA126" s="31"/>
      <c r="CB126" s="31"/>
      <c r="CC126" s="31"/>
      <c r="CD126" s="31"/>
      <c r="CE126" s="31"/>
      <c r="CF126" s="31"/>
      <c r="CG126" s="31"/>
      <c r="CH126" s="31"/>
      <c r="CI126" s="31"/>
      <c r="CJ126" s="31"/>
      <c r="CK126" s="31"/>
      <c r="CL126" s="31"/>
      <c r="CM126" s="31"/>
      <c r="CN126" s="31"/>
      <c r="CO126" s="31"/>
      <c r="CP126" s="31"/>
      <c r="CQ126" s="31"/>
      <c r="CR126" s="31"/>
      <c r="CS126" s="31"/>
      <c r="CT126" s="31"/>
      <c r="CU126" s="31"/>
      <c r="CV126" s="31"/>
      <c r="CW126" s="31"/>
      <c r="CX126" s="31"/>
      <c r="CY126" s="31"/>
      <c r="CZ126" s="31"/>
      <c r="DA126" s="31"/>
      <c r="DB126" s="31"/>
      <c r="DC126" s="31"/>
      <c r="DD126" s="31"/>
      <c r="DE126" s="31"/>
      <c r="DF126" s="31"/>
      <c r="DG126" s="31"/>
      <c r="DH126" s="31"/>
      <c r="DI126" s="31"/>
      <c r="DJ126" s="31"/>
      <c r="DK126" s="31"/>
      <c r="DL126" s="31"/>
      <c r="DM126" s="31"/>
      <c r="DN126" s="31"/>
      <c r="DO126" s="31"/>
      <c r="DP126" s="31"/>
      <c r="DQ126" s="31"/>
      <c r="DR126" s="31"/>
      <c r="DS126" s="31"/>
      <c r="DT126" s="31"/>
      <c r="DU126" s="31"/>
      <c r="DV126" s="31"/>
      <c r="DW126" s="31"/>
      <c r="DX126" s="31"/>
      <c r="DY126" s="31"/>
      <c r="DZ126" s="31"/>
      <c r="EA126" s="31"/>
      <c r="EB126" s="31"/>
      <c r="EC126" s="31"/>
      <c r="ED126" s="31"/>
      <c r="EE126" s="31"/>
      <c r="EF126" s="31"/>
      <c r="EG126" s="31"/>
      <c r="EH126" s="31"/>
      <c r="EI126" s="31"/>
      <c r="EJ126" s="31"/>
      <c r="EK126" s="31"/>
      <c r="EL126" s="31"/>
      <c r="EM126" s="31"/>
      <c r="EN126" s="31"/>
      <c r="EO126" s="31"/>
      <c r="EP126" s="31"/>
      <c r="EQ126" s="31"/>
      <c r="ER126" s="31"/>
      <c r="ES126" s="31"/>
      <c r="ET126" s="31"/>
      <c r="EU126" s="31"/>
      <c r="EV126" s="31"/>
      <c r="EW126" s="31"/>
      <c r="EX126" s="31"/>
      <c r="EY126" s="31"/>
      <c r="EZ126" s="31"/>
      <c r="FA126" s="31"/>
      <c r="FB126" s="31"/>
      <c r="FC126" s="31"/>
      <c r="FD126" s="31"/>
      <c r="FE126" s="31"/>
      <c r="FF126" s="31"/>
      <c r="FG126" s="31"/>
      <c r="FH126" s="31"/>
      <c r="FI126" s="31"/>
      <c r="FJ126" s="31"/>
      <c r="FK126" s="31"/>
      <c r="FL126" s="31"/>
      <c r="FM126" s="31"/>
      <c r="FN126" s="31"/>
      <c r="FO126" s="31"/>
      <c r="FP126" s="31"/>
      <c r="FQ126" s="31"/>
      <c r="FR126" s="31"/>
      <c r="FS126" s="31"/>
      <c r="FT126" s="31"/>
      <c r="FU126" s="31"/>
      <c r="FV126" s="31"/>
      <c r="FW126" s="31"/>
      <c r="FX126" s="31"/>
      <c r="FY126" s="31"/>
      <c r="FZ126" s="31"/>
      <c r="GA126" s="31"/>
      <c r="GB126" s="31"/>
      <c r="GC126" s="31"/>
      <c r="GD126" s="31"/>
      <c r="GE126" s="31"/>
      <c r="GF126" s="31"/>
      <c r="GG126" s="31"/>
      <c r="GH126" s="31"/>
      <c r="GI126" s="31"/>
      <c r="GJ126" s="31"/>
      <c r="GK126" s="31"/>
      <c r="GL126" s="31"/>
      <c r="GM126" s="31"/>
      <c r="GN126" s="31"/>
      <c r="GO126" s="31"/>
      <c r="GP126" s="31"/>
      <c r="GQ126" s="31"/>
      <c r="GR126" s="31"/>
      <c r="GS126" s="31"/>
      <c r="GT126" s="31"/>
      <c r="GU126" s="31"/>
      <c r="GV126" s="31"/>
      <c r="GW126" s="31"/>
      <c r="GX126" s="31"/>
      <c r="GY126" s="31"/>
      <c r="GZ126" s="31"/>
      <c r="HA126" s="31"/>
      <c r="HB126" s="31"/>
      <c r="HC126" s="31"/>
      <c r="HD126" s="31"/>
      <c r="HE126" s="31"/>
      <c r="HF126" s="31"/>
      <c r="HG126" s="31"/>
      <c r="HH126" s="31"/>
      <c r="HI126" s="31"/>
      <c r="HJ126" s="31"/>
      <c r="HK126" s="31"/>
      <c r="HL126" s="31"/>
      <c r="HM126" s="31"/>
      <c r="HN126" s="31"/>
      <c r="HO126" s="31"/>
      <c r="HP126" s="31"/>
      <c r="HQ126" s="31"/>
      <c r="HR126" s="31"/>
      <c r="HS126" s="31"/>
      <c r="HT126" s="31"/>
      <c r="HU126" s="31"/>
      <c r="HV126" s="31"/>
      <c r="HW126" s="31"/>
      <c r="HX126" s="31"/>
      <c r="HY126" s="31"/>
      <c r="HZ126" s="31"/>
      <c r="IA126" s="31"/>
      <c r="IB126" s="31"/>
      <c r="IC126" s="31"/>
      <c r="ID126" s="31"/>
      <c r="IE126" s="31"/>
      <c r="IF126" s="31"/>
      <c r="IG126" s="31"/>
      <c r="IH126" s="31"/>
      <c r="II126" s="31"/>
      <c r="IJ126" s="31"/>
      <c r="IK126" s="31"/>
      <c r="IL126" s="31"/>
      <c r="IM126" s="31"/>
      <c r="IN126" s="31"/>
      <c r="IO126" s="31"/>
      <c r="IP126" s="31"/>
      <c r="IQ126" s="31"/>
      <c r="IR126" s="31"/>
      <c r="IS126" s="31"/>
      <c r="IT126" s="31"/>
      <c r="IU126" s="31"/>
      <c r="IV126" s="31"/>
      <c r="IW126" s="31"/>
    </row>
    <row r="127" spans="1:257" ht="17.25" customHeight="1">
      <c r="A127" s="217">
        <v>110</v>
      </c>
      <c r="B127" s="83" t="s">
        <v>102</v>
      </c>
      <c r="C127" s="83" t="s">
        <v>133</v>
      </c>
      <c r="D127" s="44">
        <v>522806409.5</v>
      </c>
      <c r="E127" s="44"/>
      <c r="F127" s="44">
        <v>220268007.87</v>
      </c>
      <c r="G127" s="44">
        <v>431703484.80000001</v>
      </c>
      <c r="H127" s="45">
        <v>23699660.609999999</v>
      </c>
      <c r="I127" s="52"/>
      <c r="J127" s="52">
        <v>1198477562.78</v>
      </c>
      <c r="K127" s="52">
        <v>3487931.1</v>
      </c>
      <c r="L127" s="44">
        <v>1658739.3</v>
      </c>
      <c r="M127" s="193">
        <v>18571253.949999999</v>
      </c>
      <c r="N127" s="44">
        <v>1222531935.53</v>
      </c>
      <c r="O127" s="44">
        <v>7041750.1200000001</v>
      </c>
      <c r="P127" s="108">
        <v>1142108702.4100001</v>
      </c>
      <c r="Q127" s="47">
        <f t="shared" si="80"/>
        <v>8.5950325011374348E-4</v>
      </c>
      <c r="R127" s="108">
        <v>1160533710.5599999</v>
      </c>
      <c r="S127" s="47">
        <f t="shared" si="81"/>
        <v>3.8890952892583056E-2</v>
      </c>
      <c r="T127" s="48">
        <f t="shared" si="82"/>
        <v>1.61324470351383E-2</v>
      </c>
      <c r="U127" s="84">
        <f t="shared" si="83"/>
        <v>1.4292900627587955E-3</v>
      </c>
      <c r="V127" s="49">
        <f t="shared" si="84"/>
        <v>1.6002339079869286E-2</v>
      </c>
      <c r="W127" s="50">
        <f t="shared" si="85"/>
        <v>2.3292051957008937</v>
      </c>
      <c r="X127" s="50">
        <f t="shared" si="86"/>
        <v>3.7272731328198999E-2</v>
      </c>
      <c r="Y127" s="44">
        <v>2.2746</v>
      </c>
      <c r="Z127" s="44">
        <v>2.3203999999999998</v>
      </c>
      <c r="AA127" s="51">
        <v>2768</v>
      </c>
      <c r="AB127" s="145">
        <v>498253100.54350001</v>
      </c>
      <c r="AC127" s="39"/>
      <c r="AD127" s="4"/>
      <c r="AE127" s="4"/>
      <c r="AF127" s="4"/>
      <c r="AG127" s="5"/>
      <c r="AH127" s="6"/>
      <c r="AI127" s="6"/>
      <c r="AJ127" s="6"/>
      <c r="AK127" s="7"/>
      <c r="AL127" s="5"/>
      <c r="AM127" s="6"/>
      <c r="AN127" s="6"/>
      <c r="AO127" s="6"/>
      <c r="AP127" s="7"/>
      <c r="AQ127" s="5"/>
      <c r="AR127" s="6"/>
      <c r="AS127" s="6"/>
      <c r="AT127" s="6"/>
      <c r="AU127" s="7"/>
    </row>
    <row r="128" spans="1:257" ht="15.75" customHeight="1">
      <c r="A128" s="217">
        <v>111</v>
      </c>
      <c r="B128" s="82" t="s">
        <v>90</v>
      </c>
      <c r="C128" s="83" t="s">
        <v>195</v>
      </c>
      <c r="D128" s="44">
        <v>8794140.6300000008</v>
      </c>
      <c r="E128" s="44"/>
      <c r="F128" s="44">
        <v>5193638.96</v>
      </c>
      <c r="G128" s="44">
        <v>3744319.83</v>
      </c>
      <c r="H128" s="53"/>
      <c r="I128" s="52"/>
      <c r="J128" s="52">
        <f>SUM(D128:G128)</f>
        <v>17732099.420000002</v>
      </c>
      <c r="K128" s="52">
        <v>62039.39</v>
      </c>
      <c r="L128" s="44">
        <v>7437.41</v>
      </c>
      <c r="M128" s="193">
        <v>341874.48</v>
      </c>
      <c r="N128" s="44">
        <v>18613519.190000001</v>
      </c>
      <c r="O128" s="44">
        <v>319103.90000000002</v>
      </c>
      <c r="P128" s="108">
        <v>17712000.379999999</v>
      </c>
      <c r="Q128" s="47">
        <f t="shared" si="80"/>
        <v>1.3329310826983647E-5</v>
      </c>
      <c r="R128" s="108">
        <v>18294415.289999999</v>
      </c>
      <c r="S128" s="47">
        <f t="shared" si="81"/>
        <v>6.1306900158671171E-4</v>
      </c>
      <c r="T128" s="48">
        <f>((R128-P128)/P128)</f>
        <v>3.2882503246649104E-2</v>
      </c>
      <c r="U128" s="84">
        <f>(L128/R128)</f>
        <v>4.0653991297909367E-4</v>
      </c>
      <c r="V128" s="49">
        <f>M128/R128</f>
        <v>1.8687368499110967E-2</v>
      </c>
      <c r="W128" s="50">
        <f>R128/AB128</f>
        <v>1.1833293615554881</v>
      </c>
      <c r="X128" s="50">
        <f>M128/AB128</f>
        <v>2.211331183520512E-2</v>
      </c>
      <c r="Y128" s="44">
        <v>1.1674</v>
      </c>
      <c r="Z128" s="44">
        <v>1.1674</v>
      </c>
      <c r="AA128" s="51">
        <v>7</v>
      </c>
      <c r="AB128" s="145">
        <v>15460121.15</v>
      </c>
      <c r="AC128" s="132"/>
    </row>
    <row r="129" spans="1:257" ht="15.75" customHeight="1">
      <c r="A129" s="217">
        <v>112</v>
      </c>
      <c r="B129" s="82" t="s">
        <v>160</v>
      </c>
      <c r="C129" s="83" t="s">
        <v>196</v>
      </c>
      <c r="D129" s="44">
        <v>61281724.689999998</v>
      </c>
      <c r="E129" s="44"/>
      <c r="F129" s="44"/>
      <c r="G129" s="44">
        <v>77346109.079999998</v>
      </c>
      <c r="H129" s="53"/>
      <c r="I129" s="52"/>
      <c r="J129" s="52">
        <v>199906627.41</v>
      </c>
      <c r="K129" s="52">
        <v>4209862.83</v>
      </c>
      <c r="L129" s="44">
        <v>1019377.28</v>
      </c>
      <c r="M129" s="193">
        <v>2513225.9900000002</v>
      </c>
      <c r="N129" s="44">
        <v>207986456.36000001</v>
      </c>
      <c r="O129" s="44">
        <v>197759381.28999999</v>
      </c>
      <c r="P129" s="108">
        <v>190138076.78</v>
      </c>
      <c r="Q129" s="47">
        <f t="shared" si="80"/>
        <v>1.4308996562055755E-4</v>
      </c>
      <c r="R129" s="108">
        <v>205556607.53</v>
      </c>
      <c r="S129" s="47">
        <f t="shared" si="81"/>
        <v>6.8884619787139782E-3</v>
      </c>
      <c r="T129" s="48">
        <f>((R129-P129)/P129)</f>
        <v>8.1091231231080932E-2</v>
      </c>
      <c r="U129" s="84">
        <f>(L129/R129)</f>
        <v>4.9591073342228941E-3</v>
      </c>
      <c r="V129" s="49">
        <f>M129/R129</f>
        <v>1.2226442244787519E-2</v>
      </c>
      <c r="W129" s="50">
        <f>R129/AB129</f>
        <v>1.0478152199488009</v>
      </c>
      <c r="X129" s="50">
        <f>M129/AB129</f>
        <v>1.2811052269913345E-2</v>
      </c>
      <c r="Y129" s="44">
        <v>1.05</v>
      </c>
      <c r="Z129" s="44">
        <v>1.05</v>
      </c>
      <c r="AA129" s="51">
        <v>77</v>
      </c>
      <c r="AB129" s="145">
        <v>196176390.28</v>
      </c>
      <c r="AC129" s="132"/>
    </row>
    <row r="130" spans="1:257" ht="15.75" customHeight="1">
      <c r="A130" s="217">
        <v>113</v>
      </c>
      <c r="B130" s="82" t="s">
        <v>156</v>
      </c>
      <c r="C130" s="83" t="s">
        <v>158</v>
      </c>
      <c r="D130" s="44">
        <v>628210.75</v>
      </c>
      <c r="E130" s="44"/>
      <c r="F130" s="44"/>
      <c r="G130" s="44">
        <v>936494.72</v>
      </c>
      <c r="H130" s="53"/>
      <c r="I130" s="52"/>
      <c r="J130" s="52">
        <v>1564705.47</v>
      </c>
      <c r="K130" s="52">
        <v>0</v>
      </c>
      <c r="L130" s="52">
        <v>7836.43</v>
      </c>
      <c r="M130" s="193">
        <v>-7836.43</v>
      </c>
      <c r="N130" s="44">
        <v>4589718.4400000004</v>
      </c>
      <c r="O130" s="44">
        <v>198363.68</v>
      </c>
      <c r="P130" s="108">
        <v>4478453.0199999996</v>
      </c>
      <c r="Q130" s="47">
        <f t="shared" si="80"/>
        <v>3.3702964683215308E-6</v>
      </c>
      <c r="R130" s="108">
        <v>4391354.76</v>
      </c>
      <c r="S130" s="47">
        <f t="shared" si="81"/>
        <v>1.4715985373950995E-4</v>
      </c>
      <c r="T130" s="48">
        <f t="shared" si="82"/>
        <v>-1.9448291544208223E-2</v>
      </c>
      <c r="U130" s="84">
        <f>(L130/R130)</f>
        <v>1.7845130781462986E-3</v>
      </c>
      <c r="V130" s="49">
        <f t="shared" si="84"/>
        <v>-1.7845130781462986E-3</v>
      </c>
      <c r="W130" s="50">
        <f t="shared" si="85"/>
        <v>106.34880267364137</v>
      </c>
      <c r="X130" s="50">
        <f t="shared" si="86"/>
        <v>-0.18978082921631309</v>
      </c>
      <c r="Y130" s="44">
        <v>101.29</v>
      </c>
      <c r="Z130" s="44">
        <v>101.51</v>
      </c>
      <c r="AA130" s="51">
        <v>87</v>
      </c>
      <c r="AB130" s="145">
        <v>41292</v>
      </c>
      <c r="AC130" s="132"/>
    </row>
    <row r="131" spans="1:257" ht="15.75" customHeight="1">
      <c r="A131" s="154"/>
      <c r="B131" s="81"/>
      <c r="C131" s="106" t="s">
        <v>53</v>
      </c>
      <c r="D131" s="60">
        <f>SUM(D109:D130)</f>
        <v>15262196197.65</v>
      </c>
      <c r="E131" s="60"/>
      <c r="F131" s="60">
        <f t="shared" ref="F131:J131" si="96">SUM(F109:F130)</f>
        <v>4426064411.8700008</v>
      </c>
      <c r="G131" s="60">
        <f t="shared" si="96"/>
        <v>6793598126.4100008</v>
      </c>
      <c r="H131" s="60">
        <f t="shared" si="96"/>
        <v>86847859.210000008</v>
      </c>
      <c r="I131" s="60"/>
      <c r="J131" s="60">
        <f t="shared" si="96"/>
        <v>27615056021.589996</v>
      </c>
      <c r="K131" s="60">
        <f>SUM(K109:K130)</f>
        <v>2683703663.8600001</v>
      </c>
      <c r="L131" s="60">
        <f t="shared" ref="L131" si="97">SUM(L109:L130)</f>
        <v>81577732.749999985</v>
      </c>
      <c r="M131" s="60">
        <f t="shared" ref="M131" si="98">SUM(M109:M130)</f>
        <v>552906236.19000006</v>
      </c>
      <c r="N131" s="60">
        <f t="shared" ref="N131" si="99">SUM(N109:N130)</f>
        <v>30360758442.950001</v>
      </c>
      <c r="O131" s="60">
        <f t="shared" ref="O131" si="100">SUM(O109:O130)</f>
        <v>660746068.08999991</v>
      </c>
      <c r="P131" s="204">
        <f t="shared" ref="P131:R131" si="101">SUM(P109:P130)</f>
        <v>29538522982.550007</v>
      </c>
      <c r="Q131" s="118">
        <f t="shared" si="80"/>
        <v>2.2229457190448023E-2</v>
      </c>
      <c r="R131" s="204">
        <f t="shared" si="101"/>
        <v>29840711637.110001</v>
      </c>
      <c r="S131" s="118">
        <f>(R131/$R$149)</f>
        <v>2.1540502975571234E-2</v>
      </c>
      <c r="T131" s="62">
        <f t="shared" si="82"/>
        <v>1.0230323795760297E-2</v>
      </c>
      <c r="U131" s="76"/>
      <c r="V131" s="63"/>
      <c r="W131" s="64"/>
      <c r="X131" s="64"/>
      <c r="Y131" s="60"/>
      <c r="Z131" s="60"/>
      <c r="AA131" s="65">
        <f>SUM(AA109:AA130)</f>
        <v>81000</v>
      </c>
      <c r="AB131" s="156"/>
      <c r="AC131" s="132"/>
    </row>
    <row r="132" spans="1:257" ht="15.75" customHeight="1">
      <c r="A132" s="232" t="s">
        <v>144</v>
      </c>
      <c r="B132" s="233"/>
      <c r="C132" s="233"/>
      <c r="D132" s="70"/>
      <c r="E132" s="70"/>
      <c r="F132" s="70"/>
      <c r="G132" s="70"/>
      <c r="H132" s="70"/>
      <c r="I132" s="70"/>
      <c r="J132" s="70"/>
      <c r="K132" s="70"/>
      <c r="L132" s="70"/>
      <c r="M132" s="211"/>
      <c r="N132" s="70"/>
      <c r="O132" s="70"/>
      <c r="P132" s="70"/>
      <c r="Q132" s="48"/>
      <c r="R132" s="70"/>
      <c r="S132" s="48"/>
      <c r="T132" s="48"/>
      <c r="U132" s="48"/>
      <c r="V132" s="71"/>
      <c r="W132" s="72"/>
      <c r="X132" s="72"/>
      <c r="Y132" s="70"/>
      <c r="Z132" s="70"/>
      <c r="AA132" s="70"/>
      <c r="AB132" s="150"/>
      <c r="AC132" s="132"/>
    </row>
    <row r="133" spans="1:257" ht="15.75" customHeight="1">
      <c r="A133" s="217">
        <v>114</v>
      </c>
      <c r="B133" s="83" t="s">
        <v>75</v>
      </c>
      <c r="C133" s="82" t="s">
        <v>185</v>
      </c>
      <c r="D133" s="44">
        <v>302051299</v>
      </c>
      <c r="E133" s="44"/>
      <c r="F133" s="44">
        <v>24261080.210000001</v>
      </c>
      <c r="G133" s="44">
        <v>241820351.00999999</v>
      </c>
      <c r="H133" s="53"/>
      <c r="I133" s="44"/>
      <c r="J133" s="44">
        <v>568132730.22000003</v>
      </c>
      <c r="K133" s="44">
        <v>2378794.37</v>
      </c>
      <c r="L133" s="45">
        <v>4732670.8600000003</v>
      </c>
      <c r="M133" s="193">
        <v>8425113.4600000009</v>
      </c>
      <c r="N133" s="44">
        <v>577513328.62</v>
      </c>
      <c r="O133" s="44">
        <v>5775188.4000000004</v>
      </c>
      <c r="P133" s="54">
        <v>567930202.13999999</v>
      </c>
      <c r="Q133" s="47">
        <f>(P133/$P$136)</f>
        <v>0.21955617587537851</v>
      </c>
      <c r="R133" s="54">
        <v>571738140.22000003</v>
      </c>
      <c r="S133" s="47">
        <f>(R133/$R$136)</f>
        <v>0.21512080338611642</v>
      </c>
      <c r="T133" s="48">
        <f t="shared" ref="T133:T148" si="102">((R133-P133)/P133)</f>
        <v>6.7049402649330334E-3</v>
      </c>
      <c r="U133" s="84">
        <f t="shared" ref="U133:U148" si="103">(L133/R133)</f>
        <v>8.2776896048581058E-3</v>
      </c>
      <c r="V133" s="49">
        <f t="shared" ref="V133:V147" si="104">M133/R133</f>
        <v>1.4735965413743586E-2</v>
      </c>
      <c r="W133" s="50">
        <f t="shared" ref="W133:W147" si="105">R133/AB133</f>
        <v>15.277842659607741</v>
      </c>
      <c r="X133" s="50">
        <f t="shared" ref="X133:X147" si="106">M133/AB133</f>
        <v>0.22513376102859597</v>
      </c>
      <c r="Y133" s="44">
        <v>15.277900000000001</v>
      </c>
      <c r="Z133" s="44">
        <v>15.446999999999999</v>
      </c>
      <c r="AA133" s="51">
        <v>1535</v>
      </c>
      <c r="AB133" s="145">
        <v>37422701.159999996</v>
      </c>
      <c r="AC133" s="132"/>
    </row>
    <row r="134" spans="1:257" ht="15.75" customHeight="1">
      <c r="A134" s="217">
        <v>115</v>
      </c>
      <c r="B134" s="83" t="s">
        <v>24</v>
      </c>
      <c r="C134" s="82" t="s">
        <v>145</v>
      </c>
      <c r="D134" s="44">
        <v>1269272818</v>
      </c>
      <c r="E134" s="44"/>
      <c r="F134" s="44">
        <v>355570056.38</v>
      </c>
      <c r="G134" s="44">
        <v>12190804.380000001</v>
      </c>
      <c r="H134" s="53"/>
      <c r="I134" s="44"/>
      <c r="J134" s="44">
        <v>1637033678.76</v>
      </c>
      <c r="K134" s="44">
        <v>4624590.97</v>
      </c>
      <c r="L134" s="44">
        <v>4575547.92</v>
      </c>
      <c r="M134" s="193">
        <v>39805432.409999996</v>
      </c>
      <c r="N134" s="44">
        <v>1667155614.0699999</v>
      </c>
      <c r="O134" s="44">
        <v>19692591.140000001</v>
      </c>
      <c r="P134" s="54">
        <v>1606433488.6700001</v>
      </c>
      <c r="Q134" s="47">
        <f t="shared" ref="Q134:Q135" si="107">(P134/$P$136)</f>
        <v>0.62103123278445405</v>
      </c>
      <c r="R134" s="54">
        <v>1647463022.9300001</v>
      </c>
      <c r="S134" s="47">
        <f>(R134/$R$136)</f>
        <v>0.61987043387598739</v>
      </c>
      <c r="T134" s="48">
        <f>((R134-P134)/P134)</f>
        <v>2.5540761288516962E-2</v>
      </c>
      <c r="U134" s="84">
        <f t="shared" si="103"/>
        <v>2.7773296616165769E-3</v>
      </c>
      <c r="V134" s="49">
        <f t="shared" si="104"/>
        <v>2.4161654529402637E-2</v>
      </c>
      <c r="W134" s="50">
        <f t="shared" si="105"/>
        <v>1.3487398642594253</v>
      </c>
      <c r="X134" s="50">
        <f>M134/AB134</f>
        <v>3.2587786650269637E-2</v>
      </c>
      <c r="Y134" s="44">
        <v>1.33</v>
      </c>
      <c r="Z134" s="44">
        <v>1.36</v>
      </c>
      <c r="AA134" s="51">
        <v>9472</v>
      </c>
      <c r="AB134" s="145">
        <v>1221483153.71</v>
      </c>
      <c r="AC134" s="132"/>
    </row>
    <row r="135" spans="1:257" ht="15.75" customHeight="1">
      <c r="A135" s="217">
        <v>116</v>
      </c>
      <c r="B135" s="82" t="s">
        <v>36</v>
      </c>
      <c r="C135" s="82" t="s">
        <v>146</v>
      </c>
      <c r="D135" s="44">
        <v>169039694.5</v>
      </c>
      <c r="E135" s="44"/>
      <c r="F135" s="44"/>
      <c r="G135" s="44">
        <v>151300705.69</v>
      </c>
      <c r="H135" s="45">
        <v>1123271.8999999999</v>
      </c>
      <c r="I135" s="44"/>
      <c r="J135" s="44">
        <v>419481650.24000001</v>
      </c>
      <c r="K135" s="44">
        <v>5276309.75</v>
      </c>
      <c r="L135" s="45">
        <v>2326220.9300000002</v>
      </c>
      <c r="M135" s="193">
        <v>11031582.43</v>
      </c>
      <c r="N135" s="44">
        <v>438732840</v>
      </c>
      <c r="O135" s="44">
        <v>180168</v>
      </c>
      <c r="P135" s="54">
        <v>412355630</v>
      </c>
      <c r="Q135" s="47">
        <f t="shared" si="107"/>
        <v>0.15941259134016744</v>
      </c>
      <c r="R135" s="54">
        <v>438552672</v>
      </c>
      <c r="S135" s="47">
        <f t="shared" ref="S135" si="108">(R135/$R$136)</f>
        <v>0.16500876273789619</v>
      </c>
      <c r="T135" s="48">
        <f t="shared" si="102"/>
        <v>6.353021541139138E-2</v>
      </c>
      <c r="U135" s="84">
        <f t="shared" si="103"/>
        <v>5.3043136629207449E-3</v>
      </c>
      <c r="V135" s="49">
        <f t="shared" si="104"/>
        <v>2.5154521074266765E-2</v>
      </c>
      <c r="W135" s="50">
        <f t="shared" si="105"/>
        <v>35.217578503684031</v>
      </c>
      <c r="X135" s="50">
        <f t="shared" si="106"/>
        <v>0.88588132065556413</v>
      </c>
      <c r="Y135" s="44">
        <v>39.961500000000001</v>
      </c>
      <c r="Z135" s="44">
        <v>41.166400000000003</v>
      </c>
      <c r="AA135" s="51">
        <v>2103</v>
      </c>
      <c r="AB135" s="145">
        <v>12452664</v>
      </c>
      <c r="AC135" s="132"/>
    </row>
    <row r="136" spans="1:257" ht="15" customHeight="1">
      <c r="A136" s="143"/>
      <c r="B136" s="117"/>
      <c r="C136" s="106" t="s">
        <v>53</v>
      </c>
      <c r="D136" s="60">
        <f>SUM(D133:D135)</f>
        <v>1740363811.5</v>
      </c>
      <c r="E136" s="60"/>
      <c r="F136" s="60">
        <f t="shared" ref="F136:H136" si="109">SUM(F133:F135)</f>
        <v>379831136.58999997</v>
      </c>
      <c r="G136" s="60">
        <f t="shared" si="109"/>
        <v>405311861.07999998</v>
      </c>
      <c r="H136" s="60">
        <f t="shared" si="109"/>
        <v>1123271.8999999999</v>
      </c>
      <c r="I136" s="60"/>
      <c r="J136" s="60">
        <f t="shared" ref="J136" si="110">SUM(J133:J135)</f>
        <v>2624648059.2200003</v>
      </c>
      <c r="K136" s="60">
        <f t="shared" ref="K136" si="111">SUM(K133:K135)</f>
        <v>12279695.09</v>
      </c>
      <c r="L136" s="60">
        <f t="shared" ref="L136" si="112">SUM(L133:L135)</f>
        <v>11634439.710000001</v>
      </c>
      <c r="M136" s="60">
        <f t="shared" ref="M136:N136" si="113">SUM(M133:M135)</f>
        <v>59262128.299999997</v>
      </c>
      <c r="N136" s="60">
        <f t="shared" si="113"/>
        <v>2683401782.6900001</v>
      </c>
      <c r="O136" s="60">
        <f t="shared" ref="O136" si="114">SUM(O133:O135)</f>
        <v>25647947.539999999</v>
      </c>
      <c r="P136" s="61">
        <f>SUM(P133:P135)</f>
        <v>2586719320.8099999</v>
      </c>
      <c r="Q136" s="118">
        <f>(P136/$P$149)</f>
        <v>1.9466567925423973E-3</v>
      </c>
      <c r="R136" s="61">
        <f>SUM(R133:R135)</f>
        <v>2657753835.1500001</v>
      </c>
      <c r="S136" s="118">
        <f>(R136/$R$149)</f>
        <v>1.9184982948995415E-3</v>
      </c>
      <c r="T136" s="62">
        <f t="shared" si="102"/>
        <v>2.7461237780431684E-2</v>
      </c>
      <c r="U136" s="76"/>
      <c r="V136" s="63"/>
      <c r="W136" s="64"/>
      <c r="X136" s="64"/>
      <c r="Y136" s="60"/>
      <c r="Z136" s="60"/>
      <c r="AA136" s="65">
        <f>SUM(AA133:AA135)</f>
        <v>13110</v>
      </c>
      <c r="AB136" s="156"/>
      <c r="AC136" s="132"/>
      <c r="AD136" s="31"/>
      <c r="AE136" s="31"/>
      <c r="AF136" s="31"/>
      <c r="AG136" s="31"/>
      <c r="AH136" s="31"/>
      <c r="AI136" s="31"/>
      <c r="AJ136" s="31"/>
      <c r="AK136" s="31"/>
      <c r="AL136" s="31"/>
      <c r="AM136" s="31"/>
      <c r="AN136" s="31"/>
      <c r="AO136" s="31"/>
      <c r="AP136" s="31"/>
      <c r="AQ136" s="31"/>
      <c r="AR136" s="31"/>
      <c r="AS136" s="31"/>
      <c r="AT136" s="31"/>
      <c r="AU136" s="31"/>
      <c r="AV136" s="31"/>
      <c r="AW136" s="31"/>
      <c r="AX136" s="31"/>
      <c r="AY136" s="31"/>
      <c r="AZ136" s="31"/>
      <c r="BA136" s="31"/>
      <c r="BB136" s="31"/>
      <c r="BC136" s="31"/>
      <c r="BD136" s="31"/>
      <c r="BE136" s="31"/>
      <c r="BF136" s="31"/>
      <c r="BG136" s="31"/>
      <c r="BH136" s="31"/>
      <c r="BI136" s="31"/>
      <c r="BJ136" s="31"/>
      <c r="BK136" s="31"/>
      <c r="BL136" s="31"/>
      <c r="BM136" s="31"/>
      <c r="BN136" s="31"/>
      <c r="BO136" s="31"/>
      <c r="BP136" s="31"/>
      <c r="BQ136" s="31"/>
      <c r="BR136" s="31"/>
      <c r="BS136" s="31"/>
      <c r="BT136" s="31"/>
      <c r="BU136" s="31"/>
      <c r="BV136" s="31"/>
      <c r="BW136" s="31"/>
      <c r="BX136" s="31"/>
      <c r="BY136" s="31"/>
      <c r="BZ136" s="31"/>
      <c r="CA136" s="31"/>
      <c r="CB136" s="31"/>
      <c r="CC136" s="31"/>
      <c r="CD136" s="31"/>
      <c r="CE136" s="31"/>
      <c r="CF136" s="31"/>
      <c r="CG136" s="31"/>
      <c r="CH136" s="31"/>
      <c r="CI136" s="31"/>
      <c r="CJ136" s="31"/>
      <c r="CK136" s="31"/>
      <c r="CL136" s="31"/>
      <c r="CM136" s="31"/>
      <c r="CN136" s="31"/>
      <c r="CO136" s="31"/>
      <c r="CP136" s="31"/>
      <c r="CQ136" s="31"/>
      <c r="CR136" s="31"/>
      <c r="CS136" s="31"/>
      <c r="CT136" s="31"/>
      <c r="CU136" s="31"/>
      <c r="CV136" s="31"/>
      <c r="CW136" s="31"/>
      <c r="CX136" s="31"/>
      <c r="CY136" s="31"/>
      <c r="CZ136" s="31"/>
      <c r="DA136" s="31"/>
      <c r="DB136" s="31"/>
      <c r="DC136" s="31"/>
      <c r="DD136" s="31"/>
      <c r="DE136" s="31"/>
      <c r="DF136" s="31"/>
      <c r="DG136" s="31"/>
      <c r="DH136" s="31"/>
      <c r="DI136" s="31"/>
      <c r="DJ136" s="31"/>
      <c r="DK136" s="31"/>
      <c r="DL136" s="31"/>
      <c r="DM136" s="31"/>
      <c r="DN136" s="31"/>
      <c r="DO136" s="31"/>
      <c r="DP136" s="31"/>
      <c r="DQ136" s="31"/>
      <c r="DR136" s="31"/>
      <c r="DS136" s="31"/>
      <c r="DT136" s="31"/>
      <c r="DU136" s="31"/>
      <c r="DV136" s="31"/>
      <c r="DW136" s="31"/>
      <c r="DX136" s="31"/>
      <c r="DY136" s="31"/>
      <c r="DZ136" s="31"/>
      <c r="EA136" s="31"/>
      <c r="EB136" s="31"/>
      <c r="EC136" s="31"/>
      <c r="ED136" s="31"/>
      <c r="EE136" s="31"/>
      <c r="EF136" s="31"/>
      <c r="EG136" s="31"/>
      <c r="EH136" s="31"/>
      <c r="EI136" s="31"/>
      <c r="EJ136" s="31"/>
      <c r="EK136" s="31"/>
      <c r="EL136" s="31"/>
      <c r="EM136" s="31"/>
      <c r="EN136" s="31"/>
      <c r="EO136" s="31"/>
      <c r="EP136" s="31"/>
      <c r="EQ136" s="31"/>
      <c r="ER136" s="31"/>
      <c r="ES136" s="31"/>
      <c r="ET136" s="31"/>
      <c r="EU136" s="31"/>
      <c r="EV136" s="31"/>
      <c r="EW136" s="31"/>
      <c r="EX136" s="31"/>
      <c r="EY136" s="31"/>
      <c r="EZ136" s="31"/>
      <c r="FA136" s="31"/>
      <c r="FB136" s="31"/>
      <c r="FC136" s="31"/>
      <c r="FD136" s="31"/>
      <c r="FE136" s="31"/>
      <c r="FF136" s="31"/>
      <c r="FG136" s="31"/>
      <c r="FH136" s="31"/>
      <c r="FI136" s="31"/>
      <c r="FJ136" s="31"/>
      <c r="FK136" s="31"/>
      <c r="FL136" s="31"/>
      <c r="FM136" s="31"/>
      <c r="FN136" s="31"/>
      <c r="FO136" s="31"/>
      <c r="FP136" s="31"/>
      <c r="FQ136" s="31"/>
      <c r="FR136" s="31"/>
      <c r="FS136" s="31"/>
      <c r="FT136" s="31"/>
      <c r="FU136" s="31"/>
      <c r="FV136" s="31"/>
      <c r="FW136" s="31"/>
      <c r="FX136" s="31"/>
      <c r="FY136" s="31"/>
      <c r="FZ136" s="31"/>
      <c r="GA136" s="31"/>
      <c r="GB136" s="31"/>
      <c r="GC136" s="31"/>
      <c r="GD136" s="31"/>
      <c r="GE136" s="31"/>
      <c r="GF136" s="31"/>
      <c r="GG136" s="31"/>
      <c r="GH136" s="31"/>
      <c r="GI136" s="31"/>
      <c r="GJ136" s="31"/>
      <c r="GK136" s="31"/>
      <c r="GL136" s="31"/>
      <c r="GM136" s="31"/>
      <c r="GN136" s="31"/>
      <c r="GO136" s="31"/>
      <c r="GP136" s="31"/>
      <c r="GQ136" s="31"/>
      <c r="GR136" s="31"/>
      <c r="GS136" s="31"/>
      <c r="GT136" s="31"/>
      <c r="GU136" s="31"/>
      <c r="GV136" s="31"/>
      <c r="GW136" s="31"/>
      <c r="GX136" s="31"/>
      <c r="GY136" s="31"/>
      <c r="GZ136" s="31"/>
      <c r="HA136" s="31"/>
      <c r="HB136" s="31"/>
      <c r="HC136" s="31"/>
      <c r="HD136" s="31"/>
      <c r="HE136" s="31"/>
      <c r="HF136" s="31"/>
      <c r="HG136" s="31"/>
      <c r="HH136" s="31"/>
      <c r="HI136" s="31"/>
      <c r="HJ136" s="31"/>
      <c r="HK136" s="31"/>
      <c r="HL136" s="31"/>
      <c r="HM136" s="31"/>
      <c r="HN136" s="31"/>
      <c r="HO136" s="31"/>
      <c r="HP136" s="31"/>
      <c r="HQ136" s="31"/>
      <c r="HR136" s="31"/>
      <c r="HS136" s="31"/>
      <c r="HT136" s="31"/>
      <c r="HU136" s="31"/>
      <c r="HV136" s="31"/>
      <c r="HW136" s="31"/>
      <c r="HX136" s="31"/>
      <c r="HY136" s="31"/>
      <c r="HZ136" s="31"/>
      <c r="IA136" s="31"/>
      <c r="IB136" s="31"/>
      <c r="IC136" s="31"/>
      <c r="ID136" s="31"/>
      <c r="IE136" s="31"/>
      <c r="IF136" s="31"/>
      <c r="IG136" s="31"/>
      <c r="IH136" s="31"/>
      <c r="II136" s="31"/>
      <c r="IJ136" s="31"/>
      <c r="IK136" s="31"/>
      <c r="IL136" s="31"/>
      <c r="IM136" s="31"/>
      <c r="IN136" s="31"/>
      <c r="IO136" s="31"/>
      <c r="IP136" s="31"/>
      <c r="IQ136" s="31"/>
      <c r="IR136" s="31"/>
      <c r="IS136" s="31"/>
      <c r="IT136" s="31"/>
      <c r="IU136" s="31"/>
      <c r="IV136" s="31"/>
      <c r="IW136" s="31"/>
    </row>
    <row r="137" spans="1:257" ht="15.75" customHeight="1">
      <c r="A137" s="232" t="s">
        <v>186</v>
      </c>
      <c r="B137" s="233"/>
      <c r="C137" s="233"/>
      <c r="D137" s="233"/>
      <c r="E137" s="233"/>
      <c r="F137" s="233"/>
      <c r="G137" s="233"/>
      <c r="H137" s="233"/>
      <c r="I137" s="233"/>
      <c r="J137" s="233"/>
      <c r="K137" s="233"/>
      <c r="L137" s="233"/>
      <c r="M137" s="233"/>
      <c r="N137" s="233"/>
      <c r="O137" s="233"/>
      <c r="P137" s="233"/>
      <c r="Q137" s="233"/>
      <c r="R137" s="233"/>
      <c r="S137" s="233"/>
      <c r="T137" s="48"/>
      <c r="U137" s="233"/>
      <c r="V137" s="233"/>
      <c r="W137" s="233"/>
      <c r="X137" s="233"/>
      <c r="Y137" s="233"/>
      <c r="Z137" s="233"/>
      <c r="AA137" s="233"/>
      <c r="AB137" s="237"/>
      <c r="AC137" s="132"/>
      <c r="AD137" s="31"/>
      <c r="AE137" s="31"/>
      <c r="AF137" s="31"/>
      <c r="AG137" s="31"/>
      <c r="AH137" s="31"/>
      <c r="AI137" s="31"/>
      <c r="AJ137" s="31"/>
      <c r="AK137" s="31"/>
      <c r="AL137" s="31"/>
      <c r="AM137" s="31"/>
      <c r="AN137" s="31"/>
      <c r="AO137" s="31"/>
      <c r="AP137" s="31"/>
      <c r="AQ137" s="31"/>
      <c r="AR137" s="31"/>
      <c r="AS137" s="31"/>
      <c r="AT137" s="31"/>
      <c r="AU137" s="31"/>
      <c r="AV137" s="31"/>
      <c r="AW137" s="31"/>
      <c r="AX137" s="31"/>
      <c r="AY137" s="31"/>
      <c r="AZ137" s="31"/>
      <c r="BA137" s="31"/>
      <c r="BB137" s="31"/>
      <c r="BC137" s="31"/>
      <c r="BD137" s="31"/>
      <c r="BE137" s="31"/>
      <c r="BF137" s="31"/>
      <c r="BG137" s="31"/>
      <c r="BH137" s="31"/>
      <c r="BI137" s="31"/>
      <c r="BJ137" s="31"/>
      <c r="BK137" s="31"/>
      <c r="BL137" s="31"/>
      <c r="BM137" s="31"/>
      <c r="BN137" s="31"/>
      <c r="BO137" s="31"/>
      <c r="BP137" s="31"/>
      <c r="BQ137" s="31"/>
      <c r="BR137" s="31"/>
      <c r="BS137" s="31"/>
      <c r="BT137" s="31"/>
      <c r="BU137" s="31"/>
      <c r="BV137" s="31"/>
      <c r="BW137" s="31"/>
      <c r="BX137" s="31"/>
      <c r="BY137" s="31"/>
      <c r="BZ137" s="31"/>
      <c r="CA137" s="31"/>
      <c r="CB137" s="31"/>
      <c r="CC137" s="31"/>
      <c r="CD137" s="31"/>
      <c r="CE137" s="31"/>
      <c r="CF137" s="31"/>
      <c r="CG137" s="31"/>
      <c r="CH137" s="31"/>
      <c r="CI137" s="31"/>
      <c r="CJ137" s="31"/>
      <c r="CK137" s="31"/>
      <c r="CL137" s="31"/>
      <c r="CM137" s="31"/>
      <c r="CN137" s="31"/>
      <c r="CO137" s="31"/>
      <c r="CP137" s="31"/>
      <c r="CQ137" s="31"/>
      <c r="CR137" s="31"/>
      <c r="CS137" s="31"/>
      <c r="CT137" s="31"/>
      <c r="CU137" s="31"/>
      <c r="CV137" s="31"/>
      <c r="CW137" s="31"/>
      <c r="CX137" s="31"/>
      <c r="CY137" s="31"/>
      <c r="CZ137" s="31"/>
      <c r="DA137" s="31"/>
      <c r="DB137" s="31"/>
      <c r="DC137" s="31"/>
      <c r="DD137" s="31"/>
      <c r="DE137" s="31"/>
      <c r="DF137" s="31"/>
      <c r="DG137" s="31"/>
      <c r="DH137" s="31"/>
      <c r="DI137" s="31"/>
      <c r="DJ137" s="31"/>
      <c r="DK137" s="31"/>
      <c r="DL137" s="31"/>
      <c r="DM137" s="31"/>
      <c r="DN137" s="31"/>
      <c r="DO137" s="31"/>
      <c r="DP137" s="31"/>
      <c r="DQ137" s="31"/>
      <c r="DR137" s="31"/>
      <c r="DS137" s="31"/>
      <c r="DT137" s="31"/>
      <c r="DU137" s="31"/>
      <c r="DV137" s="31"/>
      <c r="DW137" s="31"/>
      <c r="DX137" s="31"/>
      <c r="DY137" s="31"/>
      <c r="DZ137" s="31"/>
      <c r="EA137" s="31"/>
      <c r="EB137" s="31"/>
      <c r="EC137" s="31"/>
      <c r="ED137" s="31"/>
      <c r="EE137" s="31"/>
      <c r="EF137" s="31"/>
      <c r="EG137" s="31"/>
      <c r="EH137" s="31"/>
      <c r="EI137" s="31"/>
      <c r="EJ137" s="31"/>
      <c r="EK137" s="31"/>
      <c r="EL137" s="31"/>
      <c r="EM137" s="31"/>
      <c r="EN137" s="31"/>
      <c r="EO137" s="31"/>
      <c r="EP137" s="31"/>
      <c r="EQ137" s="31"/>
      <c r="ER137" s="31"/>
      <c r="ES137" s="31"/>
      <c r="ET137" s="31"/>
      <c r="EU137" s="31"/>
      <c r="EV137" s="31"/>
      <c r="EW137" s="31"/>
      <c r="EX137" s="31"/>
      <c r="EY137" s="31"/>
      <c r="EZ137" s="31"/>
      <c r="FA137" s="31"/>
      <c r="FB137" s="31"/>
      <c r="FC137" s="31"/>
      <c r="FD137" s="31"/>
      <c r="FE137" s="31"/>
      <c r="FF137" s="31"/>
      <c r="FG137" s="31"/>
      <c r="FH137" s="31"/>
      <c r="FI137" s="31"/>
      <c r="FJ137" s="31"/>
      <c r="FK137" s="31"/>
      <c r="FL137" s="31"/>
      <c r="FM137" s="31"/>
      <c r="FN137" s="31"/>
      <c r="FO137" s="31"/>
      <c r="FP137" s="31"/>
      <c r="FQ137" s="31"/>
      <c r="FR137" s="31"/>
      <c r="FS137" s="31"/>
      <c r="FT137" s="31"/>
      <c r="FU137" s="31"/>
      <c r="FV137" s="31"/>
      <c r="FW137" s="31"/>
      <c r="FX137" s="31"/>
      <c r="FY137" s="31"/>
      <c r="FZ137" s="31"/>
      <c r="GA137" s="31"/>
      <c r="GB137" s="31"/>
      <c r="GC137" s="31"/>
      <c r="GD137" s="31"/>
      <c r="GE137" s="31"/>
      <c r="GF137" s="31"/>
      <c r="GG137" s="31"/>
      <c r="GH137" s="31"/>
      <c r="GI137" s="31"/>
      <c r="GJ137" s="31"/>
      <c r="GK137" s="31"/>
      <c r="GL137" s="31"/>
      <c r="GM137" s="31"/>
      <c r="GN137" s="31"/>
      <c r="GO137" s="31"/>
      <c r="GP137" s="31"/>
      <c r="GQ137" s="31"/>
      <c r="GR137" s="31"/>
      <c r="GS137" s="31"/>
      <c r="GT137" s="31"/>
      <c r="GU137" s="31"/>
      <c r="GV137" s="31"/>
      <c r="GW137" s="31"/>
      <c r="GX137" s="31"/>
      <c r="GY137" s="31"/>
      <c r="GZ137" s="31"/>
      <c r="HA137" s="31"/>
      <c r="HB137" s="31"/>
      <c r="HC137" s="31"/>
      <c r="HD137" s="31"/>
      <c r="HE137" s="31"/>
      <c r="HF137" s="31"/>
      <c r="HG137" s="31"/>
      <c r="HH137" s="31"/>
      <c r="HI137" s="31"/>
      <c r="HJ137" s="31"/>
      <c r="HK137" s="31"/>
      <c r="HL137" s="31"/>
      <c r="HM137" s="31"/>
      <c r="HN137" s="31"/>
      <c r="HO137" s="31"/>
      <c r="HP137" s="31"/>
      <c r="HQ137" s="31"/>
      <c r="HR137" s="31"/>
      <c r="HS137" s="31"/>
      <c r="HT137" s="31"/>
      <c r="HU137" s="31"/>
      <c r="HV137" s="31"/>
      <c r="HW137" s="31"/>
      <c r="HX137" s="31"/>
      <c r="HY137" s="31"/>
      <c r="HZ137" s="31"/>
      <c r="IA137" s="31"/>
      <c r="IB137" s="31"/>
      <c r="IC137" s="31"/>
      <c r="ID137" s="31"/>
      <c r="IE137" s="31"/>
      <c r="IF137" s="31"/>
      <c r="IG137" s="31"/>
      <c r="IH137" s="31"/>
      <c r="II137" s="31"/>
      <c r="IJ137" s="31"/>
      <c r="IK137" s="31"/>
      <c r="IL137" s="31"/>
      <c r="IM137" s="31"/>
      <c r="IN137" s="31"/>
      <c r="IO137" s="31"/>
      <c r="IP137" s="31"/>
      <c r="IQ137" s="31"/>
      <c r="IR137" s="31"/>
      <c r="IS137" s="31"/>
      <c r="IT137" s="31"/>
      <c r="IU137" s="31"/>
      <c r="IV137" s="31"/>
      <c r="IW137" s="31"/>
    </row>
    <row r="138" spans="1:257" ht="15.75" customHeight="1">
      <c r="A138" s="238" t="s">
        <v>187</v>
      </c>
      <c r="B138" s="239"/>
      <c r="C138" s="239"/>
      <c r="D138" s="139"/>
      <c r="E138" s="139"/>
      <c r="F138" s="139"/>
      <c r="G138" s="139"/>
      <c r="H138" s="139"/>
      <c r="I138" s="139"/>
      <c r="J138" s="139"/>
      <c r="K138" s="139"/>
      <c r="L138" s="123"/>
      <c r="M138" s="212"/>
      <c r="N138" s="123"/>
      <c r="O138" s="128"/>
      <c r="P138" s="123"/>
      <c r="Q138" s="124"/>
      <c r="R138" s="123"/>
      <c r="S138" s="124"/>
      <c r="T138" s="124"/>
      <c r="U138" s="129"/>
      <c r="V138" s="126"/>
      <c r="W138" s="127"/>
      <c r="X138" s="127"/>
      <c r="Y138" s="123"/>
      <c r="Z138" s="123"/>
      <c r="AA138" s="130"/>
      <c r="AB138" s="153"/>
      <c r="AC138" s="132"/>
      <c r="AD138" s="31"/>
      <c r="AE138" s="31"/>
      <c r="AF138" s="31"/>
      <c r="AG138" s="31"/>
      <c r="AH138" s="31"/>
      <c r="AI138" s="31"/>
      <c r="AJ138" s="31"/>
      <c r="AK138" s="31"/>
      <c r="AL138" s="31"/>
      <c r="AM138" s="31"/>
      <c r="AN138" s="31"/>
      <c r="AO138" s="31"/>
      <c r="AP138" s="31"/>
      <c r="AQ138" s="31"/>
      <c r="AR138" s="31"/>
      <c r="AS138" s="31"/>
      <c r="AT138" s="31"/>
      <c r="AU138" s="31"/>
      <c r="AV138" s="31"/>
      <c r="AW138" s="31"/>
      <c r="AX138" s="31"/>
      <c r="AY138" s="31"/>
      <c r="AZ138" s="31"/>
      <c r="BA138" s="31"/>
      <c r="BB138" s="31"/>
      <c r="BC138" s="31"/>
      <c r="BD138" s="31"/>
      <c r="BE138" s="31"/>
      <c r="BF138" s="31"/>
      <c r="BG138" s="31"/>
      <c r="BH138" s="31"/>
      <c r="BI138" s="31"/>
      <c r="BJ138" s="31"/>
      <c r="BK138" s="31"/>
      <c r="BL138" s="31"/>
      <c r="BM138" s="31"/>
      <c r="BN138" s="31"/>
      <c r="BO138" s="31"/>
      <c r="BP138" s="31"/>
      <c r="BQ138" s="31"/>
      <c r="BR138" s="31"/>
      <c r="BS138" s="31"/>
      <c r="BT138" s="31"/>
      <c r="BU138" s="31"/>
      <c r="BV138" s="31"/>
      <c r="BW138" s="31"/>
      <c r="BX138" s="31"/>
      <c r="BY138" s="31"/>
      <c r="BZ138" s="31"/>
      <c r="CA138" s="31"/>
      <c r="CB138" s="31"/>
      <c r="CC138" s="31"/>
      <c r="CD138" s="31"/>
      <c r="CE138" s="31"/>
      <c r="CF138" s="31"/>
      <c r="CG138" s="31"/>
      <c r="CH138" s="31"/>
      <c r="CI138" s="31"/>
      <c r="CJ138" s="31"/>
      <c r="CK138" s="31"/>
      <c r="CL138" s="31"/>
      <c r="CM138" s="31"/>
      <c r="CN138" s="31"/>
      <c r="CO138" s="31"/>
      <c r="CP138" s="31"/>
      <c r="CQ138" s="31"/>
      <c r="CR138" s="31"/>
      <c r="CS138" s="31"/>
      <c r="CT138" s="31"/>
      <c r="CU138" s="31"/>
      <c r="CV138" s="31"/>
      <c r="CW138" s="31"/>
      <c r="CX138" s="31"/>
      <c r="CY138" s="31"/>
      <c r="CZ138" s="31"/>
      <c r="DA138" s="31"/>
      <c r="DB138" s="31"/>
      <c r="DC138" s="31"/>
      <c r="DD138" s="31"/>
      <c r="DE138" s="31"/>
      <c r="DF138" s="31"/>
      <c r="DG138" s="31"/>
      <c r="DH138" s="31"/>
      <c r="DI138" s="31"/>
      <c r="DJ138" s="31"/>
      <c r="DK138" s="31"/>
      <c r="DL138" s="31"/>
      <c r="DM138" s="31"/>
      <c r="DN138" s="31"/>
      <c r="DO138" s="31"/>
      <c r="DP138" s="31"/>
      <c r="DQ138" s="31"/>
      <c r="DR138" s="31"/>
      <c r="DS138" s="31"/>
      <c r="DT138" s="31"/>
      <c r="DU138" s="31"/>
      <c r="DV138" s="31"/>
      <c r="DW138" s="31"/>
      <c r="DX138" s="31"/>
      <c r="DY138" s="31"/>
      <c r="DZ138" s="31"/>
      <c r="EA138" s="31"/>
      <c r="EB138" s="31"/>
      <c r="EC138" s="31"/>
      <c r="ED138" s="31"/>
      <c r="EE138" s="31"/>
      <c r="EF138" s="31"/>
      <c r="EG138" s="31"/>
      <c r="EH138" s="31"/>
      <c r="EI138" s="31"/>
      <c r="EJ138" s="31"/>
      <c r="EK138" s="31"/>
      <c r="EL138" s="31"/>
      <c r="EM138" s="31"/>
      <c r="EN138" s="31"/>
      <c r="EO138" s="31"/>
      <c r="EP138" s="31"/>
      <c r="EQ138" s="31"/>
      <c r="ER138" s="31"/>
      <c r="ES138" s="31"/>
      <c r="ET138" s="31"/>
      <c r="EU138" s="31"/>
      <c r="EV138" s="31"/>
      <c r="EW138" s="31"/>
      <c r="EX138" s="31"/>
      <c r="EY138" s="31"/>
      <c r="EZ138" s="31"/>
      <c r="FA138" s="31"/>
      <c r="FB138" s="31"/>
      <c r="FC138" s="31"/>
      <c r="FD138" s="31"/>
      <c r="FE138" s="31"/>
      <c r="FF138" s="31"/>
      <c r="FG138" s="31"/>
      <c r="FH138" s="31"/>
      <c r="FI138" s="31"/>
      <c r="FJ138" s="31"/>
      <c r="FK138" s="31"/>
      <c r="FL138" s="31"/>
      <c r="FM138" s="31"/>
      <c r="FN138" s="31"/>
      <c r="FO138" s="31"/>
      <c r="FP138" s="31"/>
      <c r="FQ138" s="31"/>
      <c r="FR138" s="31"/>
      <c r="FS138" s="31"/>
      <c r="FT138" s="31"/>
      <c r="FU138" s="31"/>
      <c r="FV138" s="31"/>
      <c r="FW138" s="31"/>
      <c r="FX138" s="31"/>
      <c r="FY138" s="31"/>
      <c r="FZ138" s="31"/>
      <c r="GA138" s="31"/>
      <c r="GB138" s="31"/>
      <c r="GC138" s="31"/>
      <c r="GD138" s="31"/>
      <c r="GE138" s="31"/>
      <c r="GF138" s="31"/>
      <c r="GG138" s="31"/>
      <c r="GH138" s="31"/>
      <c r="GI138" s="31"/>
      <c r="GJ138" s="31"/>
      <c r="GK138" s="31"/>
      <c r="GL138" s="31"/>
      <c r="GM138" s="31"/>
      <c r="GN138" s="31"/>
      <c r="GO138" s="31"/>
      <c r="GP138" s="31"/>
      <c r="GQ138" s="31"/>
      <c r="GR138" s="31"/>
      <c r="GS138" s="31"/>
      <c r="GT138" s="31"/>
      <c r="GU138" s="31"/>
      <c r="GV138" s="31"/>
      <c r="GW138" s="31"/>
      <c r="GX138" s="31"/>
      <c r="GY138" s="31"/>
      <c r="GZ138" s="31"/>
      <c r="HA138" s="31"/>
      <c r="HB138" s="31"/>
      <c r="HC138" s="31"/>
      <c r="HD138" s="31"/>
      <c r="HE138" s="31"/>
      <c r="HF138" s="31"/>
      <c r="HG138" s="31"/>
      <c r="HH138" s="31"/>
      <c r="HI138" s="31"/>
      <c r="HJ138" s="31"/>
      <c r="HK138" s="31"/>
      <c r="HL138" s="31"/>
      <c r="HM138" s="31"/>
      <c r="HN138" s="31"/>
      <c r="HO138" s="31"/>
      <c r="HP138" s="31"/>
      <c r="HQ138" s="31"/>
      <c r="HR138" s="31"/>
      <c r="HS138" s="31"/>
      <c r="HT138" s="31"/>
      <c r="HU138" s="31"/>
      <c r="HV138" s="31"/>
      <c r="HW138" s="31"/>
      <c r="HX138" s="31"/>
      <c r="HY138" s="31"/>
      <c r="HZ138" s="31"/>
      <c r="IA138" s="31"/>
      <c r="IB138" s="31"/>
      <c r="IC138" s="31"/>
      <c r="ID138" s="31"/>
      <c r="IE138" s="31"/>
      <c r="IF138" s="31"/>
      <c r="IG138" s="31"/>
      <c r="IH138" s="31"/>
      <c r="II138" s="31"/>
      <c r="IJ138" s="31"/>
      <c r="IK138" s="31"/>
      <c r="IL138" s="31"/>
      <c r="IM138" s="31"/>
      <c r="IN138" s="31"/>
      <c r="IO138" s="31"/>
      <c r="IP138" s="31"/>
      <c r="IQ138" s="31"/>
      <c r="IR138" s="31"/>
      <c r="IS138" s="31"/>
      <c r="IT138" s="31"/>
      <c r="IU138" s="31"/>
      <c r="IV138" s="31"/>
      <c r="IW138" s="31"/>
    </row>
    <row r="139" spans="1:257" ht="15.75" customHeight="1">
      <c r="A139" s="217">
        <v>117</v>
      </c>
      <c r="B139" s="83" t="s">
        <v>109</v>
      </c>
      <c r="C139" s="82" t="s">
        <v>168</v>
      </c>
      <c r="D139" s="45">
        <v>1245288708.25</v>
      </c>
      <c r="E139" s="178"/>
      <c r="F139" s="45"/>
      <c r="G139" s="44">
        <v>754683543.15999997</v>
      </c>
      <c r="H139" s="44"/>
      <c r="I139" s="45"/>
      <c r="J139" s="224">
        <v>3029888713.52</v>
      </c>
      <c r="K139" s="52">
        <v>48078236.539999999</v>
      </c>
      <c r="L139" s="45">
        <v>619339.46</v>
      </c>
      <c r="M139" s="193">
        <v>67048307.670000002</v>
      </c>
      <c r="N139" s="45">
        <v>3250724635.54</v>
      </c>
      <c r="O139" s="45">
        <v>185082020.25999999</v>
      </c>
      <c r="P139" s="46">
        <v>3054118610.27</v>
      </c>
      <c r="Q139" s="47">
        <f>(P139/$P$148)</f>
        <v>0.16643651343161714</v>
      </c>
      <c r="R139" s="46">
        <v>3065642615.2800002</v>
      </c>
      <c r="S139" s="47">
        <f>(R139/$R$148)</f>
        <v>0.16550395655957428</v>
      </c>
      <c r="T139" s="48">
        <f>((R139-P139)/P139)</f>
        <v>3.7732670143355851E-3</v>
      </c>
      <c r="U139" s="84">
        <f>(L139/R139)</f>
        <v>2.0202598206100179E-4</v>
      </c>
      <c r="V139" s="49">
        <f>M139/R139</f>
        <v>2.1870881927271275E-2</v>
      </c>
      <c r="W139" s="50">
        <f>R139/AB139</f>
        <v>1.5534049870237787</v>
      </c>
      <c r="X139" s="50">
        <f>M139/AB139</f>
        <v>3.3974337056431429E-2</v>
      </c>
      <c r="Y139" s="52">
        <v>1.54</v>
      </c>
      <c r="Z139" s="52">
        <v>1.56</v>
      </c>
      <c r="AA139" s="55">
        <v>15081</v>
      </c>
      <c r="AB139" s="152">
        <v>1973498631</v>
      </c>
      <c r="AC139" s="132"/>
      <c r="AD139" s="31"/>
      <c r="AE139" s="31"/>
      <c r="AF139" s="31"/>
      <c r="AG139" s="31"/>
      <c r="AH139" s="31"/>
      <c r="AI139" s="31"/>
      <c r="AJ139" s="31"/>
      <c r="AK139" s="31"/>
      <c r="AL139" s="31"/>
      <c r="AM139" s="31"/>
      <c r="AN139" s="31"/>
      <c r="AO139" s="31"/>
      <c r="AP139" s="31"/>
      <c r="AQ139" s="31"/>
      <c r="AR139" s="31"/>
      <c r="AS139" s="31"/>
      <c r="AT139" s="31"/>
      <c r="AU139" s="31"/>
      <c r="AV139" s="31"/>
      <c r="AW139" s="31"/>
      <c r="AX139" s="31"/>
      <c r="AY139" s="31"/>
      <c r="AZ139" s="31"/>
      <c r="BA139" s="31"/>
      <c r="BB139" s="31"/>
      <c r="BC139" s="31"/>
      <c r="BD139" s="31"/>
      <c r="BE139" s="31"/>
      <c r="BF139" s="31"/>
      <c r="BG139" s="31"/>
      <c r="BH139" s="31"/>
      <c r="BI139" s="31"/>
      <c r="BJ139" s="31"/>
      <c r="BK139" s="31"/>
      <c r="BL139" s="31"/>
      <c r="BM139" s="31"/>
      <c r="BN139" s="31"/>
      <c r="BO139" s="31"/>
      <c r="BP139" s="31"/>
      <c r="BQ139" s="31"/>
      <c r="BR139" s="31"/>
      <c r="BS139" s="31"/>
      <c r="BT139" s="31"/>
      <c r="BU139" s="31"/>
      <c r="BV139" s="31"/>
      <c r="BW139" s="31"/>
      <c r="BX139" s="31"/>
      <c r="BY139" s="31"/>
      <c r="BZ139" s="31"/>
      <c r="CA139" s="31"/>
      <c r="CB139" s="31"/>
      <c r="CC139" s="31"/>
      <c r="CD139" s="31"/>
      <c r="CE139" s="31"/>
      <c r="CF139" s="31"/>
      <c r="CG139" s="31"/>
      <c r="CH139" s="31"/>
      <c r="CI139" s="31"/>
      <c r="CJ139" s="31"/>
      <c r="CK139" s="31"/>
      <c r="CL139" s="31"/>
      <c r="CM139" s="31"/>
      <c r="CN139" s="31"/>
      <c r="CO139" s="31"/>
      <c r="CP139" s="31"/>
      <c r="CQ139" s="31"/>
      <c r="CR139" s="31"/>
      <c r="CS139" s="31"/>
      <c r="CT139" s="31"/>
      <c r="CU139" s="31"/>
      <c r="CV139" s="31"/>
      <c r="CW139" s="31"/>
      <c r="CX139" s="31"/>
      <c r="CY139" s="31"/>
      <c r="CZ139" s="31"/>
      <c r="DA139" s="31"/>
      <c r="DB139" s="31"/>
      <c r="DC139" s="31"/>
      <c r="DD139" s="31"/>
      <c r="DE139" s="31"/>
      <c r="DF139" s="31"/>
      <c r="DG139" s="31"/>
      <c r="DH139" s="31"/>
      <c r="DI139" s="31"/>
      <c r="DJ139" s="31"/>
      <c r="DK139" s="31"/>
      <c r="DL139" s="31"/>
      <c r="DM139" s="31"/>
      <c r="DN139" s="31"/>
      <c r="DO139" s="31"/>
      <c r="DP139" s="31"/>
      <c r="DQ139" s="31"/>
      <c r="DR139" s="31"/>
      <c r="DS139" s="31"/>
      <c r="DT139" s="31"/>
      <c r="DU139" s="31"/>
      <c r="DV139" s="31"/>
      <c r="DW139" s="31"/>
      <c r="DX139" s="31"/>
      <c r="DY139" s="31"/>
      <c r="DZ139" s="31"/>
      <c r="EA139" s="31"/>
      <c r="EB139" s="31"/>
      <c r="EC139" s="31"/>
      <c r="ED139" s="31"/>
      <c r="EE139" s="31"/>
      <c r="EF139" s="31"/>
      <c r="EG139" s="31"/>
      <c r="EH139" s="31"/>
      <c r="EI139" s="31"/>
      <c r="EJ139" s="31"/>
      <c r="EK139" s="31"/>
      <c r="EL139" s="31"/>
      <c r="EM139" s="31"/>
      <c r="EN139" s="31"/>
      <c r="EO139" s="31"/>
      <c r="EP139" s="31"/>
      <c r="EQ139" s="31"/>
      <c r="ER139" s="31"/>
      <c r="ES139" s="31"/>
      <c r="ET139" s="31"/>
      <c r="EU139" s="31"/>
      <c r="EV139" s="31"/>
      <c r="EW139" s="31"/>
      <c r="EX139" s="31"/>
      <c r="EY139" s="31"/>
      <c r="EZ139" s="31"/>
      <c r="FA139" s="31"/>
      <c r="FB139" s="31"/>
      <c r="FC139" s="31"/>
      <c r="FD139" s="31"/>
      <c r="FE139" s="31"/>
      <c r="FF139" s="31"/>
      <c r="FG139" s="31"/>
      <c r="FH139" s="31"/>
      <c r="FI139" s="31"/>
      <c r="FJ139" s="31"/>
      <c r="FK139" s="31"/>
      <c r="FL139" s="31"/>
      <c r="FM139" s="31"/>
      <c r="FN139" s="31"/>
      <c r="FO139" s="31"/>
      <c r="FP139" s="31"/>
      <c r="FQ139" s="31"/>
      <c r="FR139" s="31"/>
      <c r="FS139" s="31"/>
      <c r="FT139" s="31"/>
      <c r="FU139" s="31"/>
      <c r="FV139" s="31"/>
      <c r="FW139" s="31"/>
      <c r="FX139" s="31"/>
      <c r="FY139" s="31"/>
      <c r="FZ139" s="31"/>
      <c r="GA139" s="31"/>
      <c r="GB139" s="31"/>
      <c r="GC139" s="31"/>
      <c r="GD139" s="31"/>
      <c r="GE139" s="31"/>
      <c r="GF139" s="31"/>
      <c r="GG139" s="31"/>
      <c r="GH139" s="31"/>
      <c r="GI139" s="31"/>
      <c r="GJ139" s="31"/>
      <c r="GK139" s="31"/>
      <c r="GL139" s="31"/>
      <c r="GM139" s="31"/>
      <c r="GN139" s="31"/>
      <c r="GO139" s="31"/>
      <c r="GP139" s="31"/>
      <c r="GQ139" s="31"/>
      <c r="GR139" s="31"/>
      <c r="GS139" s="31"/>
      <c r="GT139" s="31"/>
      <c r="GU139" s="31"/>
      <c r="GV139" s="31"/>
      <c r="GW139" s="31"/>
      <c r="GX139" s="31"/>
      <c r="GY139" s="31"/>
      <c r="GZ139" s="31"/>
      <c r="HA139" s="31"/>
      <c r="HB139" s="31"/>
      <c r="HC139" s="31"/>
      <c r="HD139" s="31"/>
      <c r="HE139" s="31"/>
      <c r="HF139" s="31"/>
      <c r="HG139" s="31"/>
      <c r="HH139" s="31"/>
      <c r="HI139" s="31"/>
      <c r="HJ139" s="31"/>
      <c r="HK139" s="31"/>
      <c r="HL139" s="31"/>
      <c r="HM139" s="31"/>
      <c r="HN139" s="31"/>
      <c r="HO139" s="31"/>
      <c r="HP139" s="31"/>
      <c r="HQ139" s="31"/>
      <c r="HR139" s="31"/>
      <c r="HS139" s="31"/>
      <c r="HT139" s="31"/>
      <c r="HU139" s="31"/>
      <c r="HV139" s="31"/>
      <c r="HW139" s="31"/>
      <c r="HX139" s="31"/>
      <c r="HY139" s="31"/>
      <c r="HZ139" s="31"/>
      <c r="IA139" s="31"/>
      <c r="IB139" s="31"/>
      <c r="IC139" s="31"/>
      <c r="ID139" s="31"/>
      <c r="IE139" s="31"/>
      <c r="IF139" s="31"/>
      <c r="IG139" s="31"/>
      <c r="IH139" s="31"/>
      <c r="II139" s="31"/>
      <c r="IJ139" s="31"/>
      <c r="IK139" s="31"/>
      <c r="IL139" s="31"/>
      <c r="IM139" s="31"/>
      <c r="IN139" s="31"/>
      <c r="IO139" s="31"/>
      <c r="IP139" s="31"/>
      <c r="IQ139" s="31"/>
      <c r="IR139" s="31"/>
      <c r="IS139" s="31"/>
      <c r="IT139" s="31"/>
      <c r="IU139" s="31"/>
      <c r="IV139" s="31"/>
      <c r="IW139" s="31"/>
    </row>
    <row r="140" spans="1:257" ht="15.75" customHeight="1">
      <c r="A140" s="217">
        <v>118</v>
      </c>
      <c r="B140" s="83" t="s">
        <v>24</v>
      </c>
      <c r="C140" s="83" t="s">
        <v>147</v>
      </c>
      <c r="D140" s="78">
        <v>199161131.5</v>
      </c>
      <c r="E140" s="78"/>
      <c r="F140" s="78">
        <v>54681809.869999997</v>
      </c>
      <c r="G140" s="78">
        <v>24990414.359999999</v>
      </c>
      <c r="H140" s="78"/>
      <c r="I140" s="78"/>
      <c r="J140" s="78">
        <v>278833355.73000002</v>
      </c>
      <c r="K140" s="78">
        <v>681394.04</v>
      </c>
      <c r="L140" s="78">
        <v>643638.09</v>
      </c>
      <c r="M140" s="193">
        <v>3383340.06</v>
      </c>
      <c r="N140" s="44">
        <v>289383928.04000002</v>
      </c>
      <c r="O140" s="44">
        <v>5150455.91</v>
      </c>
      <c r="P140" s="54">
        <v>275947937.69999999</v>
      </c>
      <c r="Q140" s="47">
        <f>(P140/$P$148)</f>
        <v>1.5037992462045487E-2</v>
      </c>
      <c r="R140" s="54">
        <v>284233472.13</v>
      </c>
      <c r="S140" s="47">
        <f>(R140/$R$148)</f>
        <v>1.5344829821229481E-2</v>
      </c>
      <c r="T140" s="48">
        <f t="shared" si="102"/>
        <v>3.0025716079124035E-2</v>
      </c>
      <c r="U140" s="84">
        <f t="shared" si="103"/>
        <v>2.2644697163099036E-3</v>
      </c>
      <c r="V140" s="49">
        <f t="shared" si="104"/>
        <v>1.1903383632637609E-2</v>
      </c>
      <c r="W140" s="50">
        <f t="shared" si="105"/>
        <v>247.80639756410409</v>
      </c>
      <c r="X140" s="50">
        <f t="shared" si="106"/>
        <v>2.949734616827445</v>
      </c>
      <c r="Y140" s="44">
        <v>245.51</v>
      </c>
      <c r="Z140" s="44">
        <v>249.07</v>
      </c>
      <c r="AA140" s="51">
        <v>461</v>
      </c>
      <c r="AB140" s="145">
        <v>1146998.1200000001</v>
      </c>
      <c r="AC140" s="132"/>
    </row>
    <row r="141" spans="1:257" ht="4.5" customHeight="1">
      <c r="A141" s="217"/>
      <c r="B141" s="83"/>
      <c r="C141" s="83"/>
      <c r="D141" s="78"/>
      <c r="E141" s="78"/>
      <c r="F141" s="78"/>
      <c r="G141" s="78"/>
      <c r="H141" s="78"/>
      <c r="I141" s="78"/>
      <c r="J141" s="78"/>
      <c r="K141" s="78"/>
      <c r="L141" s="78"/>
      <c r="M141" s="193"/>
      <c r="N141" s="44"/>
      <c r="O141" s="44"/>
      <c r="P141" s="54"/>
      <c r="Q141" s="47"/>
      <c r="R141" s="54"/>
      <c r="S141" s="47"/>
      <c r="T141" s="48"/>
      <c r="U141" s="84"/>
      <c r="V141" s="49"/>
      <c r="W141" s="50"/>
      <c r="X141" s="50"/>
      <c r="Y141" s="44"/>
      <c r="Z141" s="44"/>
      <c r="AA141" s="51"/>
      <c r="AB141" s="145"/>
      <c r="AC141" s="132"/>
      <c r="AD141" s="31"/>
      <c r="AE141" s="31"/>
      <c r="AF141" s="31"/>
      <c r="AG141" s="31"/>
      <c r="AH141" s="31"/>
      <c r="AI141" s="31"/>
      <c r="AJ141" s="31"/>
      <c r="AK141" s="31"/>
      <c r="AL141" s="31"/>
      <c r="AM141" s="31"/>
      <c r="AN141" s="31"/>
      <c r="AO141" s="31"/>
      <c r="AP141" s="31"/>
      <c r="AQ141" s="31"/>
      <c r="AR141" s="31"/>
      <c r="AS141" s="31"/>
      <c r="AT141" s="31"/>
      <c r="AU141" s="31"/>
      <c r="AV141" s="31"/>
      <c r="AW141" s="31"/>
      <c r="AX141" s="31"/>
      <c r="AY141" s="31"/>
      <c r="AZ141" s="31"/>
      <c r="BA141" s="31"/>
      <c r="BB141" s="31"/>
      <c r="BC141" s="31"/>
      <c r="BD141" s="31"/>
      <c r="BE141" s="31"/>
      <c r="BF141" s="31"/>
      <c r="BG141" s="31"/>
      <c r="BH141" s="31"/>
      <c r="BI141" s="31"/>
      <c r="BJ141" s="31"/>
      <c r="BK141" s="31"/>
      <c r="BL141" s="31"/>
      <c r="BM141" s="31"/>
      <c r="BN141" s="31"/>
      <c r="BO141" s="31"/>
      <c r="BP141" s="31"/>
      <c r="BQ141" s="31"/>
      <c r="BR141" s="31"/>
      <c r="BS141" s="31"/>
      <c r="BT141" s="31"/>
      <c r="BU141" s="31"/>
      <c r="BV141" s="31"/>
      <c r="BW141" s="31"/>
      <c r="BX141" s="31"/>
      <c r="BY141" s="31"/>
      <c r="BZ141" s="31"/>
      <c r="CA141" s="31"/>
      <c r="CB141" s="31"/>
      <c r="CC141" s="31"/>
      <c r="CD141" s="31"/>
      <c r="CE141" s="31"/>
      <c r="CF141" s="31"/>
      <c r="CG141" s="31"/>
      <c r="CH141" s="31"/>
      <c r="CI141" s="31"/>
      <c r="CJ141" s="31"/>
      <c r="CK141" s="31"/>
      <c r="CL141" s="31"/>
      <c r="CM141" s="31"/>
      <c r="CN141" s="31"/>
      <c r="CO141" s="31"/>
      <c r="CP141" s="31"/>
      <c r="CQ141" s="31"/>
      <c r="CR141" s="31"/>
      <c r="CS141" s="31"/>
      <c r="CT141" s="31"/>
      <c r="CU141" s="31"/>
      <c r="CV141" s="31"/>
      <c r="CW141" s="31"/>
      <c r="CX141" s="31"/>
      <c r="CY141" s="31"/>
      <c r="CZ141" s="31"/>
      <c r="DA141" s="31"/>
      <c r="DB141" s="31"/>
      <c r="DC141" s="31"/>
      <c r="DD141" s="31"/>
      <c r="DE141" s="31"/>
      <c r="DF141" s="31"/>
      <c r="DG141" s="31"/>
      <c r="DH141" s="31"/>
      <c r="DI141" s="31"/>
      <c r="DJ141" s="31"/>
      <c r="DK141" s="31"/>
      <c r="DL141" s="31"/>
      <c r="DM141" s="31"/>
      <c r="DN141" s="31"/>
      <c r="DO141" s="31"/>
      <c r="DP141" s="31"/>
      <c r="DQ141" s="31"/>
      <c r="DR141" s="31"/>
      <c r="DS141" s="31"/>
      <c r="DT141" s="31"/>
      <c r="DU141" s="31"/>
      <c r="DV141" s="31"/>
      <c r="DW141" s="31"/>
      <c r="DX141" s="31"/>
      <c r="DY141" s="31"/>
      <c r="DZ141" s="31"/>
      <c r="EA141" s="31"/>
      <c r="EB141" s="31"/>
      <c r="EC141" s="31"/>
      <c r="ED141" s="31"/>
      <c r="EE141" s="31"/>
      <c r="EF141" s="31"/>
      <c r="EG141" s="31"/>
      <c r="EH141" s="31"/>
      <c r="EI141" s="31"/>
      <c r="EJ141" s="31"/>
      <c r="EK141" s="31"/>
      <c r="EL141" s="31"/>
      <c r="EM141" s="31"/>
      <c r="EN141" s="31"/>
      <c r="EO141" s="31"/>
      <c r="EP141" s="31"/>
      <c r="EQ141" s="31"/>
      <c r="ER141" s="31"/>
      <c r="ES141" s="31"/>
      <c r="ET141" s="31"/>
      <c r="EU141" s="31"/>
      <c r="EV141" s="31"/>
      <c r="EW141" s="31"/>
      <c r="EX141" s="31"/>
      <c r="EY141" s="31"/>
      <c r="EZ141" s="31"/>
      <c r="FA141" s="31"/>
      <c r="FB141" s="31"/>
      <c r="FC141" s="31"/>
      <c r="FD141" s="31"/>
      <c r="FE141" s="31"/>
      <c r="FF141" s="31"/>
      <c r="FG141" s="31"/>
      <c r="FH141" s="31"/>
      <c r="FI141" s="31"/>
      <c r="FJ141" s="31"/>
      <c r="FK141" s="31"/>
      <c r="FL141" s="31"/>
      <c r="FM141" s="31"/>
      <c r="FN141" s="31"/>
      <c r="FO141" s="31"/>
      <c r="FP141" s="31"/>
      <c r="FQ141" s="31"/>
      <c r="FR141" s="31"/>
      <c r="FS141" s="31"/>
      <c r="FT141" s="31"/>
      <c r="FU141" s="31"/>
      <c r="FV141" s="31"/>
      <c r="FW141" s="31"/>
      <c r="FX141" s="31"/>
      <c r="FY141" s="31"/>
      <c r="FZ141" s="31"/>
      <c r="GA141" s="31"/>
      <c r="GB141" s="31"/>
      <c r="GC141" s="31"/>
      <c r="GD141" s="31"/>
      <c r="GE141" s="31"/>
      <c r="GF141" s="31"/>
      <c r="GG141" s="31"/>
      <c r="GH141" s="31"/>
      <c r="GI141" s="31"/>
      <c r="GJ141" s="31"/>
      <c r="GK141" s="31"/>
      <c r="GL141" s="31"/>
      <c r="GM141" s="31"/>
      <c r="GN141" s="31"/>
      <c r="GO141" s="31"/>
      <c r="GP141" s="31"/>
      <c r="GQ141" s="31"/>
      <c r="GR141" s="31"/>
      <c r="GS141" s="31"/>
      <c r="GT141" s="31"/>
      <c r="GU141" s="31"/>
      <c r="GV141" s="31"/>
      <c r="GW141" s="31"/>
      <c r="GX141" s="31"/>
      <c r="GY141" s="31"/>
      <c r="GZ141" s="31"/>
      <c r="HA141" s="31"/>
      <c r="HB141" s="31"/>
      <c r="HC141" s="31"/>
      <c r="HD141" s="31"/>
      <c r="HE141" s="31"/>
      <c r="HF141" s="31"/>
      <c r="HG141" s="31"/>
      <c r="HH141" s="31"/>
      <c r="HI141" s="31"/>
      <c r="HJ141" s="31"/>
      <c r="HK141" s="31"/>
      <c r="HL141" s="31"/>
      <c r="HM141" s="31"/>
      <c r="HN141" s="31"/>
      <c r="HO141" s="31"/>
      <c r="HP141" s="31"/>
      <c r="HQ141" s="31"/>
      <c r="HR141" s="31"/>
      <c r="HS141" s="31"/>
      <c r="HT141" s="31"/>
      <c r="HU141" s="31"/>
      <c r="HV141" s="31"/>
      <c r="HW141" s="31"/>
      <c r="HX141" s="31"/>
      <c r="HY141" s="31"/>
      <c r="HZ141" s="31"/>
      <c r="IA141" s="31"/>
      <c r="IB141" s="31"/>
      <c r="IC141" s="31"/>
      <c r="ID141" s="31"/>
      <c r="IE141" s="31"/>
      <c r="IF141" s="31"/>
      <c r="IG141" s="31"/>
      <c r="IH141" s="31"/>
      <c r="II141" s="31"/>
      <c r="IJ141" s="31"/>
      <c r="IK141" s="31"/>
      <c r="IL141" s="31"/>
      <c r="IM141" s="31"/>
      <c r="IN141" s="31"/>
      <c r="IO141" s="31"/>
      <c r="IP141" s="31"/>
      <c r="IQ141" s="31"/>
      <c r="IR141" s="31"/>
      <c r="IS141" s="31"/>
      <c r="IT141" s="31"/>
      <c r="IU141" s="31"/>
      <c r="IV141" s="31"/>
      <c r="IW141" s="31"/>
    </row>
    <row r="142" spans="1:257" ht="15.75" customHeight="1">
      <c r="A142" s="238" t="s">
        <v>188</v>
      </c>
      <c r="B142" s="239"/>
      <c r="C142" s="239"/>
      <c r="D142" s="139"/>
      <c r="E142" s="139"/>
      <c r="F142" s="139"/>
      <c r="G142" s="139"/>
      <c r="H142" s="139"/>
      <c r="I142" s="139"/>
      <c r="J142" s="139"/>
      <c r="K142" s="139"/>
      <c r="L142" s="123"/>
      <c r="M142" s="212"/>
      <c r="N142" s="123"/>
      <c r="O142" s="123"/>
      <c r="P142" s="123"/>
      <c r="Q142" s="124"/>
      <c r="R142" s="123"/>
      <c r="S142" s="124"/>
      <c r="T142" s="124"/>
      <c r="U142" s="129"/>
      <c r="V142" s="126"/>
      <c r="W142" s="127"/>
      <c r="X142" s="127"/>
      <c r="Y142" s="123"/>
      <c r="Z142" s="123"/>
      <c r="AA142" s="130"/>
      <c r="AB142" s="153"/>
      <c r="AC142" s="132"/>
      <c r="AD142" s="31"/>
      <c r="AE142" s="31"/>
      <c r="AF142" s="31"/>
      <c r="AG142" s="31"/>
      <c r="AH142" s="31"/>
      <c r="AI142" s="31"/>
      <c r="AJ142" s="31"/>
      <c r="AK142" s="31"/>
      <c r="AL142" s="31"/>
      <c r="AM142" s="31"/>
      <c r="AN142" s="31"/>
      <c r="AO142" s="31"/>
      <c r="AP142" s="31"/>
      <c r="AQ142" s="31"/>
      <c r="AR142" s="31"/>
      <c r="AS142" s="31"/>
      <c r="AT142" s="31"/>
      <c r="AU142" s="31"/>
      <c r="AV142" s="31"/>
      <c r="AW142" s="31"/>
      <c r="AX142" s="31"/>
      <c r="AY142" s="31"/>
      <c r="AZ142" s="31"/>
      <c r="BA142" s="31"/>
      <c r="BB142" s="31"/>
      <c r="BC142" s="31"/>
      <c r="BD142" s="31"/>
      <c r="BE142" s="31"/>
      <c r="BF142" s="31"/>
      <c r="BG142" s="31"/>
      <c r="BH142" s="31"/>
      <c r="BI142" s="31"/>
      <c r="BJ142" s="31"/>
      <c r="BK142" s="31"/>
      <c r="BL142" s="31"/>
      <c r="BM142" s="31"/>
      <c r="BN142" s="31"/>
      <c r="BO142" s="31"/>
      <c r="BP142" s="31"/>
      <c r="BQ142" s="31"/>
      <c r="BR142" s="31"/>
      <c r="BS142" s="31"/>
      <c r="BT142" s="31"/>
      <c r="BU142" s="31"/>
      <c r="BV142" s="31"/>
      <c r="BW142" s="31"/>
      <c r="BX142" s="31"/>
      <c r="BY142" s="31"/>
      <c r="BZ142" s="31"/>
      <c r="CA142" s="31"/>
      <c r="CB142" s="31"/>
      <c r="CC142" s="31"/>
      <c r="CD142" s="31"/>
      <c r="CE142" s="31"/>
      <c r="CF142" s="31"/>
      <c r="CG142" s="31"/>
      <c r="CH142" s="31"/>
      <c r="CI142" s="31"/>
      <c r="CJ142" s="31"/>
      <c r="CK142" s="31"/>
      <c r="CL142" s="31"/>
      <c r="CM142" s="31"/>
      <c r="CN142" s="31"/>
      <c r="CO142" s="31"/>
      <c r="CP142" s="31"/>
      <c r="CQ142" s="31"/>
      <c r="CR142" s="31"/>
      <c r="CS142" s="31"/>
      <c r="CT142" s="31"/>
      <c r="CU142" s="31"/>
      <c r="CV142" s="31"/>
      <c r="CW142" s="31"/>
      <c r="CX142" s="31"/>
      <c r="CY142" s="31"/>
      <c r="CZ142" s="31"/>
      <c r="DA142" s="31"/>
      <c r="DB142" s="31"/>
      <c r="DC142" s="31"/>
      <c r="DD142" s="31"/>
      <c r="DE142" s="31"/>
      <c r="DF142" s="31"/>
      <c r="DG142" s="31"/>
      <c r="DH142" s="31"/>
      <c r="DI142" s="31"/>
      <c r="DJ142" s="31"/>
      <c r="DK142" s="31"/>
      <c r="DL142" s="31"/>
      <c r="DM142" s="31"/>
      <c r="DN142" s="31"/>
      <c r="DO142" s="31"/>
      <c r="DP142" s="31"/>
      <c r="DQ142" s="31"/>
      <c r="DR142" s="31"/>
      <c r="DS142" s="31"/>
      <c r="DT142" s="31"/>
      <c r="DU142" s="31"/>
      <c r="DV142" s="31"/>
      <c r="DW142" s="31"/>
      <c r="DX142" s="31"/>
      <c r="DY142" s="31"/>
      <c r="DZ142" s="31"/>
      <c r="EA142" s="31"/>
      <c r="EB142" s="31"/>
      <c r="EC142" s="31"/>
      <c r="ED142" s="31"/>
      <c r="EE142" s="31"/>
      <c r="EF142" s="31"/>
      <c r="EG142" s="31"/>
      <c r="EH142" s="31"/>
      <c r="EI142" s="31"/>
      <c r="EJ142" s="31"/>
      <c r="EK142" s="31"/>
      <c r="EL142" s="31"/>
      <c r="EM142" s="31"/>
      <c r="EN142" s="31"/>
      <c r="EO142" s="31"/>
      <c r="EP142" s="31"/>
      <c r="EQ142" s="31"/>
      <c r="ER142" s="31"/>
      <c r="ES142" s="31"/>
      <c r="ET142" s="31"/>
      <c r="EU142" s="31"/>
      <c r="EV142" s="31"/>
      <c r="EW142" s="31"/>
      <c r="EX142" s="31"/>
      <c r="EY142" s="31"/>
      <c r="EZ142" s="31"/>
      <c r="FA142" s="31"/>
      <c r="FB142" s="31"/>
      <c r="FC142" s="31"/>
      <c r="FD142" s="31"/>
      <c r="FE142" s="31"/>
      <c r="FF142" s="31"/>
      <c r="FG142" s="31"/>
      <c r="FH142" s="31"/>
      <c r="FI142" s="31"/>
      <c r="FJ142" s="31"/>
      <c r="FK142" s="31"/>
      <c r="FL142" s="31"/>
      <c r="FM142" s="31"/>
      <c r="FN142" s="31"/>
      <c r="FO142" s="31"/>
      <c r="FP142" s="31"/>
      <c r="FQ142" s="31"/>
      <c r="FR142" s="31"/>
      <c r="FS142" s="31"/>
      <c r="FT142" s="31"/>
      <c r="FU142" s="31"/>
      <c r="FV142" s="31"/>
      <c r="FW142" s="31"/>
      <c r="FX142" s="31"/>
      <c r="FY142" s="31"/>
      <c r="FZ142" s="31"/>
      <c r="GA142" s="31"/>
      <c r="GB142" s="31"/>
      <c r="GC142" s="31"/>
      <c r="GD142" s="31"/>
      <c r="GE142" s="31"/>
      <c r="GF142" s="31"/>
      <c r="GG142" s="31"/>
      <c r="GH142" s="31"/>
      <c r="GI142" s="31"/>
      <c r="GJ142" s="31"/>
      <c r="GK142" s="31"/>
      <c r="GL142" s="31"/>
      <c r="GM142" s="31"/>
      <c r="GN142" s="31"/>
      <c r="GO142" s="31"/>
      <c r="GP142" s="31"/>
      <c r="GQ142" s="31"/>
      <c r="GR142" s="31"/>
      <c r="GS142" s="31"/>
      <c r="GT142" s="31"/>
      <c r="GU142" s="31"/>
      <c r="GV142" s="31"/>
      <c r="GW142" s="31"/>
      <c r="GX142" s="31"/>
      <c r="GY142" s="31"/>
      <c r="GZ142" s="31"/>
      <c r="HA142" s="31"/>
      <c r="HB142" s="31"/>
      <c r="HC142" s="31"/>
      <c r="HD142" s="31"/>
      <c r="HE142" s="31"/>
      <c r="HF142" s="31"/>
      <c r="HG142" s="31"/>
      <c r="HH142" s="31"/>
      <c r="HI142" s="31"/>
      <c r="HJ142" s="31"/>
      <c r="HK142" s="31"/>
      <c r="HL142" s="31"/>
      <c r="HM142" s="31"/>
      <c r="HN142" s="31"/>
      <c r="HO142" s="31"/>
      <c r="HP142" s="31"/>
      <c r="HQ142" s="31"/>
      <c r="HR142" s="31"/>
      <c r="HS142" s="31"/>
      <c r="HT142" s="31"/>
      <c r="HU142" s="31"/>
      <c r="HV142" s="31"/>
      <c r="HW142" s="31"/>
      <c r="HX142" s="31"/>
      <c r="HY142" s="31"/>
      <c r="HZ142" s="31"/>
      <c r="IA142" s="31"/>
      <c r="IB142" s="31"/>
      <c r="IC142" s="31"/>
      <c r="ID142" s="31"/>
      <c r="IE142" s="31"/>
      <c r="IF142" s="31"/>
      <c r="IG142" s="31"/>
      <c r="IH142" s="31"/>
      <c r="II142" s="31"/>
      <c r="IJ142" s="31"/>
      <c r="IK142" s="31"/>
      <c r="IL142" s="31"/>
      <c r="IM142" s="31"/>
      <c r="IN142" s="31"/>
      <c r="IO142" s="31"/>
      <c r="IP142" s="31"/>
      <c r="IQ142" s="31"/>
      <c r="IR142" s="31"/>
      <c r="IS142" s="31"/>
      <c r="IT142" s="31"/>
      <c r="IU142" s="31"/>
      <c r="IV142" s="31"/>
      <c r="IW142" s="31"/>
    </row>
    <row r="143" spans="1:257" ht="15.75" customHeight="1">
      <c r="A143" s="217">
        <v>119</v>
      </c>
      <c r="B143" s="82" t="s">
        <v>24</v>
      </c>
      <c r="C143" s="82" t="s">
        <v>118</v>
      </c>
      <c r="D143" s="101"/>
      <c r="E143" s="101"/>
      <c r="F143" s="101">
        <v>130236712.33</v>
      </c>
      <c r="G143" s="101">
        <v>7123349178.6099997</v>
      </c>
      <c r="H143" s="101"/>
      <c r="I143" s="78"/>
      <c r="J143" s="78">
        <v>7253585890.9399996</v>
      </c>
      <c r="K143" s="78">
        <v>31172018.609999999</v>
      </c>
      <c r="L143" s="78">
        <v>12315176.07</v>
      </c>
      <c r="M143" s="193">
        <v>18856842.539999999</v>
      </c>
      <c r="N143" s="44">
        <v>7309727336.2200003</v>
      </c>
      <c r="O143" s="44">
        <v>61114332.619999997</v>
      </c>
      <c r="P143" s="54">
        <v>7280683043.25</v>
      </c>
      <c r="Q143" s="47">
        <f>(P143/$P$148)</f>
        <v>0.39676635250655795</v>
      </c>
      <c r="R143" s="54">
        <v>7248613003.6000004</v>
      </c>
      <c r="S143" s="47">
        <f>(R143/$R$148)</f>
        <v>0.39132876274797201</v>
      </c>
      <c r="T143" s="48">
        <f>((R143-P143)/P143)</f>
        <v>-4.4048119468312937E-3</v>
      </c>
      <c r="U143" s="84">
        <f>(L143/R143)</f>
        <v>1.6989700048662699E-3</v>
      </c>
      <c r="V143" s="49">
        <f>M143/R143</f>
        <v>2.6014414799955259E-3</v>
      </c>
      <c r="W143" s="50">
        <f>R143/AB143</f>
        <v>117.57152110265091</v>
      </c>
      <c r="X143" s="50">
        <f>M143/AB143</f>
        <v>0.30585543186260539</v>
      </c>
      <c r="Y143" s="44">
        <v>117.57</v>
      </c>
      <c r="Z143" s="44">
        <v>117.57</v>
      </c>
      <c r="AA143" s="51">
        <v>959</v>
      </c>
      <c r="AB143" s="145">
        <v>61652795.979999997</v>
      </c>
      <c r="AC143" s="132"/>
      <c r="AD143" s="31"/>
      <c r="AE143" s="31"/>
      <c r="AF143" s="31"/>
      <c r="AG143" s="31"/>
      <c r="AH143" s="31"/>
      <c r="AI143" s="31"/>
      <c r="AJ143" s="31"/>
      <c r="AK143" s="31"/>
      <c r="AL143" s="31"/>
      <c r="AM143" s="31"/>
      <c r="AN143" s="31"/>
      <c r="AO143" s="31"/>
      <c r="AP143" s="31"/>
      <c r="AQ143" s="31"/>
      <c r="AR143" s="31"/>
      <c r="AS143" s="31"/>
      <c r="AT143" s="31"/>
      <c r="AU143" s="31"/>
      <c r="AV143" s="31"/>
      <c r="AW143" s="31"/>
      <c r="AX143" s="31"/>
      <c r="AY143" s="31"/>
      <c r="AZ143" s="31"/>
      <c r="BA143" s="31"/>
      <c r="BB143" s="31"/>
      <c r="BC143" s="31"/>
      <c r="BD143" s="31"/>
      <c r="BE143" s="31"/>
      <c r="BF143" s="31"/>
      <c r="BG143" s="31"/>
      <c r="BH143" s="31"/>
      <c r="BI143" s="31"/>
      <c r="BJ143" s="31"/>
      <c r="BK143" s="31"/>
      <c r="BL143" s="31"/>
      <c r="BM143" s="31"/>
      <c r="BN143" s="31"/>
      <c r="BO143" s="31"/>
      <c r="BP143" s="31"/>
      <c r="BQ143" s="31"/>
      <c r="BR143" s="31"/>
      <c r="BS143" s="31"/>
      <c r="BT143" s="31"/>
      <c r="BU143" s="31"/>
      <c r="BV143" s="31"/>
      <c r="BW143" s="31"/>
      <c r="BX143" s="31"/>
      <c r="BY143" s="31"/>
      <c r="BZ143" s="31"/>
      <c r="CA143" s="31"/>
      <c r="CB143" s="31"/>
      <c r="CC143" s="31"/>
      <c r="CD143" s="31"/>
      <c r="CE143" s="31"/>
      <c r="CF143" s="31"/>
      <c r="CG143" s="31"/>
      <c r="CH143" s="31"/>
      <c r="CI143" s="31"/>
      <c r="CJ143" s="31"/>
      <c r="CK143" s="31"/>
      <c r="CL143" s="31"/>
      <c r="CM143" s="31"/>
      <c r="CN143" s="31"/>
      <c r="CO143" s="31"/>
      <c r="CP143" s="31"/>
      <c r="CQ143" s="31"/>
      <c r="CR143" s="31"/>
      <c r="CS143" s="31"/>
      <c r="CT143" s="31"/>
      <c r="CU143" s="31"/>
      <c r="CV143" s="31"/>
      <c r="CW143" s="31"/>
      <c r="CX143" s="31"/>
      <c r="CY143" s="31"/>
      <c r="CZ143" s="31"/>
      <c r="DA143" s="31"/>
      <c r="DB143" s="31"/>
      <c r="DC143" s="31"/>
      <c r="DD143" s="31"/>
      <c r="DE143" s="31"/>
      <c r="DF143" s="31"/>
      <c r="DG143" s="31"/>
      <c r="DH143" s="31"/>
      <c r="DI143" s="31"/>
      <c r="DJ143" s="31"/>
      <c r="DK143" s="31"/>
      <c r="DL143" s="31"/>
      <c r="DM143" s="31"/>
      <c r="DN143" s="31"/>
      <c r="DO143" s="31"/>
      <c r="DP143" s="31"/>
      <c r="DQ143" s="31"/>
      <c r="DR143" s="31"/>
      <c r="DS143" s="31"/>
      <c r="DT143" s="31"/>
      <c r="DU143" s="31"/>
      <c r="DV143" s="31"/>
      <c r="DW143" s="31"/>
      <c r="DX143" s="31"/>
      <c r="DY143" s="31"/>
      <c r="DZ143" s="31"/>
      <c r="EA143" s="31"/>
      <c r="EB143" s="31"/>
      <c r="EC143" s="31"/>
      <c r="ED143" s="31"/>
      <c r="EE143" s="31"/>
      <c r="EF143" s="31"/>
      <c r="EG143" s="31"/>
      <c r="EH143" s="31"/>
      <c r="EI143" s="31"/>
      <c r="EJ143" s="31"/>
      <c r="EK143" s="31"/>
      <c r="EL143" s="31"/>
      <c r="EM143" s="31"/>
      <c r="EN143" s="31"/>
      <c r="EO143" s="31"/>
      <c r="EP143" s="31"/>
      <c r="EQ143" s="31"/>
      <c r="ER143" s="31"/>
      <c r="ES143" s="31"/>
      <c r="ET143" s="31"/>
      <c r="EU143" s="31"/>
      <c r="EV143" s="31"/>
      <c r="EW143" s="31"/>
      <c r="EX143" s="31"/>
      <c r="EY143" s="31"/>
      <c r="EZ143" s="31"/>
      <c r="FA143" s="31"/>
      <c r="FB143" s="31"/>
      <c r="FC143" s="31"/>
      <c r="FD143" s="31"/>
      <c r="FE143" s="31"/>
      <c r="FF143" s="31"/>
      <c r="FG143" s="31"/>
      <c r="FH143" s="31"/>
      <c r="FI143" s="31"/>
      <c r="FJ143" s="31"/>
      <c r="FK143" s="31"/>
      <c r="FL143" s="31"/>
      <c r="FM143" s="31"/>
      <c r="FN143" s="31"/>
      <c r="FO143" s="31"/>
      <c r="FP143" s="31"/>
      <c r="FQ143" s="31"/>
      <c r="FR143" s="31"/>
      <c r="FS143" s="31"/>
      <c r="FT143" s="31"/>
      <c r="FU143" s="31"/>
      <c r="FV143" s="31"/>
      <c r="FW143" s="31"/>
      <c r="FX143" s="31"/>
      <c r="FY143" s="31"/>
      <c r="FZ143" s="31"/>
      <c r="GA143" s="31"/>
      <c r="GB143" s="31"/>
      <c r="GC143" s="31"/>
      <c r="GD143" s="31"/>
      <c r="GE143" s="31"/>
      <c r="GF143" s="31"/>
      <c r="GG143" s="31"/>
      <c r="GH143" s="31"/>
      <c r="GI143" s="31"/>
      <c r="GJ143" s="31"/>
      <c r="GK143" s="31"/>
      <c r="GL143" s="31"/>
      <c r="GM143" s="31"/>
      <c r="GN143" s="31"/>
      <c r="GO143" s="31"/>
      <c r="GP143" s="31"/>
      <c r="GQ143" s="31"/>
      <c r="GR143" s="31"/>
      <c r="GS143" s="31"/>
      <c r="GT143" s="31"/>
      <c r="GU143" s="31"/>
      <c r="GV143" s="31"/>
      <c r="GW143" s="31"/>
      <c r="GX143" s="31"/>
      <c r="GY143" s="31"/>
      <c r="GZ143" s="31"/>
      <c r="HA143" s="31"/>
      <c r="HB143" s="31"/>
      <c r="HC143" s="31"/>
      <c r="HD143" s="31"/>
      <c r="HE143" s="31"/>
      <c r="HF143" s="31"/>
      <c r="HG143" s="31"/>
      <c r="HH143" s="31"/>
      <c r="HI143" s="31"/>
      <c r="HJ143" s="31"/>
      <c r="HK143" s="31"/>
      <c r="HL143" s="31"/>
      <c r="HM143" s="31"/>
      <c r="HN143" s="31"/>
      <c r="HO143" s="31"/>
      <c r="HP143" s="31"/>
      <c r="HQ143" s="31"/>
      <c r="HR143" s="31"/>
      <c r="HS143" s="31"/>
      <c r="HT143" s="31"/>
      <c r="HU143" s="31"/>
      <c r="HV143" s="31"/>
      <c r="HW143" s="31"/>
      <c r="HX143" s="31"/>
      <c r="HY143" s="31"/>
      <c r="HZ143" s="31"/>
      <c r="IA143" s="31"/>
      <c r="IB143" s="31"/>
      <c r="IC143" s="31"/>
      <c r="ID143" s="31"/>
      <c r="IE143" s="31"/>
      <c r="IF143" s="31"/>
      <c r="IG143" s="31"/>
      <c r="IH143" s="31"/>
      <c r="II143" s="31"/>
      <c r="IJ143" s="31"/>
      <c r="IK143" s="31"/>
      <c r="IL143" s="31"/>
      <c r="IM143" s="31"/>
      <c r="IN143" s="31"/>
      <c r="IO143" s="31"/>
      <c r="IP143" s="31"/>
      <c r="IQ143" s="31"/>
      <c r="IR143" s="31"/>
      <c r="IS143" s="31"/>
      <c r="IT143" s="31"/>
      <c r="IU143" s="31"/>
      <c r="IV143" s="31"/>
      <c r="IW143" s="31"/>
    </row>
    <row r="144" spans="1:257" ht="15.75" customHeight="1">
      <c r="A144" s="217">
        <v>120</v>
      </c>
      <c r="B144" s="83" t="s">
        <v>56</v>
      </c>
      <c r="C144" s="83" t="s">
        <v>189</v>
      </c>
      <c r="D144" s="101"/>
      <c r="E144" s="101"/>
      <c r="F144" s="101">
        <v>525954416.44</v>
      </c>
      <c r="G144" s="101">
        <v>4778519182.3199997</v>
      </c>
      <c r="H144" s="101"/>
      <c r="I144" s="78"/>
      <c r="J144" s="78">
        <v>5299824366.9200001</v>
      </c>
      <c r="K144" s="78">
        <v>157363314.75999999</v>
      </c>
      <c r="L144" s="78">
        <v>8239176.0599999996</v>
      </c>
      <c r="M144" s="193">
        <v>149124138.69999999</v>
      </c>
      <c r="N144" s="44">
        <v>5300444386.8199997</v>
      </c>
      <c r="O144" s="44">
        <v>620019.9</v>
      </c>
      <c r="P144" s="54">
        <v>5106539920.1800003</v>
      </c>
      <c r="Q144" s="47">
        <f t="shared" ref="Q144:Q146" si="115">(P144/$P$148)</f>
        <v>0.27828477163792625</v>
      </c>
      <c r="R144" s="54">
        <v>5299824366.9200001</v>
      </c>
      <c r="S144" s="47">
        <f t="shared" ref="S144:S146" si="116">(R144/$R$148)</f>
        <v>0.28612007721454097</v>
      </c>
      <c r="T144" s="48">
        <f>((R144-P144)/P144)</f>
        <v>3.7850374179232246E-2</v>
      </c>
      <c r="U144" s="84">
        <f t="shared" si="103"/>
        <v>1.5546130380143536E-3</v>
      </c>
      <c r="V144" s="49">
        <f>M144/R144</f>
        <v>2.8137562374857279E-2</v>
      </c>
      <c r="W144" s="50">
        <f>R144/AB144</f>
        <v>113.92201944691821</v>
      </c>
      <c r="X144" s="50">
        <f>M144/AB144</f>
        <v>3.2054879280573649</v>
      </c>
      <c r="Y144" s="44">
        <v>117.3</v>
      </c>
      <c r="Z144" s="44">
        <v>117.3</v>
      </c>
      <c r="AA144" s="51">
        <v>380</v>
      </c>
      <c r="AB144" s="145">
        <v>46521510</v>
      </c>
      <c r="AC144" s="132"/>
    </row>
    <row r="145" spans="1:257" ht="15.75" customHeight="1">
      <c r="A145" s="217">
        <v>121</v>
      </c>
      <c r="B145" s="83" t="s">
        <v>34</v>
      </c>
      <c r="C145" s="83" t="s">
        <v>159</v>
      </c>
      <c r="D145" s="101"/>
      <c r="E145" s="101"/>
      <c r="F145" s="101"/>
      <c r="G145" s="101">
        <v>1449840740</v>
      </c>
      <c r="H145" s="101"/>
      <c r="I145" s="78"/>
      <c r="J145" s="78">
        <v>1449840740</v>
      </c>
      <c r="K145" s="78">
        <v>15646883</v>
      </c>
      <c r="L145" s="78">
        <v>2929951</v>
      </c>
      <c r="M145" s="193">
        <v>12716931</v>
      </c>
      <c r="N145" s="44">
        <v>1847844395</v>
      </c>
      <c r="O145" s="44">
        <v>12190820.43</v>
      </c>
      <c r="P145" s="54">
        <v>1854688846</v>
      </c>
      <c r="Q145" s="47">
        <f t="shared" si="115"/>
        <v>0.10107267739724747</v>
      </c>
      <c r="R145" s="54">
        <v>1835653574</v>
      </c>
      <c r="S145" s="47">
        <f t="shared" si="116"/>
        <v>9.9100895797658073E-2</v>
      </c>
      <c r="T145" s="48">
        <f>((R145-P145)/P145)</f>
        <v>-1.026332370578132E-2</v>
      </c>
      <c r="U145" s="84">
        <f t="shared" si="103"/>
        <v>1.5961350450321952E-3</v>
      </c>
      <c r="V145" s="49">
        <f>M145/R145</f>
        <v>6.927740168472551E-3</v>
      </c>
      <c r="W145" s="50">
        <f>R145/AB145</f>
        <v>1.0903810847592912</v>
      </c>
      <c r="X145" s="50">
        <f>M145/AB145</f>
        <v>7.5538768398296149E-3</v>
      </c>
      <c r="Y145" s="44">
        <v>1.0900000000000001</v>
      </c>
      <c r="Z145" s="44">
        <v>1.0900000000000001</v>
      </c>
      <c r="AA145" s="51">
        <v>41</v>
      </c>
      <c r="AB145" s="145">
        <v>1683497265</v>
      </c>
      <c r="AC145" s="132"/>
    </row>
    <row r="146" spans="1:257" ht="15.75" customHeight="1">
      <c r="A146" s="217">
        <v>122</v>
      </c>
      <c r="B146" s="83" t="s">
        <v>190</v>
      </c>
      <c r="C146" s="83" t="s">
        <v>155</v>
      </c>
      <c r="D146" s="101"/>
      <c r="E146" s="101"/>
      <c r="F146" s="101"/>
      <c r="G146" s="101">
        <v>231663041.5</v>
      </c>
      <c r="H146" s="101"/>
      <c r="I146" s="78">
        <f>47214952.99+5882357.73+670048.5618</f>
        <v>53767359.281800002</v>
      </c>
      <c r="J146" s="78">
        <v>285430400.77999997</v>
      </c>
      <c r="K146" s="78">
        <v>3331268.86</v>
      </c>
      <c r="L146" s="78">
        <v>444758.61</v>
      </c>
      <c r="M146" s="193">
        <v>2886510.24</v>
      </c>
      <c r="N146" s="44">
        <v>286605108.44999999</v>
      </c>
      <c r="O146" s="44">
        <v>4631306.0999999996</v>
      </c>
      <c r="P146" s="54">
        <v>277975288.66000003</v>
      </c>
      <c r="Q146" s="47">
        <f t="shared" si="115"/>
        <v>1.5148474492491192E-2</v>
      </c>
      <c r="R146" s="54">
        <v>281973802.35000002</v>
      </c>
      <c r="S146" s="47">
        <f t="shared" si="116"/>
        <v>1.5222837685797888E-2</v>
      </c>
      <c r="T146" s="48">
        <f>((R146-P146)/P146)</f>
        <v>1.4384421396862728E-2</v>
      </c>
      <c r="U146" s="84">
        <f t="shared" si="103"/>
        <v>1.5773047222590675E-3</v>
      </c>
      <c r="V146" s="49">
        <f t="shared" si="104"/>
        <v>1.0236802908438702E-2</v>
      </c>
      <c r="W146" s="50">
        <f t="shared" si="105"/>
        <v>102.34285368185402</v>
      </c>
      <c r="X146" s="50">
        <f t="shared" si="106"/>
        <v>1.04766362222832</v>
      </c>
      <c r="Y146" s="44">
        <v>102.34</v>
      </c>
      <c r="Z146" s="44">
        <v>102.34</v>
      </c>
      <c r="AA146" s="51">
        <f>SUM(197,4,3)</f>
        <v>204</v>
      </c>
      <c r="AB146" s="145">
        <v>2755188</v>
      </c>
      <c r="AC146" s="132"/>
    </row>
    <row r="147" spans="1:257" ht="16.5" customHeight="1">
      <c r="A147" s="217">
        <v>123</v>
      </c>
      <c r="B147" s="83" t="s">
        <v>207</v>
      </c>
      <c r="C147" s="82" t="s">
        <v>204</v>
      </c>
      <c r="D147" s="44"/>
      <c r="E147" s="44"/>
      <c r="F147" s="44"/>
      <c r="G147" s="44">
        <v>248422682</v>
      </c>
      <c r="H147" s="44"/>
      <c r="I147" s="44"/>
      <c r="J147" s="44">
        <v>248422682</v>
      </c>
      <c r="K147" s="44">
        <v>0</v>
      </c>
      <c r="L147" s="44">
        <v>-616954</v>
      </c>
      <c r="M147" s="193">
        <v>-616954</v>
      </c>
      <c r="N147" s="44">
        <v>500697958</v>
      </c>
      <c r="O147" s="44">
        <v>6438716</v>
      </c>
      <c r="P147" s="54">
        <v>500097958</v>
      </c>
      <c r="Q147" s="47">
        <f>(P147/$P$80)</f>
        <v>1.2979445420856031E-3</v>
      </c>
      <c r="R147" s="54">
        <v>507136674</v>
      </c>
      <c r="S147" s="47">
        <f>(R147/$R$80)</f>
        <v>1.2508527276015485E-3</v>
      </c>
      <c r="T147" s="48">
        <f t="shared" ref="T147" si="117">((R147-P147)/P147)</f>
        <v>1.4074674546061634E-2</v>
      </c>
      <c r="U147" s="84">
        <f t="shared" si="103"/>
        <v>-1.2165438463241569E-3</v>
      </c>
      <c r="V147" s="49">
        <f t="shared" si="104"/>
        <v>-1.2165438463241569E-3</v>
      </c>
      <c r="W147" s="50">
        <f t="shared" si="105"/>
        <v>1012.8816486148032</v>
      </c>
      <c r="X147" s="50">
        <f t="shared" si="106"/>
        <v>-1.2322149366770059</v>
      </c>
      <c r="Y147" s="101">
        <v>1012.88</v>
      </c>
      <c r="Z147" s="101">
        <v>1012.88</v>
      </c>
      <c r="AA147" s="189">
        <v>17</v>
      </c>
      <c r="AB147" s="190">
        <v>500687</v>
      </c>
      <c r="AC147" s="13"/>
      <c r="AD147" s="4"/>
      <c r="AE147" s="4"/>
      <c r="AF147" s="4"/>
      <c r="AG147" s="5"/>
      <c r="AH147" s="6"/>
      <c r="AI147" s="6"/>
      <c r="AJ147" s="6"/>
      <c r="AK147" s="7"/>
      <c r="AL147" s="5"/>
      <c r="AM147" s="6"/>
      <c r="AN147" s="6"/>
      <c r="AO147" s="6"/>
      <c r="AP147" s="7"/>
      <c r="AQ147" s="5"/>
      <c r="AR147" s="6"/>
      <c r="AS147" s="6"/>
      <c r="AT147" s="6"/>
      <c r="AU147" s="7"/>
      <c r="AV147" s="31"/>
      <c r="AW147" s="31"/>
      <c r="AX147" s="31"/>
      <c r="AY147" s="31"/>
      <c r="AZ147" s="31"/>
      <c r="BA147" s="31"/>
      <c r="BB147" s="31"/>
      <c r="BC147" s="31"/>
      <c r="BD147" s="31"/>
      <c r="BE147" s="31"/>
      <c r="BF147" s="31"/>
      <c r="BG147" s="31"/>
      <c r="BH147" s="31"/>
      <c r="BI147" s="31"/>
      <c r="BJ147" s="31"/>
      <c r="BK147" s="31"/>
      <c r="BL147" s="31"/>
      <c r="BM147" s="31"/>
      <c r="BN147" s="31"/>
      <c r="BO147" s="31"/>
      <c r="BP147" s="31"/>
      <c r="BQ147" s="31"/>
      <c r="BR147" s="31"/>
      <c r="BS147" s="31"/>
      <c r="BT147" s="31"/>
      <c r="BU147" s="31"/>
      <c r="BV147" s="31"/>
      <c r="BW147" s="31"/>
      <c r="BX147" s="31"/>
      <c r="BY147" s="31"/>
      <c r="BZ147" s="31"/>
      <c r="CA147" s="31"/>
      <c r="CB147" s="31"/>
      <c r="CC147" s="31"/>
      <c r="CD147" s="31"/>
      <c r="CE147" s="31"/>
      <c r="CF147" s="31"/>
      <c r="CG147" s="31"/>
      <c r="CH147" s="31"/>
      <c r="CI147" s="31"/>
      <c r="CJ147" s="31"/>
      <c r="CK147" s="31"/>
      <c r="CL147" s="31"/>
      <c r="CM147" s="31"/>
      <c r="CN147" s="31"/>
      <c r="CO147" s="31"/>
      <c r="CP147" s="31"/>
      <c r="CQ147" s="31"/>
      <c r="CR147" s="31"/>
      <c r="CS147" s="31"/>
      <c r="CT147" s="31"/>
      <c r="CU147" s="31"/>
      <c r="CV147" s="31"/>
      <c r="CW147" s="31"/>
      <c r="CX147" s="31"/>
      <c r="CY147" s="31"/>
      <c r="CZ147" s="31"/>
      <c r="DA147" s="31"/>
      <c r="DB147" s="31"/>
      <c r="DC147" s="31"/>
      <c r="DD147" s="31"/>
      <c r="DE147" s="31"/>
      <c r="DF147" s="31"/>
      <c r="DG147" s="31"/>
      <c r="DH147" s="31"/>
      <c r="DI147" s="31"/>
      <c r="DJ147" s="31"/>
      <c r="DK147" s="31"/>
      <c r="DL147" s="31"/>
      <c r="DM147" s="31"/>
      <c r="DN147" s="31"/>
      <c r="DO147" s="31"/>
      <c r="DP147" s="31"/>
      <c r="DQ147" s="31"/>
      <c r="DR147" s="31"/>
      <c r="DS147" s="31"/>
      <c r="DT147" s="31"/>
      <c r="DU147" s="31"/>
      <c r="DV147" s="31"/>
      <c r="DW147" s="31"/>
      <c r="DX147" s="31"/>
      <c r="DY147" s="31"/>
      <c r="DZ147" s="31"/>
      <c r="EA147" s="31"/>
      <c r="EB147" s="31"/>
      <c r="EC147" s="31"/>
      <c r="ED147" s="31"/>
      <c r="EE147" s="31"/>
      <c r="EF147" s="31"/>
      <c r="EG147" s="31"/>
      <c r="EH147" s="31"/>
      <c r="EI147" s="31"/>
      <c r="EJ147" s="31"/>
      <c r="EK147" s="31"/>
      <c r="EL147" s="31"/>
      <c r="EM147" s="31"/>
      <c r="EN147" s="31"/>
      <c r="EO147" s="31"/>
      <c r="EP147" s="31"/>
      <c r="EQ147" s="31"/>
      <c r="ER147" s="31"/>
      <c r="ES147" s="31"/>
      <c r="ET147" s="31"/>
      <c r="EU147" s="31"/>
      <c r="EV147" s="31"/>
      <c r="EW147" s="31"/>
      <c r="EX147" s="31"/>
      <c r="EY147" s="31"/>
      <c r="EZ147" s="31"/>
      <c r="FA147" s="31"/>
      <c r="FB147" s="31"/>
      <c r="FC147" s="31"/>
      <c r="FD147" s="31"/>
      <c r="FE147" s="31"/>
      <c r="FF147" s="31"/>
      <c r="FG147" s="31"/>
      <c r="FH147" s="31"/>
      <c r="FI147" s="31"/>
      <c r="FJ147" s="31"/>
      <c r="FK147" s="31"/>
      <c r="FL147" s="31"/>
      <c r="FM147" s="31"/>
      <c r="FN147" s="31"/>
      <c r="FO147" s="31"/>
      <c r="FP147" s="31"/>
      <c r="FQ147" s="31"/>
      <c r="FR147" s="31"/>
      <c r="FS147" s="31"/>
      <c r="FT147" s="31"/>
      <c r="FU147" s="31"/>
      <c r="FV147" s="31"/>
      <c r="FW147" s="31"/>
      <c r="FX147" s="31"/>
      <c r="FY147" s="31"/>
      <c r="FZ147" s="31"/>
      <c r="GA147" s="31"/>
      <c r="GB147" s="31"/>
      <c r="GC147" s="31"/>
      <c r="GD147" s="31"/>
      <c r="GE147" s="31"/>
      <c r="GF147" s="31"/>
      <c r="GG147" s="31"/>
      <c r="GH147" s="31"/>
      <c r="GI147" s="31"/>
      <c r="GJ147" s="31"/>
      <c r="GK147" s="31"/>
      <c r="GL147" s="31"/>
      <c r="GM147" s="31"/>
      <c r="GN147" s="31"/>
      <c r="GO147" s="31"/>
      <c r="GP147" s="31"/>
      <c r="GQ147" s="31"/>
      <c r="GR147" s="31"/>
      <c r="GS147" s="31"/>
      <c r="GT147" s="31"/>
      <c r="GU147" s="31"/>
      <c r="GV147" s="31"/>
      <c r="GW147" s="31"/>
      <c r="GX147" s="31"/>
      <c r="GY147" s="31"/>
      <c r="GZ147" s="31"/>
      <c r="HA147" s="31"/>
      <c r="HB147" s="31"/>
      <c r="HC147" s="31"/>
      <c r="HD147" s="31"/>
      <c r="HE147" s="31"/>
      <c r="HF147" s="31"/>
      <c r="HG147" s="31"/>
      <c r="HH147" s="31"/>
      <c r="HI147" s="31"/>
      <c r="HJ147" s="31"/>
      <c r="HK147" s="31"/>
      <c r="HL147" s="31"/>
      <c r="HM147" s="31"/>
      <c r="HN147" s="31"/>
      <c r="HO147" s="31"/>
      <c r="HP147" s="31"/>
      <c r="HQ147" s="31"/>
      <c r="HR147" s="31"/>
      <c r="HS147" s="31"/>
      <c r="HT147" s="31"/>
      <c r="HU147" s="31"/>
      <c r="HV147" s="31"/>
      <c r="HW147" s="31"/>
      <c r="HX147" s="31"/>
      <c r="HY147" s="31"/>
      <c r="HZ147" s="31"/>
      <c r="IA147" s="31"/>
      <c r="IB147" s="31"/>
      <c r="IC147" s="31"/>
      <c r="ID147" s="31"/>
      <c r="IE147" s="31"/>
      <c r="IF147" s="31"/>
      <c r="IG147" s="31"/>
      <c r="IH147" s="31"/>
      <c r="II147" s="31"/>
      <c r="IJ147" s="31"/>
      <c r="IK147" s="31"/>
      <c r="IL147" s="31"/>
      <c r="IM147" s="31"/>
      <c r="IN147" s="31"/>
      <c r="IO147" s="31"/>
      <c r="IP147" s="31"/>
      <c r="IQ147" s="31"/>
      <c r="IR147" s="31"/>
      <c r="IS147" s="31"/>
      <c r="IT147" s="31"/>
      <c r="IU147" s="31"/>
      <c r="IV147" s="31"/>
      <c r="IW147" s="31"/>
    </row>
    <row r="148" spans="1:257" ht="15.75" customHeight="1">
      <c r="A148" s="157"/>
      <c r="B148" s="78"/>
      <c r="C148" s="106" t="s">
        <v>53</v>
      </c>
      <c r="D148" s="60">
        <f>SUM(D139:D147)</f>
        <v>1444449839.75</v>
      </c>
      <c r="E148" s="60"/>
      <c r="F148" s="60">
        <f t="shared" ref="F148" si="118">SUM(F139:F147)</f>
        <v>710872938.63999999</v>
      </c>
      <c r="G148" s="60">
        <f>SUM(G139:G147)</f>
        <v>14611468781.949999</v>
      </c>
      <c r="H148" s="60"/>
      <c r="I148" s="60">
        <f t="shared" ref="I148:L148" si="119">SUM(I139:I147)</f>
        <v>53767359.281800002</v>
      </c>
      <c r="J148" s="60">
        <f t="shared" si="119"/>
        <v>17845826149.889999</v>
      </c>
      <c r="K148" s="60">
        <f t="shared" si="119"/>
        <v>256273115.81</v>
      </c>
      <c r="L148" s="60">
        <f t="shared" si="119"/>
        <v>24575085.289999999</v>
      </c>
      <c r="M148" s="60">
        <f t="shared" ref="M148" si="120">SUM(M139:M147)</f>
        <v>253399116.21000001</v>
      </c>
      <c r="N148" s="60">
        <f t="shared" ref="N148" si="121">SUM(N139:N147)</f>
        <v>18785427748.07</v>
      </c>
      <c r="O148" s="60">
        <f t="shared" ref="O148" si="122">SUM(O139:O147)</f>
        <v>275227671.22000003</v>
      </c>
      <c r="P148" s="61">
        <f>SUM(P139:P147)</f>
        <v>18350051604.060001</v>
      </c>
      <c r="Q148" s="118">
        <f>(P148/$P$149)</f>
        <v>1.3809481496957016E-2</v>
      </c>
      <c r="R148" s="61">
        <f>SUM(R139:R147)</f>
        <v>18523077508.279999</v>
      </c>
      <c r="S148" s="118">
        <f>(R148/$R$149)</f>
        <v>1.3370874362381116E-2</v>
      </c>
      <c r="T148" s="62">
        <f t="shared" si="102"/>
        <v>9.429178072813427E-3</v>
      </c>
      <c r="U148" s="84">
        <f t="shared" si="103"/>
        <v>1.3267279845379199E-3</v>
      </c>
      <c r="V148" s="63"/>
      <c r="W148" s="64"/>
      <c r="X148" s="64"/>
      <c r="Y148" s="60"/>
      <c r="Z148" s="60"/>
      <c r="AA148" s="65">
        <f>SUM(AA139:AA147)</f>
        <v>17143</v>
      </c>
      <c r="AB148" s="147"/>
      <c r="AC148" s="132"/>
    </row>
    <row r="149" spans="1:257" ht="15.75" customHeight="1" thickBot="1">
      <c r="A149" s="158"/>
      <c r="B149" s="159"/>
      <c r="C149" s="160" t="s">
        <v>148</v>
      </c>
      <c r="D149" s="161">
        <f>SUM(D148,D136,D131,D107,D101,D80,D51,D20)</f>
        <v>30779827169.619003</v>
      </c>
      <c r="E149" s="161"/>
      <c r="F149" s="161">
        <f t="shared" ref="F149:O149" si="123">SUM(F148,F136,F131,F107,F101,F80,F51,F20)</f>
        <v>624162021323.88171</v>
      </c>
      <c r="G149" s="161">
        <f t="shared" si="123"/>
        <v>514136190066.99695</v>
      </c>
      <c r="H149" s="161">
        <f t="shared" si="123"/>
        <v>37154478783.910004</v>
      </c>
      <c r="I149" s="161">
        <f t="shared" si="123"/>
        <v>101556164.01179999</v>
      </c>
      <c r="J149" s="161">
        <f t="shared" si="123"/>
        <v>1186140506965.8567</v>
      </c>
      <c r="K149" s="161">
        <f t="shared" si="123"/>
        <v>15107622067.346102</v>
      </c>
      <c r="L149" s="161">
        <f t="shared" si="123"/>
        <v>2219464433.0869999</v>
      </c>
      <c r="M149" s="161">
        <f t="shared" si="123"/>
        <v>9393460969.107399</v>
      </c>
      <c r="N149" s="161">
        <f t="shared" si="123"/>
        <v>1396072533647.4758</v>
      </c>
      <c r="O149" s="161">
        <f t="shared" si="123"/>
        <v>13205558422.579002</v>
      </c>
      <c r="P149" s="161">
        <f>SUM(P20,P51,P80,P101,P107,P131,P136,P148)</f>
        <v>1328800911757.876</v>
      </c>
      <c r="Q149" s="162"/>
      <c r="R149" s="161">
        <f>SUM(R20,R51,R80,R101,R107,R131,R136,R148)</f>
        <v>1385330308718.9705</v>
      </c>
      <c r="S149" s="162"/>
      <c r="T149" s="163"/>
      <c r="U149" s="164"/>
      <c r="V149" s="165"/>
      <c r="W149" s="166"/>
      <c r="X149" s="166"/>
      <c r="Y149" s="161"/>
      <c r="Z149" s="161"/>
      <c r="AA149" s="168">
        <f>SUM(AA20,AA51,AA80,AA101,AA107,AA131,AA136,AA148)</f>
        <v>882939</v>
      </c>
      <c r="AB149" s="167"/>
      <c r="AC149" s="132"/>
    </row>
    <row r="150" spans="1:257" ht="6" customHeight="1">
      <c r="A150" s="185"/>
      <c r="B150" s="185"/>
      <c r="C150" s="185"/>
      <c r="D150" s="6"/>
      <c r="E150" s="6"/>
      <c r="F150" s="6"/>
      <c r="G150" s="6"/>
      <c r="H150" s="6"/>
      <c r="I150" s="186"/>
      <c r="J150" s="6"/>
      <c r="K150" s="6"/>
      <c r="L150" s="6"/>
      <c r="M150" s="215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</row>
    <row r="151" spans="1:257" ht="15.75" customHeight="1">
      <c r="A151" s="179" t="s">
        <v>165</v>
      </c>
      <c r="B151" s="180" t="s">
        <v>166</v>
      </c>
      <c r="C151" s="181"/>
      <c r="D151" s="6"/>
      <c r="E151" s="6"/>
      <c r="F151" s="6"/>
      <c r="G151" s="6"/>
      <c r="H151" s="182"/>
      <c r="I151" s="6"/>
      <c r="J151" s="6"/>
      <c r="K151" s="6"/>
      <c r="L151" s="6"/>
      <c r="M151" s="215"/>
      <c r="N151" s="6"/>
      <c r="O151" s="6"/>
      <c r="P151" s="183"/>
      <c r="Q151" s="6"/>
      <c r="R151" s="183"/>
      <c r="S151" s="6"/>
      <c r="T151" s="6"/>
      <c r="U151" s="6"/>
      <c r="V151" s="6"/>
      <c r="W151" s="6"/>
      <c r="X151" s="6"/>
      <c r="Y151" s="6"/>
      <c r="Z151" s="6"/>
      <c r="AA151" s="6"/>
      <c r="AB151" s="184"/>
    </row>
    <row r="154" spans="1:257" ht="15.75" customHeight="1">
      <c r="E154" s="102"/>
    </row>
  </sheetData>
  <mergeCells count="24">
    <mergeCell ref="A142:C142"/>
    <mergeCell ref="R137:S137"/>
    <mergeCell ref="U137:V137"/>
    <mergeCell ref="W137:X137"/>
    <mergeCell ref="Y137:Z137"/>
    <mergeCell ref="AA137:AB137"/>
    <mergeCell ref="J137:K137"/>
    <mergeCell ref="A138:C138"/>
    <mergeCell ref="L137:M137"/>
    <mergeCell ref="N137:O137"/>
    <mergeCell ref="P137:Q137"/>
    <mergeCell ref="A137:C137"/>
    <mergeCell ref="D137:F137"/>
    <mergeCell ref="G137:I137"/>
    <mergeCell ref="A1:AB1"/>
    <mergeCell ref="A3:C3"/>
    <mergeCell ref="A21:C21"/>
    <mergeCell ref="A52:C52"/>
    <mergeCell ref="A81:C81"/>
    <mergeCell ref="A82:C82"/>
    <mergeCell ref="A93:C93"/>
    <mergeCell ref="A102:C102"/>
    <mergeCell ref="A108:C108"/>
    <mergeCell ref="A132:C132"/>
  </mergeCells>
  <phoneticPr fontId="16" type="noConversion"/>
  <pageMargins left="0.7" right="0.7" top="0.75" bottom="0.75" header="0.3" footer="0.3"/>
  <pageSetup orientation="landscape" r:id="rId1"/>
  <headerFooter>
    <oddFooter>&amp;C&amp;"Helvetica,Regular"&amp;12&amp;K000000&amp;P</oddFooter>
  </headerFooter>
  <rowBreaks count="3" manualBreakCount="3">
    <brk id="60" max="16383" man="1"/>
    <brk id="95" max="256" man="1"/>
    <brk id="12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24"/>
  <sheetViews>
    <sheetView showGridLines="0" zoomScale="80" zoomScaleNormal="80" workbookViewId="0">
      <selection activeCell="N10" sqref="N10"/>
    </sheetView>
  </sheetViews>
  <sheetFormatPr defaultColWidth="10" defaultRowHeight="12.95" customHeight="1"/>
  <cols>
    <col min="1" max="256" width="10" style="26" customWidth="1"/>
  </cols>
  <sheetData>
    <row r="1" spans="1:12" ht="12.95" customHeight="1">
      <c r="A1" s="27"/>
      <c r="B1" s="2"/>
      <c r="C1" s="2"/>
      <c r="D1" s="2"/>
      <c r="E1" s="2"/>
      <c r="F1" s="2"/>
      <c r="G1" s="2"/>
      <c r="H1" s="2"/>
      <c r="I1" s="2"/>
      <c r="J1" s="2"/>
      <c r="K1" s="3"/>
      <c r="L1" s="9"/>
    </row>
    <row r="2" spans="1:12" ht="12.95" customHeight="1">
      <c r="A2" s="5"/>
      <c r="B2" s="6"/>
      <c r="C2" s="6"/>
      <c r="D2" s="6"/>
      <c r="E2" s="6"/>
      <c r="F2" s="6"/>
      <c r="G2" s="6"/>
      <c r="H2" s="6"/>
      <c r="I2" s="6"/>
      <c r="J2" s="6"/>
      <c r="K2" s="7"/>
      <c r="L2" s="28"/>
    </row>
    <row r="3" spans="1:12" ht="12.95" customHeight="1">
      <c r="A3" s="5"/>
      <c r="B3" s="6"/>
      <c r="C3" s="6"/>
      <c r="D3" s="6"/>
      <c r="E3" s="6"/>
      <c r="F3" s="6"/>
      <c r="G3" s="6"/>
      <c r="H3" s="6"/>
      <c r="I3" s="6"/>
      <c r="J3" s="6"/>
      <c r="K3" s="7"/>
      <c r="L3" s="28"/>
    </row>
    <row r="4" spans="1:12" ht="12.95" customHeight="1">
      <c r="A4" s="5"/>
      <c r="B4" s="6"/>
      <c r="C4" s="6"/>
      <c r="D4" s="6"/>
      <c r="E4" s="6"/>
      <c r="F4" s="6"/>
      <c r="G4" s="6"/>
      <c r="H4" s="6"/>
      <c r="I4" s="6"/>
      <c r="J4" s="6"/>
      <c r="K4" s="7"/>
      <c r="L4" s="28"/>
    </row>
    <row r="5" spans="1:12" ht="12.95" customHeight="1">
      <c r="A5" s="5"/>
      <c r="B5" s="6"/>
      <c r="C5" s="6"/>
      <c r="D5" s="6"/>
      <c r="E5" s="6"/>
      <c r="F5" s="6"/>
      <c r="G5" s="6"/>
      <c r="H5" s="6"/>
      <c r="I5" s="6"/>
      <c r="J5" s="6"/>
      <c r="K5" s="7"/>
      <c r="L5" s="28"/>
    </row>
    <row r="6" spans="1:12" ht="12.95" customHeight="1">
      <c r="A6" s="5"/>
      <c r="B6" s="6"/>
      <c r="C6" s="6"/>
      <c r="D6" s="6"/>
      <c r="E6" s="6"/>
      <c r="F6" s="6"/>
      <c r="G6" s="6"/>
      <c r="H6" s="6"/>
      <c r="I6" s="6"/>
      <c r="J6" s="6"/>
      <c r="K6" s="7"/>
      <c r="L6" s="28"/>
    </row>
    <row r="7" spans="1:12" ht="12.95" customHeight="1">
      <c r="A7" s="5"/>
      <c r="B7" s="6"/>
      <c r="C7" s="6"/>
      <c r="D7" s="6"/>
      <c r="E7" s="6"/>
      <c r="F7" s="6"/>
      <c r="G7" s="6"/>
      <c r="H7" s="6"/>
      <c r="I7" s="6"/>
      <c r="J7" s="6"/>
      <c r="K7" s="7"/>
      <c r="L7" s="28"/>
    </row>
    <row r="8" spans="1:12" ht="12.95" customHeight="1">
      <c r="A8" s="5"/>
      <c r="B8" s="6"/>
      <c r="C8" s="6"/>
      <c r="D8" s="6"/>
      <c r="E8" s="6"/>
      <c r="F8" s="6"/>
      <c r="G8" s="6"/>
      <c r="H8" s="6"/>
      <c r="I8" s="6"/>
      <c r="J8" s="6"/>
      <c r="K8" s="7"/>
      <c r="L8" s="28"/>
    </row>
    <row r="9" spans="1:12" ht="12.95" customHeight="1">
      <c r="A9" s="5"/>
      <c r="B9" s="6"/>
      <c r="C9" s="6"/>
      <c r="D9" s="6"/>
      <c r="E9" s="6"/>
      <c r="F9" s="6"/>
      <c r="G9" s="6"/>
      <c r="H9" s="6"/>
      <c r="I9" s="6"/>
      <c r="J9" s="6"/>
      <c r="K9" s="7"/>
      <c r="L9" s="28"/>
    </row>
    <row r="10" spans="1:12" ht="12.95" customHeight="1">
      <c r="A10" s="5"/>
      <c r="B10" s="6"/>
      <c r="C10" s="6"/>
      <c r="D10" s="6"/>
      <c r="E10" s="6"/>
      <c r="F10" s="6"/>
      <c r="G10" s="6"/>
      <c r="H10" s="6"/>
      <c r="I10" s="6"/>
      <c r="J10" s="6"/>
      <c r="K10" s="7"/>
      <c r="L10" s="28"/>
    </row>
    <row r="11" spans="1:12" ht="12.95" customHeight="1">
      <c r="A11" s="5"/>
      <c r="B11" s="6"/>
      <c r="C11" s="6"/>
      <c r="D11" s="6"/>
      <c r="E11" s="6"/>
      <c r="F11" s="6"/>
      <c r="G11" s="6"/>
      <c r="H11" s="6"/>
      <c r="I11" s="6"/>
      <c r="J11" s="6"/>
      <c r="K11" s="7"/>
      <c r="L11" s="28"/>
    </row>
    <row r="12" spans="1:12" ht="12.95" customHeight="1">
      <c r="A12" s="5"/>
      <c r="B12" s="6"/>
      <c r="C12" s="6"/>
      <c r="D12" s="6"/>
      <c r="E12" s="6"/>
      <c r="F12" s="6"/>
      <c r="G12" s="6"/>
      <c r="H12" s="6"/>
      <c r="I12" s="6"/>
      <c r="J12" s="6"/>
      <c r="K12" s="7"/>
      <c r="L12" s="28"/>
    </row>
    <row r="13" spans="1:12" ht="12.95" customHeight="1">
      <c r="A13" s="5"/>
      <c r="B13" s="6"/>
      <c r="C13" s="6"/>
      <c r="D13" s="6"/>
      <c r="E13" s="6"/>
      <c r="F13" s="6"/>
      <c r="G13" s="6"/>
      <c r="H13" s="6"/>
      <c r="I13" s="6"/>
      <c r="J13" s="6"/>
      <c r="K13" s="7"/>
      <c r="L13" s="28"/>
    </row>
    <row r="14" spans="1:12" ht="12.95" customHeight="1">
      <c r="A14" s="5"/>
      <c r="B14" s="6"/>
      <c r="C14" s="6"/>
      <c r="D14" s="6"/>
      <c r="E14" s="6"/>
      <c r="F14" s="6"/>
      <c r="G14" s="6"/>
      <c r="H14" s="6"/>
      <c r="I14" s="6"/>
      <c r="J14" s="6"/>
      <c r="K14" s="7"/>
      <c r="L14" s="28"/>
    </row>
    <row r="15" spans="1:12" ht="12.95" customHeight="1">
      <c r="A15" s="5"/>
      <c r="B15" s="6"/>
      <c r="C15" s="6"/>
      <c r="D15" s="6"/>
      <c r="E15" s="6"/>
      <c r="F15" s="6"/>
      <c r="G15" s="6"/>
      <c r="H15" s="6"/>
      <c r="I15" s="6"/>
      <c r="J15" s="6"/>
      <c r="K15" s="7"/>
      <c r="L15" s="28"/>
    </row>
    <row r="16" spans="1:12" ht="12.95" customHeight="1">
      <c r="A16" s="5"/>
      <c r="B16" s="6"/>
      <c r="C16" s="6"/>
      <c r="D16" s="6"/>
      <c r="E16" s="6"/>
      <c r="F16" s="6"/>
      <c r="G16" s="6"/>
      <c r="H16" s="6"/>
      <c r="I16" s="6"/>
      <c r="J16" s="6"/>
      <c r="K16" s="7"/>
      <c r="L16" s="28"/>
    </row>
    <row r="17" spans="1:12" ht="12.95" customHeight="1">
      <c r="A17" s="5"/>
      <c r="B17" s="6"/>
      <c r="C17" s="6"/>
      <c r="D17" s="6"/>
      <c r="E17" s="6"/>
      <c r="F17" s="6"/>
      <c r="G17" s="6"/>
      <c r="H17" s="6"/>
      <c r="I17" s="6"/>
      <c r="J17" s="6"/>
      <c r="K17" s="7"/>
      <c r="L17" s="28"/>
    </row>
    <row r="18" spans="1:12" ht="12.95" customHeight="1">
      <c r="A18" s="5"/>
      <c r="B18" s="6"/>
      <c r="C18" s="6"/>
      <c r="D18" s="6"/>
      <c r="E18" s="6"/>
      <c r="F18" s="6"/>
      <c r="G18" s="6"/>
      <c r="H18" s="6"/>
      <c r="I18" s="6"/>
      <c r="J18" s="6"/>
      <c r="K18" s="7"/>
      <c r="L18" s="28"/>
    </row>
    <row r="19" spans="1:12" ht="12.95" customHeight="1">
      <c r="A19" s="5"/>
      <c r="B19" s="6"/>
      <c r="C19" s="6"/>
      <c r="D19" s="6"/>
      <c r="E19" s="6"/>
      <c r="F19" s="6"/>
      <c r="G19" s="6"/>
      <c r="H19" s="6"/>
      <c r="I19" s="6"/>
      <c r="J19" s="6"/>
      <c r="K19" s="7"/>
      <c r="L19" s="28"/>
    </row>
    <row r="20" spans="1:12" ht="12.95" customHeight="1">
      <c r="A20" s="5"/>
      <c r="B20" s="6"/>
      <c r="C20" s="6"/>
      <c r="D20" s="6"/>
      <c r="E20" s="6"/>
      <c r="F20" s="6"/>
      <c r="G20" s="6"/>
      <c r="H20" s="6"/>
      <c r="I20" s="6"/>
      <c r="J20" s="6"/>
      <c r="K20" s="7"/>
      <c r="L20" s="28"/>
    </row>
    <row r="21" spans="1:12" ht="12.95" customHeight="1">
      <c r="A21" s="5"/>
      <c r="B21" s="6"/>
      <c r="C21" s="6"/>
      <c r="D21" s="6"/>
      <c r="E21" s="6"/>
      <c r="F21" s="6"/>
      <c r="G21" s="6"/>
      <c r="H21" s="6"/>
      <c r="I21" s="6"/>
      <c r="J21" s="6"/>
      <c r="K21" s="7"/>
      <c r="L21" s="28"/>
    </row>
    <row r="22" spans="1:12" ht="12.95" customHeight="1">
      <c r="A22" s="5"/>
      <c r="B22" s="6"/>
      <c r="C22" s="6"/>
      <c r="D22" s="6"/>
      <c r="E22" s="6"/>
      <c r="F22" s="6"/>
      <c r="G22" s="6"/>
      <c r="H22" s="6"/>
      <c r="I22" s="6"/>
      <c r="J22" s="6"/>
      <c r="K22" s="7"/>
      <c r="L22" s="28"/>
    </row>
    <row r="23" spans="1:12" ht="12.95" customHeight="1">
      <c r="A23" s="5"/>
      <c r="B23" s="6"/>
      <c r="C23" s="6"/>
      <c r="D23" s="6"/>
      <c r="E23" s="6"/>
      <c r="F23" s="6"/>
      <c r="G23" s="6"/>
      <c r="H23" s="6"/>
      <c r="I23" s="6"/>
      <c r="J23" s="6"/>
      <c r="K23" s="7"/>
      <c r="L23" s="28"/>
    </row>
    <row r="24" spans="1:12" ht="12.95" customHeight="1">
      <c r="A24" s="23"/>
      <c r="B24" s="24"/>
      <c r="C24" s="24"/>
      <c r="D24" s="24"/>
      <c r="E24" s="24"/>
      <c r="F24" s="24"/>
      <c r="G24" s="24"/>
      <c r="H24" s="24"/>
      <c r="I24" s="24"/>
      <c r="J24" s="24"/>
      <c r="K24" s="25"/>
      <c r="L24" s="12"/>
    </row>
  </sheetData>
  <pageMargins left="0.7" right="0.7" top="0.75" bottom="0.75" header="0.3" footer="0.3"/>
  <pageSetup orientation="portrait"/>
  <headerFooter>
    <oddFooter>&amp;C&amp;"Helvetica,Regular"&amp;12&amp;K000000&amp;P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24"/>
  <sheetViews>
    <sheetView showGridLines="0" zoomScale="80" zoomScaleNormal="80" workbookViewId="0">
      <selection activeCell="P1" sqref="P1"/>
    </sheetView>
  </sheetViews>
  <sheetFormatPr defaultColWidth="10" defaultRowHeight="12.95" customHeight="1"/>
  <cols>
    <col min="1" max="256" width="10" style="29" customWidth="1"/>
  </cols>
  <sheetData>
    <row r="1" spans="1:14" ht="12.95" customHeight="1">
      <c r="A1" s="27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</row>
    <row r="2" spans="1:14" ht="12.95" customHeight="1">
      <c r="A2" s="5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7"/>
    </row>
    <row r="3" spans="1:14" ht="12.95" customHeight="1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7"/>
    </row>
    <row r="4" spans="1:14" ht="12.95" customHeight="1">
      <c r="A4" s="5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7"/>
    </row>
    <row r="5" spans="1:14" ht="12.95" customHeight="1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7"/>
    </row>
    <row r="6" spans="1:14" ht="12.95" customHeight="1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7"/>
    </row>
    <row r="7" spans="1:14" ht="12.95" customHeight="1">
      <c r="A7" s="5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7"/>
    </row>
    <row r="8" spans="1:14" ht="12.95" customHeight="1">
      <c r="A8" s="5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7"/>
    </row>
    <row r="9" spans="1:14" ht="12.95" customHeight="1">
      <c r="A9" s="5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7"/>
    </row>
    <row r="10" spans="1:14" ht="12.95" customHeight="1">
      <c r="A10" s="5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7"/>
    </row>
    <row r="11" spans="1:14" ht="12.95" customHeight="1">
      <c r="A11" s="5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7"/>
    </row>
    <row r="12" spans="1:14" ht="12.95" customHeight="1">
      <c r="A12" s="5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7"/>
    </row>
    <row r="13" spans="1:14" ht="12.95" customHeight="1">
      <c r="A13" s="5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7"/>
    </row>
    <row r="14" spans="1:14" ht="12.95" customHeight="1">
      <c r="A14" s="5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7"/>
    </row>
    <row r="15" spans="1:14" ht="12.95" customHeight="1">
      <c r="A15" s="5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7"/>
    </row>
    <row r="16" spans="1:14" ht="12.95" customHeight="1">
      <c r="A16" s="5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7"/>
    </row>
    <row r="17" spans="1:14" ht="12.95" customHeight="1">
      <c r="A17" s="5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7"/>
    </row>
    <row r="18" spans="1:14" ht="12.95" customHeight="1">
      <c r="A18" s="5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7"/>
    </row>
    <row r="19" spans="1:14" ht="12.95" customHeight="1">
      <c r="A19" s="5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7"/>
    </row>
    <row r="20" spans="1:14" ht="12.95" customHeight="1">
      <c r="A20" s="5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7"/>
    </row>
    <row r="21" spans="1:14" ht="12.95" customHeight="1">
      <c r="A21" s="5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7"/>
    </row>
    <row r="22" spans="1:14" ht="12.95" customHeight="1">
      <c r="A22" s="5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7"/>
    </row>
    <row r="23" spans="1:14" ht="12.95" customHeight="1">
      <c r="A23" s="5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7"/>
    </row>
    <row r="24" spans="1:14" ht="12.95" customHeight="1">
      <c r="A24" s="23"/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5"/>
    </row>
  </sheetData>
  <pageMargins left="0.7" right="0.7" top="0.75" bottom="0.75" header="0.3" footer="0.3"/>
  <pageSetup orientation="portrait"/>
  <headerFooter>
    <oddFooter>&amp;C&amp;"Helvetica,Regular"&amp;12&amp;K000000&amp;P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22"/>
  <sheetViews>
    <sheetView showGridLines="0" zoomScale="80" zoomScaleNormal="80" workbookViewId="0">
      <selection activeCell="T14" sqref="T14"/>
    </sheetView>
  </sheetViews>
  <sheetFormatPr defaultColWidth="8.85546875" defaultRowHeight="15" customHeight="1"/>
  <cols>
    <col min="1" max="3" width="8.85546875" style="30" customWidth="1"/>
    <col min="4" max="4" width="10.42578125" style="30" customWidth="1"/>
    <col min="5" max="256" width="8.85546875" style="30" customWidth="1"/>
  </cols>
  <sheetData>
    <row r="1" spans="1:14" ht="15" customHeight="1">
      <c r="A1" s="27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/>
      <c r="N1" s="9"/>
    </row>
    <row r="2" spans="1:14" ht="15" customHeight="1">
      <c r="A2" s="5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7"/>
      <c r="N2" s="28"/>
    </row>
    <row r="3" spans="1:14" ht="15" customHeight="1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7"/>
      <c r="N3" s="28"/>
    </row>
    <row r="4" spans="1:14" ht="15" customHeight="1">
      <c r="A4" s="5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7"/>
      <c r="N4" s="28"/>
    </row>
    <row r="5" spans="1:14" ht="15" customHeight="1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7"/>
      <c r="N5" s="28"/>
    </row>
    <row r="6" spans="1:14" ht="15" customHeight="1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7"/>
      <c r="N6" s="28"/>
    </row>
    <row r="7" spans="1:14" ht="15" customHeight="1">
      <c r="A7" s="5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7"/>
      <c r="N7" s="28"/>
    </row>
    <row r="8" spans="1:14" ht="15" customHeight="1">
      <c r="A8" s="5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7"/>
      <c r="N8" s="28"/>
    </row>
    <row r="9" spans="1:14" ht="15" customHeight="1">
      <c r="A9" s="5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7"/>
      <c r="N9" s="28"/>
    </row>
    <row r="10" spans="1:14" ht="15" customHeight="1">
      <c r="A10" s="5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7"/>
      <c r="N10" s="28"/>
    </row>
    <row r="11" spans="1:14" ht="15" customHeight="1">
      <c r="A11" s="5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7"/>
      <c r="N11" s="28"/>
    </row>
    <row r="12" spans="1:14" ht="15" customHeight="1">
      <c r="A12" s="5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7"/>
      <c r="N12" s="28"/>
    </row>
    <row r="13" spans="1:14" ht="15" customHeight="1">
      <c r="A13" s="5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7"/>
      <c r="N13" s="28"/>
    </row>
    <row r="14" spans="1:14" ht="15" customHeight="1">
      <c r="A14" s="5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7"/>
      <c r="N14" s="28"/>
    </row>
    <row r="15" spans="1:14" ht="15" customHeight="1">
      <c r="A15" s="5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7"/>
      <c r="N15" s="28"/>
    </row>
    <row r="16" spans="1:14" ht="15" customHeight="1">
      <c r="A16" s="5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7"/>
      <c r="N16" s="28"/>
    </row>
    <row r="17" spans="1:14" ht="15" customHeight="1">
      <c r="A17" s="5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7"/>
      <c r="N17" s="28"/>
    </row>
    <row r="18" spans="1:14" ht="15" customHeight="1">
      <c r="A18" s="5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7"/>
      <c r="N18" s="28"/>
    </row>
    <row r="19" spans="1:14" ht="15" customHeight="1">
      <c r="A19" s="5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7"/>
      <c r="N19" s="28"/>
    </row>
    <row r="20" spans="1:14" ht="15" customHeight="1">
      <c r="A20" s="5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7"/>
      <c r="N20" s="28"/>
    </row>
    <row r="21" spans="1:14" ht="15" customHeight="1">
      <c r="A21" s="5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7"/>
      <c r="N21" s="28"/>
    </row>
    <row r="22" spans="1:14" ht="15" customHeight="1">
      <c r="A22" s="23"/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5"/>
      <c r="N22" s="12"/>
    </row>
  </sheetData>
  <pageMargins left="0.7" right="0.7" top="0.75" bottom="0.75" header="0.3" footer="0.3"/>
  <pageSetup orientation="portrait"/>
  <headerFooter>
    <oddFooter>&amp;C&amp;"Helvetica,Regular"&amp;12&amp;K000000&amp;P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FEBRUARY 2022</vt:lpstr>
      <vt:lpstr>Market Share</vt:lpstr>
      <vt:lpstr>Unit Holders</vt:lpstr>
      <vt:lpstr>NAV Comparison Jan &amp; Feb '22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Isaac, Tunde</dc:creator>
  <cp:lastModifiedBy>Isaac, Tunde</cp:lastModifiedBy>
  <cp:lastPrinted>2021-12-13T00:24:01Z</cp:lastPrinted>
  <dcterms:created xsi:type="dcterms:W3CDTF">2021-07-14T13:16:57Z</dcterms:created>
  <dcterms:modified xsi:type="dcterms:W3CDTF">2022-04-01T12:16:24Z</dcterms:modified>
</cp:coreProperties>
</file>