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10740" yWindow="465" windowWidth="18060" windowHeight="16515"/>
  </bookViews>
  <sheets>
    <sheet name="JANUARY 2022" sheetId="1" r:id="rId1"/>
    <sheet name="Market Share" sheetId="2" r:id="rId2"/>
    <sheet name="Unit Holders" sheetId="3" r:id="rId3"/>
    <sheet name="NAV Comparison Dec'21 &amp; Jan'22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47" i="1" l="1"/>
  <c r="R147" i="1" l="1"/>
  <c r="P147" i="1"/>
  <c r="X78" i="1"/>
  <c r="W78" i="1"/>
  <c r="V78" i="1"/>
  <c r="U78" i="1"/>
  <c r="T78" i="1"/>
  <c r="X17" i="1" l="1"/>
  <c r="W17" i="1"/>
  <c r="V17" i="1"/>
  <c r="U17" i="1"/>
  <c r="T17" i="1"/>
  <c r="Z89" i="1" l="1"/>
  <c r="Y89" i="1"/>
  <c r="O89" i="1"/>
  <c r="N89" i="1"/>
  <c r="L89" i="1"/>
  <c r="K89" i="1"/>
  <c r="G89" i="1"/>
  <c r="X146" i="1" l="1"/>
  <c r="W146" i="1"/>
  <c r="V146" i="1"/>
  <c r="U146" i="1"/>
  <c r="T146" i="1"/>
  <c r="J127" i="1" l="1"/>
  <c r="AA95" i="1"/>
  <c r="Z95" i="1"/>
  <c r="Y95" i="1"/>
  <c r="R95" i="1"/>
  <c r="O95" i="1"/>
  <c r="N95" i="1"/>
  <c r="L95" i="1"/>
  <c r="M95" i="1"/>
  <c r="K95" i="1"/>
  <c r="G95" i="1"/>
  <c r="F97" i="1"/>
  <c r="Z93" i="1"/>
  <c r="Y93" i="1"/>
  <c r="R93" i="1"/>
  <c r="O93" i="1"/>
  <c r="N93" i="1"/>
  <c r="L93" i="1"/>
  <c r="K93" i="1"/>
  <c r="J93" i="1"/>
  <c r="G93" i="1"/>
  <c r="F93" i="1"/>
  <c r="I27" i="1" l="1"/>
  <c r="I102" i="1"/>
  <c r="I90" i="1"/>
  <c r="AA124" i="1"/>
  <c r="J123" i="1"/>
  <c r="AA30" i="1"/>
  <c r="AA145" i="1"/>
  <c r="I145" i="1"/>
  <c r="AA138" i="1"/>
  <c r="I138" i="1"/>
  <c r="I68" i="1"/>
  <c r="AA43" i="1" l="1"/>
  <c r="J133" i="1"/>
  <c r="Z94" i="1" l="1"/>
  <c r="Y94" i="1"/>
  <c r="R94" i="1"/>
  <c r="O94" i="1"/>
  <c r="N94" i="1"/>
  <c r="M94" i="1"/>
  <c r="L94" i="1"/>
  <c r="K94" i="1"/>
  <c r="J94" i="1"/>
  <c r="G94" i="1"/>
  <c r="F94" i="1"/>
  <c r="Z97" i="1"/>
  <c r="Y97" i="1"/>
  <c r="K97" i="1"/>
  <c r="L97" i="1"/>
  <c r="M97" i="1"/>
  <c r="N97" i="1"/>
  <c r="J97" i="1"/>
  <c r="O97" i="1"/>
  <c r="G97" i="1"/>
  <c r="I25" i="1"/>
  <c r="Z85" i="1"/>
  <c r="Y85" i="1"/>
  <c r="R85" i="1"/>
  <c r="O85" i="1"/>
  <c r="N85" i="1"/>
  <c r="M85" i="1"/>
  <c r="N86" i="1"/>
  <c r="L85" i="1"/>
  <c r="K85" i="1"/>
  <c r="K86" i="1"/>
  <c r="J85" i="1"/>
  <c r="G85" i="1"/>
  <c r="F86" i="1"/>
  <c r="I79" i="1"/>
  <c r="X79" i="1" l="1"/>
  <c r="W79" i="1"/>
  <c r="V79" i="1"/>
  <c r="U79" i="1"/>
  <c r="T79" i="1"/>
  <c r="Z99" i="1"/>
  <c r="Y99" i="1"/>
  <c r="R99" i="1"/>
  <c r="O99" i="1"/>
  <c r="N99" i="1"/>
  <c r="M99" i="1"/>
  <c r="L99" i="1"/>
  <c r="K99" i="1"/>
  <c r="J99" i="1"/>
  <c r="G99" i="1"/>
  <c r="G96" i="1"/>
  <c r="Z86" i="1"/>
  <c r="Y86" i="1"/>
  <c r="R86" i="1"/>
  <c r="O86" i="1"/>
  <c r="L86" i="1"/>
  <c r="J86" i="1"/>
  <c r="G86" i="1"/>
  <c r="I32" i="1"/>
  <c r="J96" i="1"/>
  <c r="K96" i="1"/>
  <c r="L96" i="1"/>
  <c r="M96" i="1"/>
  <c r="N96" i="1"/>
  <c r="O96" i="1"/>
  <c r="R96" i="1"/>
  <c r="Y96" i="1"/>
  <c r="Z96" i="1"/>
  <c r="R20" i="1"/>
  <c r="S17" i="1" s="1"/>
  <c r="P135" i="1"/>
  <c r="P130" i="1"/>
  <c r="P106" i="1"/>
  <c r="P99" i="1"/>
  <c r="P97" i="1"/>
  <c r="P96" i="1"/>
  <c r="P95" i="1"/>
  <c r="P94" i="1"/>
  <c r="P93" i="1"/>
  <c r="P89" i="1"/>
  <c r="P85" i="1"/>
  <c r="P80" i="1"/>
  <c r="P51" i="1"/>
  <c r="P20" i="1"/>
  <c r="Q17" i="1" s="1"/>
  <c r="Q146" i="1" l="1"/>
  <c r="Q78" i="1"/>
  <c r="Q79" i="1"/>
  <c r="P100" i="1"/>
  <c r="P148" i="1" s="1"/>
  <c r="X35" i="1" l="1"/>
  <c r="V34" i="1"/>
  <c r="V35" i="1"/>
  <c r="V42" i="1" l="1"/>
  <c r="V48" i="1"/>
  <c r="V119" i="1"/>
  <c r="X118" i="1"/>
  <c r="X120" i="1"/>
  <c r="X96" i="1"/>
  <c r="W96" i="1"/>
  <c r="X95" i="1"/>
  <c r="W99" i="1"/>
  <c r="X99" i="1"/>
  <c r="U99" i="1"/>
  <c r="V99" i="1" l="1"/>
  <c r="T76" i="1" l="1"/>
  <c r="T70" i="1"/>
  <c r="T133" i="1"/>
  <c r="R130" i="1" l="1"/>
  <c r="AA135" i="1" l="1"/>
  <c r="R135" i="1"/>
  <c r="S133" i="1" s="1"/>
  <c r="S134" i="1" l="1"/>
  <c r="S132" i="1"/>
  <c r="Q133" i="1"/>
  <c r="Q134" i="1"/>
  <c r="Q132" i="1"/>
  <c r="T135" i="1"/>
  <c r="AA100" i="1"/>
  <c r="R100" i="1"/>
  <c r="AA80" i="1"/>
  <c r="R80" i="1"/>
  <c r="S146" i="1" l="1"/>
  <c r="S78" i="1"/>
  <c r="S79" i="1"/>
  <c r="S94" i="1"/>
  <c r="S86" i="1"/>
  <c r="S95" i="1"/>
  <c r="S87" i="1"/>
  <c r="S88" i="1"/>
  <c r="S97" i="1"/>
  <c r="S89" i="1"/>
  <c r="S96" i="1"/>
  <c r="S98" i="1"/>
  <c r="S90" i="1"/>
  <c r="S99" i="1"/>
  <c r="S83" i="1"/>
  <c r="S84" i="1"/>
  <c r="S85" i="1"/>
  <c r="S61" i="1"/>
  <c r="S69" i="1"/>
  <c r="S77" i="1"/>
  <c r="S63" i="1"/>
  <c r="S71" i="1"/>
  <c r="S54" i="1"/>
  <c r="S62" i="1"/>
  <c r="S70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3" i="1"/>
  <c r="S144" i="1"/>
  <c r="S145" i="1"/>
  <c r="S142" i="1"/>
  <c r="S139" i="1"/>
  <c r="Q143" i="1"/>
  <c r="Q144" i="1"/>
  <c r="Q145" i="1"/>
  <c r="Q142" i="1"/>
  <c r="Q139" i="1"/>
  <c r="Q99" i="1"/>
  <c r="Q90" i="1"/>
  <c r="Q93" i="1"/>
  <c r="Q83" i="1"/>
  <c r="Q97" i="1"/>
  <c r="Q84" i="1"/>
  <c r="Q94" i="1"/>
  <c r="Q85" i="1"/>
  <c r="Q89" i="1"/>
  <c r="Q95" i="1"/>
  <c r="Q86" i="1"/>
  <c r="Q96" i="1"/>
  <c r="Q87" i="1"/>
  <c r="Q88" i="1"/>
  <c r="Q98" i="1"/>
  <c r="Q59" i="1"/>
  <c r="Q60" i="1"/>
  <c r="Q68" i="1"/>
  <c r="Q76" i="1"/>
  <c r="Q62" i="1"/>
  <c r="Q70" i="1"/>
  <c r="Q63" i="1"/>
  <c r="Q71" i="1"/>
  <c r="Q61" i="1"/>
  <c r="Q69" i="1"/>
  <c r="Q77" i="1"/>
  <c r="Q54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4" i="1"/>
  <c r="W124" i="1"/>
  <c r="V124" i="1"/>
  <c r="U124" i="1"/>
  <c r="T124" i="1"/>
  <c r="X123" i="1"/>
  <c r="W123" i="1"/>
  <c r="V123" i="1"/>
  <c r="U123" i="1"/>
  <c r="T123" i="1"/>
  <c r="X98" i="1" l="1"/>
  <c r="W98" i="1"/>
  <c r="V98" i="1"/>
  <c r="U98" i="1"/>
  <c r="T98" i="1"/>
  <c r="W97" i="1"/>
  <c r="X97" i="1"/>
  <c r="X90" i="1"/>
  <c r="W90" i="1"/>
  <c r="V90" i="1"/>
  <c r="U90" i="1"/>
  <c r="T90" i="1"/>
  <c r="W89" i="1"/>
  <c r="X89" i="1"/>
  <c r="X88" i="1"/>
  <c r="W88" i="1"/>
  <c r="V88" i="1"/>
  <c r="U88" i="1"/>
  <c r="T88" i="1"/>
  <c r="X87" i="1"/>
  <c r="W87" i="1"/>
  <c r="V87" i="1"/>
  <c r="U87" i="1"/>
  <c r="T87" i="1"/>
  <c r="X85" i="1"/>
  <c r="X86" i="1"/>
  <c r="X84" i="1"/>
  <c r="W84" i="1"/>
  <c r="V84" i="1"/>
  <c r="U84" i="1"/>
  <c r="T84" i="1"/>
  <c r="X83" i="1"/>
  <c r="W83" i="1"/>
  <c r="V83" i="1"/>
  <c r="U83" i="1"/>
  <c r="T83" i="1"/>
  <c r="U96" i="1" l="1"/>
  <c r="W95" i="1"/>
  <c r="U97" i="1"/>
  <c r="V96" i="1"/>
  <c r="V95" i="1"/>
  <c r="T97" i="1"/>
  <c r="T96" i="1"/>
  <c r="T95" i="1"/>
  <c r="U95" i="1"/>
  <c r="V97" i="1"/>
  <c r="U86" i="1"/>
  <c r="U89" i="1"/>
  <c r="T85" i="1"/>
  <c r="W85" i="1"/>
  <c r="U85" i="1"/>
  <c r="T89" i="1"/>
  <c r="V86" i="1"/>
  <c r="V89" i="1"/>
  <c r="W86" i="1"/>
  <c r="V85" i="1"/>
  <c r="T86" i="1"/>
  <c r="T145" i="1" l="1"/>
  <c r="U138" i="1"/>
  <c r="U133" i="1"/>
  <c r="U134" i="1"/>
  <c r="U139" i="1"/>
  <c r="U143" i="1"/>
  <c r="U144" i="1"/>
  <c r="U145" i="1"/>
  <c r="T125" i="1"/>
  <c r="Q138" i="1"/>
  <c r="T50" i="1"/>
  <c r="T45" i="1"/>
  <c r="T58" i="1"/>
  <c r="S109" i="1" l="1"/>
  <c r="S117" i="1"/>
  <c r="S125" i="1"/>
  <c r="S110" i="1"/>
  <c r="S118" i="1"/>
  <c r="S126" i="1"/>
  <c r="S111" i="1"/>
  <c r="S119" i="1"/>
  <c r="S127" i="1"/>
  <c r="S112" i="1"/>
  <c r="S120" i="1"/>
  <c r="S128" i="1"/>
  <c r="S113" i="1"/>
  <c r="S121" i="1"/>
  <c r="S129" i="1"/>
  <c r="S123" i="1"/>
  <c r="S114" i="1"/>
  <c r="S122" i="1"/>
  <c r="S115" i="1"/>
  <c r="S116" i="1"/>
  <c r="S124" i="1"/>
  <c r="Q104" i="1"/>
  <c r="Q103" i="1"/>
  <c r="Q105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1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38" i="1"/>
  <c r="Q119" i="1" l="1"/>
  <c r="Q135" i="1"/>
  <c r="Q112" i="1"/>
  <c r="Q120" i="1"/>
  <c r="Q128" i="1"/>
  <c r="Q113" i="1"/>
  <c r="Q121" i="1"/>
  <c r="Q129" i="1"/>
  <c r="Q147" i="1"/>
  <c r="Q114" i="1"/>
  <c r="Q122" i="1"/>
  <c r="Q108" i="1"/>
  <c r="Q51" i="1"/>
  <c r="Q116" i="1"/>
  <c r="Q117" i="1"/>
  <c r="Q115" i="1"/>
  <c r="Q123" i="1"/>
  <c r="Q130" i="1"/>
  <c r="Q109" i="1"/>
  <c r="Q125" i="1"/>
  <c r="Q124" i="1"/>
  <c r="Q110" i="1"/>
  <c r="Q118" i="1"/>
  <c r="Q126" i="1"/>
  <c r="Q106" i="1"/>
  <c r="Q111" i="1"/>
  <c r="Q127" i="1"/>
  <c r="Q100" i="1"/>
  <c r="Q80" i="1"/>
  <c r="Q20" i="1"/>
  <c r="U147" i="1"/>
  <c r="U129" i="1"/>
  <c r="U128" i="1"/>
  <c r="U45" i="1"/>
  <c r="U44" i="1"/>
  <c r="X108" i="1" l="1"/>
  <c r="W121" i="1"/>
  <c r="T19" i="1" l="1"/>
  <c r="U64" i="1"/>
  <c r="U65" i="1"/>
  <c r="X133" i="1" l="1"/>
  <c r="T99" i="1" l="1"/>
  <c r="T57" i="1" l="1"/>
  <c r="X110" i="1"/>
  <c r="T128" i="1"/>
  <c r="T129" i="1"/>
  <c r="T56" i="1"/>
  <c r="AA106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28" i="1" l="1"/>
  <c r="W128" i="1"/>
  <c r="V128" i="1"/>
  <c r="X56" i="1"/>
  <c r="W56" i="1"/>
  <c r="V56" i="1"/>
  <c r="U56" i="1"/>
  <c r="X48" i="1"/>
  <c r="W48" i="1"/>
  <c r="U48" i="1"/>
  <c r="X144" i="1" l="1"/>
  <c r="W144" i="1"/>
  <c r="V144" i="1"/>
  <c r="T144" i="1"/>
  <c r="X127" i="1" l="1"/>
  <c r="W127" i="1"/>
  <c r="V127" i="1"/>
  <c r="U127" i="1"/>
  <c r="T127" i="1"/>
  <c r="X47" i="1" l="1"/>
  <c r="W47" i="1"/>
  <c r="V47" i="1"/>
  <c r="U47" i="1"/>
  <c r="T47" i="1"/>
  <c r="X104" i="1" l="1"/>
  <c r="W104" i="1"/>
  <c r="V104" i="1"/>
  <c r="U104" i="1"/>
  <c r="T104" i="1"/>
  <c r="X77" i="1" l="1"/>
  <c r="W77" i="1"/>
  <c r="V77" i="1"/>
  <c r="U77" i="1"/>
  <c r="T77" i="1"/>
  <c r="X143" i="1"/>
  <c r="W143" i="1"/>
  <c r="V143" i="1"/>
  <c r="T143" i="1"/>
  <c r="T147" i="1" l="1"/>
  <c r="X145" i="1"/>
  <c r="W145" i="1"/>
  <c r="V145" i="1"/>
  <c r="X139" i="1"/>
  <c r="W139" i="1"/>
  <c r="V139" i="1"/>
  <c r="T139" i="1"/>
  <c r="X134" i="1"/>
  <c r="W134" i="1"/>
  <c r="V134" i="1"/>
  <c r="T134" i="1"/>
  <c r="W133" i="1"/>
  <c r="V133" i="1"/>
  <c r="X138" i="1"/>
  <c r="W138" i="1"/>
  <c r="V138" i="1"/>
  <c r="T138" i="1"/>
  <c r="X132" i="1"/>
  <c r="W132" i="1"/>
  <c r="V132" i="1"/>
  <c r="U132" i="1"/>
  <c r="T132" i="1"/>
  <c r="AA130" i="1"/>
  <c r="X129" i="1"/>
  <c r="W129" i="1"/>
  <c r="V129" i="1"/>
  <c r="X125" i="1"/>
  <c r="W125" i="1"/>
  <c r="V125" i="1"/>
  <c r="U125" i="1"/>
  <c r="X119" i="1"/>
  <c r="W119" i="1"/>
  <c r="U119" i="1"/>
  <c r="T119" i="1"/>
  <c r="W118" i="1"/>
  <c r="U118" i="1"/>
  <c r="T118" i="1"/>
  <c r="X122" i="1"/>
  <c r="W122" i="1"/>
  <c r="V122" i="1"/>
  <c r="U122" i="1"/>
  <c r="T122" i="1"/>
  <c r="X121" i="1"/>
  <c r="V121" i="1"/>
  <c r="U121" i="1"/>
  <c r="T121" i="1"/>
  <c r="X117" i="1"/>
  <c r="W117" i="1"/>
  <c r="V117" i="1"/>
  <c r="U117" i="1"/>
  <c r="T117" i="1"/>
  <c r="W120" i="1"/>
  <c r="V120" i="1"/>
  <c r="U120" i="1"/>
  <c r="T120" i="1"/>
  <c r="X115" i="1"/>
  <c r="W115" i="1"/>
  <c r="V115" i="1"/>
  <c r="U115" i="1"/>
  <c r="T115" i="1"/>
  <c r="X116" i="1"/>
  <c r="W116" i="1"/>
  <c r="V116" i="1"/>
  <c r="U116" i="1"/>
  <c r="T116" i="1"/>
  <c r="X114" i="1"/>
  <c r="W114" i="1"/>
  <c r="V114" i="1"/>
  <c r="U114" i="1"/>
  <c r="T114" i="1"/>
  <c r="X113" i="1"/>
  <c r="W113" i="1"/>
  <c r="V113" i="1"/>
  <c r="U113" i="1"/>
  <c r="T113" i="1"/>
  <c r="X126" i="1"/>
  <c r="W126" i="1"/>
  <c r="V126" i="1"/>
  <c r="U126" i="1"/>
  <c r="T126" i="1"/>
  <c r="X112" i="1"/>
  <c r="W112" i="1"/>
  <c r="V112" i="1"/>
  <c r="U112" i="1"/>
  <c r="T112" i="1"/>
  <c r="X111" i="1"/>
  <c r="W111" i="1"/>
  <c r="V111" i="1"/>
  <c r="U111" i="1"/>
  <c r="T111" i="1"/>
  <c r="W110" i="1"/>
  <c r="V110" i="1"/>
  <c r="U110" i="1"/>
  <c r="T110" i="1"/>
  <c r="X109" i="1"/>
  <c r="W109" i="1"/>
  <c r="V109" i="1"/>
  <c r="U109" i="1"/>
  <c r="T109" i="1"/>
  <c r="W108" i="1"/>
  <c r="V108" i="1"/>
  <c r="U108" i="1"/>
  <c r="T108" i="1"/>
  <c r="R106" i="1"/>
  <c r="Q102" i="1"/>
  <c r="X105" i="1"/>
  <c r="W105" i="1"/>
  <c r="V105" i="1"/>
  <c r="U105" i="1"/>
  <c r="T105" i="1"/>
  <c r="X103" i="1"/>
  <c r="W103" i="1"/>
  <c r="V103" i="1"/>
  <c r="U103" i="1"/>
  <c r="T103" i="1"/>
  <c r="X102" i="1"/>
  <c r="W102" i="1"/>
  <c r="V102" i="1"/>
  <c r="U102" i="1"/>
  <c r="T102" i="1"/>
  <c r="X75" i="1"/>
  <c r="W75" i="1"/>
  <c r="V75" i="1"/>
  <c r="U75" i="1"/>
  <c r="T75" i="1"/>
  <c r="X74" i="1"/>
  <c r="W74" i="1"/>
  <c r="V74" i="1"/>
  <c r="U74" i="1"/>
  <c r="T74" i="1"/>
  <c r="X142" i="1"/>
  <c r="W142" i="1"/>
  <c r="V142" i="1"/>
  <c r="U142" i="1"/>
  <c r="T142" i="1"/>
  <c r="X73" i="1"/>
  <c r="W73" i="1"/>
  <c r="V73" i="1"/>
  <c r="U73" i="1"/>
  <c r="T73" i="1"/>
  <c r="X72" i="1"/>
  <c r="W72" i="1"/>
  <c r="V72" i="1"/>
  <c r="U72" i="1"/>
  <c r="T72" i="1"/>
  <c r="X94" i="1"/>
  <c r="W94" i="1"/>
  <c r="V94" i="1"/>
  <c r="U94" i="1"/>
  <c r="T94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3" i="1"/>
  <c r="W93" i="1"/>
  <c r="V93" i="1"/>
  <c r="U93" i="1"/>
  <c r="T93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48" i="1" l="1"/>
  <c r="S51" i="1" s="1"/>
  <c r="AA148" i="1"/>
  <c r="S103" i="1"/>
  <c r="S105" i="1"/>
  <c r="S104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80" i="1"/>
  <c r="S93" i="1"/>
  <c r="S102" i="1"/>
  <c r="S108" i="1"/>
  <c r="Q4" i="1"/>
  <c r="Q22" i="1"/>
  <c r="T130" i="1"/>
  <c r="S22" i="1"/>
  <c r="T100" i="1"/>
  <c r="T51" i="1"/>
  <c r="S4" i="1"/>
  <c r="T106" i="1"/>
  <c r="S80" i="1" l="1"/>
  <c r="S100" i="1"/>
  <c r="S106" i="1"/>
  <c r="S20" i="1"/>
  <c r="S130" i="1"/>
  <c r="S147" i="1"/>
  <c r="S135" i="1"/>
  <c r="V118" i="1" l="1"/>
</calcChain>
</file>

<file path=xl/sharedStrings.xml><?xml version="1.0" encoding="utf-8"?>
<sst xmlns="http://schemas.openxmlformats.org/spreadsheetml/2006/main" count="324" uniqueCount="229">
  <si>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</si>
  <si>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</si>
  <si>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</si>
  <si>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</si>
  <si>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</si>
  <si>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</si>
  <si>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</si>
  <si>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</si>
  <si>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</si>
  <si>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</si>
  <si>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</si>
  <si>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</si>
  <si>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</si>
  <si>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</si>
  <si>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</si>
  <si>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</si>
  <si>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</si>
  <si>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</si>
  <si>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</si>
  <si>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</si>
  <si>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</si>
  <si>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</si>
  <si>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</si>
  <si>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</si>
  <si>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</si>
  <si>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</si>
  <si>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</si>
  <si>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</si>
  <si>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</si>
  <si>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</si>
  <si>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</si>
  <si>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</si>
  <si>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</si>
  <si>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</si>
  <si>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</si>
  <si>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</si>
  <si>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</si>
  <si>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</si>
  <si>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</si>
  <si>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</si>
  <si>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</si>
  <si>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</si>
  <si>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</si>
  <si>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</si>
  <si>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</si>
  <si>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</si>
  <si>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</si>
  <si>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</si>
  <si>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</si>
  <si>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</si>
  <si>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</si>
  <si>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</si>
  <si>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</si>
  <si>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</si>
  <si>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</si>
  <si>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</si>
  <si>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</si>
  <si>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</si>
  <si>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</si>
  <si>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</si>
  <si>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</si>
  <si>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</si>
  <si>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</si>
  <si>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</si>
  <si>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</si>
  <si>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</si>
  <si>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</si>
  <si>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</si>
  <si>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</si>
  <si>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</si>
  <si>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</si>
  <si>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</si>
  <si>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</si>
  <si>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</si>
  <si>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</si>
  <si>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</si>
  <si>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</si>
  <si>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</si>
  <si>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</si>
  <si>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</si>
  <si>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</si>
  <si>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</si>
  <si>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</si>
  <si>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</si>
  <si>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</si>
  <si>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</si>
  <si>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</si>
  <si>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</si>
  <si>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</si>
  <si>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</si>
  <si>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</si>
  <si>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</si>
  <si>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</si>
  <si>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</si>
  <si>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</si>
  <si>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</si>
  <si>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</si>
  <si>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</si>
  <si>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</si>
  <si>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</si>
  <si>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</si>
  <si>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</si>
  <si>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</si>
  <si>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</si>
  <si>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</si>
  <si>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</si>
  <si>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</si>
  <si>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</si>
  <si>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</si>
  <si>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</si>
  <si>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</si>
  <si>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</si>
  <si>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</si>
  <si>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</si>
  <si>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</si>
  <si>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</si>
  <si>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</si>
  <si>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</si>
  <si>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</si>
  <si>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</si>
  <si>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</si>
  <si>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</si>
  <si>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</si>
  <si>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</si>
  <si>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</si>
  <si>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</si>
  <si>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</si>
  <si>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</si>
  <si>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</si>
  <si>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</si>
  <si>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</si>
  <si>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</si>
  <si>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</si>
  <si>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</si>
  <si>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</si>
  <si>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</si>
  <si>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</si>
  <si>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</si>
  <si>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</si>
  <si>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</si>
  <si>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</si>
  <si>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</si>
  <si>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</si>
  <si>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</si>
  <si>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</si>
  <si>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</si>
  <si>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</si>
  <si>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</si>
  <si>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</si>
  <si>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</si>
  <si>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</si>
  <si>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</si>
  <si>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</si>
  <si>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</si>
  <si>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</si>
  <si>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</si>
  <si>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</si>
  <si>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</si>
  <si>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</si>
  <si>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</si>
  <si>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</si>
  <si>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</si>
  <si>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</si>
  <si>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</si>
  <si>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</si>
  <si>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</si>
  <si>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</si>
  <si>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</si>
  <si>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</si>
  <si>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</si>
  <si>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</si>
  <si>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</si>
  <si>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</si>
  <si>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</si>
  <si>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</si>
  <si>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</si>
  <si>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</si>
  <si>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</si>
  <si>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</si>
  <si>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</si>
  <si>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</si>
  <si>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</si>
  <si>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</si>
  <si>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</si>
  <si>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</si>
  <si>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</si>
  <si>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ESG Impact Fund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</si>
  <si>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</si>
  <si>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</si>
  <si>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</si>
  <si>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</si>
  <si>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</si>
  <si>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</si>
  <si>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</si>
  <si>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</si>
  <si>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Balanced Strategy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</si>
  <si>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</si>
  <si>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</si>
  <si>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</si>
  <si>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</si>
  <si>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</si>
  <si>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SPREADSHEET OF REGISTERED MUTUAL FUNDS AS AT 31ST JANUARY, 2022</t>
  </si>
  <si>
    <t>NET ASSET VALUE  (N) PREVIOUS (DECEMBER)</t>
  </si>
  <si>
    <t xml:space="preserve">NET ASSET VALUE  (N)  </t>
  </si>
  <si>
    <t>*416.26</t>
  </si>
  <si>
    <t>Chapel Hill Denham Nigeria Bond Fund</t>
  </si>
  <si>
    <t>73a</t>
  </si>
  <si>
    <t>73b</t>
  </si>
  <si>
    <t>FBN Dollar Fund (Institutional)</t>
  </si>
  <si>
    <t>FBN Dollar Fund (Retail)</t>
  </si>
  <si>
    <t>452,067,468.49</t>
  </si>
  <si>
    <t>2,784,489,926.17</t>
  </si>
  <si>
    <t>29,758,782,394.66</t>
  </si>
  <si>
    <t>136,593,045.90</t>
  </si>
  <si>
    <t>-</t>
  </si>
  <si>
    <t>Halal Fixed Income Fund</t>
  </si>
  <si>
    <t>6,824,582,499</t>
  </si>
  <si>
    <t>7,512,397,794</t>
  </si>
  <si>
    <t>61,421,042</t>
  </si>
  <si>
    <t xml:space="preserve">AXA Mansard Investments Limited </t>
  </si>
  <si>
    <t>EDC Nigeria Fixed Income Fund</t>
  </si>
  <si>
    <t xml:space="preserve"> 389,376,474.46</t>
  </si>
  <si>
    <t>10,490,358,493.49</t>
  </si>
  <si>
    <t>45,457,498.77</t>
  </si>
  <si>
    <t>333,638,293.17</t>
  </si>
  <si>
    <t>2,155,616,157.12</t>
  </si>
  <si>
    <t>20,864,189.04</t>
  </si>
  <si>
    <t xml:space="preserve">Capital Trust Investments &amp; Asset Mgt. Ltd </t>
  </si>
  <si>
    <t>*Continental Unit Trust Scheme is inactive*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</si>
</sst>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6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6" fontId="3" fillId="2" borderId="13" xfId="0" applyNumberFormat="1" applyFont="1" applyFill="1" applyBorder="1" applyAlignment="1"/>
    <xf numFmtId="165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166" fontId="2" fillId="2" borderId="10" xfId="0" applyNumberFormat="1" applyFont="1" applyFill="1" applyBorder="1" applyAlignment="1"/>
    <xf numFmtId="166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6" xfId="0" applyNumberFormat="1" applyFont="1" applyFill="1" applyBorder="1" applyAlignment="1"/>
    <xf numFmtId="166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" fontId="2" fillId="2" borderId="11" xfId="0" applyNumberFormat="1" applyFont="1" applyFill="1" applyBorder="1" applyAlignment="1"/>
    <xf numFmtId="166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6" fontId="3" fillId="3" borderId="19" xfId="0" applyNumberFormat="1" applyFont="1" applyFill="1" applyBorder="1" applyAlignment="1">
      <alignment horizontal="right" vertical="center"/>
    </xf>
    <xf numFmtId="165" fontId="3" fillId="2" borderId="19" xfId="0" applyNumberFormat="1" applyFont="1" applyFill="1" applyBorder="1" applyAlignment="1"/>
    <xf numFmtId="166" fontId="3" fillId="2" borderId="19" xfId="0" applyNumberFormat="1" applyFont="1" applyFill="1" applyBorder="1" applyAlignment="1">
      <alignment horizontal="left"/>
    </xf>
    <xf numFmtId="0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0" fontId="6" fillId="3" borderId="19" xfId="0" applyNumberFormat="1" applyFont="1" applyFill="1" applyBorder="1" applyAlignment="1">
      <alignment horizontal="right" vertical="center"/>
    </xf>
    <xf numFmtId="166" fontId="6" fillId="3" borderId="19" xfId="0" applyNumberFormat="1" applyFont="1" applyFill="1" applyBorder="1" applyAlignment="1">
      <alignment horizontal="right" vertical="center"/>
    </xf>
    <xf numFmtId="166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6" fontId="4" fillId="2" borderId="19" xfId="0" applyNumberFormat="1" applyFont="1" applyFill="1" applyBorder="1" applyAlignment="1"/>
    <xf numFmtId="166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6" fontId="4" fillId="3" borderId="19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0" fontId="3" fillId="0" borderId="19" xfId="0" applyFont="1" applyBorder="1" applyAlignment="1"/>
    <xf numFmtId="3" fontId="3" fillId="2" borderId="19" xfId="0" applyNumberFormat="1" applyFont="1" applyFill="1" applyBorder="1" applyAlignment="1"/>
    <xf numFmtId="166" fontId="4" fillId="2" borderId="19" xfId="0" applyNumberFormat="1" applyFont="1" applyFill="1" applyBorder="1" applyAlignment="1">
      <alignment wrapText="1"/>
    </xf>
    <xf numFmtId="166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6" fontId="3" fillId="4" borderId="19" xfId="0" applyNumberFormat="1" applyFont="1" applyFill="1" applyBorder="1" applyAlignment="1">
      <alignment horizontal="right" vertical="center"/>
    </xf>
    <xf numFmtId="166" fontId="6" fillId="2" borderId="19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10" fontId="10" fillId="9" borderId="19" xfId="0" applyNumberFormat="1" applyFont="1" applyFill="1" applyBorder="1" applyAlignment="1">
      <alignment horizontal="right" vertical="center"/>
    </xf>
    <xf numFmtId="166" fontId="3" fillId="0" borderId="19" xfId="0" applyNumberFormat="1" applyFont="1" applyFill="1" applyBorder="1" applyAlignment="1">
      <alignment horizontal="right"/>
    </xf>
    <xf numFmtId="166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6" fontId="3" fillId="0" borderId="19" xfId="0" applyNumberFormat="1" applyFont="1" applyFill="1" applyBorder="1" applyAlignment="1">
      <alignment horizontal="left"/>
    </xf>
    <xf numFmtId="166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49" fontId="3" fillId="0" borderId="19" xfId="0" applyNumberFormat="1" applyFont="1" applyFill="1" applyBorder="1" applyAlignment="1">
      <alignment wrapText="1"/>
    </xf>
    <xf numFmtId="10" fontId="13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1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9" xfId="0" applyNumberFormat="1" applyFont="1" applyFill="1" applyBorder="1" applyAlignment="1">
      <alignment horizontal="right"/>
    </xf>
    <xf numFmtId="10" fontId="3" fillId="12" borderId="19" xfId="0" applyNumberFormat="1" applyFont="1" applyFill="1" applyBorder="1" applyAlignment="1"/>
    <xf numFmtId="10" fontId="3" fillId="10" borderId="19" xfId="0" applyNumberFormat="1" applyFont="1" applyFill="1" applyBorder="1" applyAlignment="1">
      <alignment horizontal="right" vertical="center"/>
    </xf>
    <xf numFmtId="166" fontId="3" fillId="10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9" fillId="0" borderId="0" xfId="0" applyNumberFormat="1" applyFont="1" applyAlignment="1"/>
    <xf numFmtId="49" fontId="6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6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6" fontId="3" fillId="12" borderId="19" xfId="0" applyNumberFormat="1" applyFont="1" applyFill="1" applyBorder="1" applyAlignment="1"/>
    <xf numFmtId="166" fontId="3" fillId="7" borderId="19" xfId="0" applyNumberFormat="1" applyFont="1" applyFill="1" applyBorder="1"/>
    <xf numFmtId="0" fontId="18" fillId="13" borderId="23" xfId="0" applyFont="1" applyFill="1" applyBorder="1" applyAlignment="1"/>
    <xf numFmtId="0" fontId="18" fillId="13" borderId="24" xfId="0" applyFont="1" applyFill="1" applyBorder="1" applyAlignment="1"/>
    <xf numFmtId="0" fontId="18" fillId="13" borderId="6" xfId="0" applyFont="1" applyFill="1" applyBorder="1" applyAlignment="1"/>
    <xf numFmtId="0" fontId="18" fillId="13" borderId="25" xfId="0" applyFont="1" applyFill="1" applyBorder="1" applyAlignment="1"/>
    <xf numFmtId="0" fontId="18" fillId="0" borderId="6" xfId="0" applyFont="1" applyBorder="1" applyAlignment="1"/>
    <xf numFmtId="43" fontId="4" fillId="2" borderId="19" xfId="1" applyFont="1" applyFill="1" applyBorder="1" applyAlignment="1"/>
    <xf numFmtId="43" fontId="3" fillId="2" borderId="19" xfId="1" applyFont="1" applyFill="1" applyBorder="1" applyAlignment="1">
      <alignment horizontal="right"/>
    </xf>
    <xf numFmtId="49" fontId="3" fillId="16" borderId="19" xfId="0" applyNumberFormat="1" applyFont="1" applyFill="1" applyBorder="1" applyAlignment="1">
      <alignment wrapText="1"/>
    </xf>
    <xf numFmtId="49" fontId="3" fillId="16" borderId="19" xfId="0" applyNumberFormat="1" applyFont="1" applyFill="1" applyBorder="1" applyAlignment="1"/>
    <xf numFmtId="10" fontId="10" fillId="6" borderId="19" xfId="0" applyNumberFormat="1" applyFont="1" applyFill="1" applyBorder="1" applyAlignment="1"/>
    <xf numFmtId="166" fontId="4" fillId="16" borderId="19" xfId="0" applyNumberFormat="1" applyFont="1" applyFill="1" applyBorder="1" applyAlignment="1">
      <alignment wrapText="1"/>
    </xf>
    <xf numFmtId="166" fontId="3" fillId="2" borderId="15" xfId="0" applyNumberFormat="1" applyFont="1" applyFill="1" applyBorder="1" applyAlignment="1"/>
    <xf numFmtId="165" fontId="3" fillId="2" borderId="15" xfId="0" applyNumberFormat="1" applyFont="1" applyFill="1" applyBorder="1" applyAlignment="1"/>
    <xf numFmtId="166" fontId="3" fillId="2" borderId="26" xfId="0" applyNumberFormat="1" applyFont="1" applyFill="1" applyBorder="1" applyAlignment="1"/>
    <xf numFmtId="166" fontId="3" fillId="18" borderId="19" xfId="0" applyNumberFormat="1" applyFont="1" applyFill="1" applyBorder="1" applyAlignment="1"/>
    <xf numFmtId="10" fontId="3" fillId="18" borderId="19" xfId="0" applyNumberFormat="1" applyFont="1" applyFill="1" applyBorder="1" applyAlignment="1"/>
    <xf numFmtId="10" fontId="10" fillId="18" borderId="19" xfId="0" applyNumberFormat="1" applyFont="1" applyFill="1" applyBorder="1" applyAlignment="1">
      <alignment horizontal="right" vertical="center"/>
    </xf>
    <xf numFmtId="10" fontId="3" fillId="18" borderId="19" xfId="0" applyNumberFormat="1" applyFont="1" applyFill="1" applyBorder="1" applyAlignment="1">
      <alignment horizontal="right" vertical="center"/>
    </xf>
    <xf numFmtId="166" fontId="3" fillId="18" borderId="19" xfId="0" applyNumberFormat="1" applyFont="1" applyFill="1" applyBorder="1" applyAlignment="1">
      <alignment horizontal="right" vertical="center"/>
    </xf>
    <xf numFmtId="3" fontId="3" fillId="18" borderId="19" xfId="0" applyNumberFormat="1" applyFont="1" applyFill="1" applyBorder="1" applyAlignment="1"/>
    <xf numFmtId="10" fontId="13" fillId="18" borderId="19" xfId="0" applyNumberFormat="1" applyFont="1" applyFill="1" applyBorder="1" applyAlignment="1">
      <alignment horizontal="right" vertical="center"/>
    </xf>
    <xf numFmtId="165" fontId="3" fillId="18" borderId="19" xfId="0" applyNumberFormat="1" applyFont="1" applyFill="1" applyBorder="1" applyAlignment="1"/>
    <xf numFmtId="9" fontId="13" fillId="9" borderId="19" xfId="2" applyFont="1" applyFill="1" applyBorder="1" applyAlignment="1">
      <alignment horizontal="right" vertical="center"/>
    </xf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49" fontId="17" fillId="0" borderId="19" xfId="0" applyNumberFormat="1" applyFont="1" applyBorder="1" applyAlignment="1">
      <alignment wrapText="1"/>
    </xf>
    <xf numFmtId="10" fontId="13" fillId="14" borderId="19" xfId="0" applyNumberFormat="1" applyFont="1" applyFill="1" applyBorder="1" applyAlignment="1">
      <alignment horizontal="right" vertical="center"/>
    </xf>
    <xf numFmtId="10" fontId="17" fillId="15" borderId="19" xfId="0" applyNumberFormat="1" applyFont="1" applyFill="1" applyBorder="1" applyAlignment="1">
      <alignment horizontal="right" vertical="center"/>
    </xf>
    <xf numFmtId="166" fontId="17" fillId="15" borderId="19" xfId="0" applyNumberFormat="1" applyFont="1" applyFill="1" applyBorder="1" applyAlignment="1">
      <alignment horizontal="right" vertical="center"/>
    </xf>
    <xf numFmtId="0" fontId="21" fillId="18" borderId="19" xfId="0" applyFont="1" applyFill="1" applyBorder="1" applyAlignment="1">
      <alignment wrapText="1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4" fillId="4" borderId="27" xfId="0" applyNumberFormat="1" applyFont="1" applyFill="1" applyBorder="1" applyAlignment="1">
      <alignment vertical="top" wrapText="1"/>
    </xf>
    <xf numFmtId="165" fontId="3" fillId="16" borderId="31" xfId="0" applyNumberFormat="1" applyFont="1" applyFill="1" applyBorder="1" applyAlignment="1">
      <alignment horizontal="center" wrapText="1"/>
    </xf>
    <xf numFmtId="4" fontId="3" fillId="2" borderId="27" xfId="0" applyNumberFormat="1" applyFont="1" applyFill="1" applyBorder="1" applyAlignment="1"/>
    <xf numFmtId="166" fontId="3" fillId="2" borderId="27" xfId="0" applyNumberFormat="1" applyFont="1" applyFill="1" applyBorder="1" applyAlignment="1"/>
    <xf numFmtId="165" fontId="4" fillId="2" borderId="31" xfId="0" applyNumberFormat="1" applyFont="1" applyFill="1" applyBorder="1" applyAlignment="1">
      <alignment horizontal="center"/>
    </xf>
    <xf numFmtId="166" fontId="4" fillId="2" borderId="27" xfId="0" applyNumberFormat="1" applyFont="1" applyFill="1" applyBorder="1" applyAlignment="1"/>
    <xf numFmtId="0" fontId="3" fillId="4" borderId="27" xfId="0" applyNumberFormat="1" applyFont="1" applyFill="1" applyBorder="1" applyAlignment="1">
      <alignment vertical="top" wrapText="1"/>
    </xf>
    <xf numFmtId="49" fontId="4" fillId="16" borderId="31" xfId="0" applyNumberFormat="1" applyFont="1" applyFill="1" applyBorder="1" applyAlignment="1">
      <alignment horizontal="center" wrapText="1"/>
    </xf>
    <xf numFmtId="166" fontId="3" fillId="4" borderId="27" xfId="0" applyNumberFormat="1" applyFont="1" applyFill="1" applyBorder="1" applyAlignment="1"/>
    <xf numFmtId="166" fontId="3" fillId="2" borderId="27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/>
    <xf numFmtId="166" fontId="3" fillId="18" borderId="27" xfId="0" applyNumberFormat="1" applyFont="1" applyFill="1" applyBorder="1" applyAlignment="1"/>
    <xf numFmtId="165" fontId="4" fillId="0" borderId="31" xfId="0" applyNumberFormat="1" applyFont="1" applyFill="1" applyBorder="1" applyAlignment="1">
      <alignment horizontal="center" wrapText="1"/>
    </xf>
    <xf numFmtId="165" fontId="4" fillId="2" borderId="31" xfId="0" applyNumberFormat="1" applyFont="1" applyFill="1" applyBorder="1" applyAlignment="1">
      <alignment horizontal="center" wrapText="1"/>
    </xf>
    <xf numFmtId="166" fontId="4" fillId="2" borderId="27" xfId="0" applyNumberFormat="1" applyFont="1" applyFill="1" applyBorder="1" applyAlignment="1">
      <alignment wrapText="1"/>
    </xf>
    <xf numFmtId="165" fontId="3" fillId="0" borderId="31" xfId="0" applyNumberFormat="1" applyFont="1" applyFill="1" applyBorder="1" applyAlignment="1">
      <alignment horizontal="center"/>
    </xf>
    <xf numFmtId="165" fontId="3" fillId="8" borderId="32" xfId="0" applyNumberFormat="1" applyFont="1" applyFill="1" applyBorder="1" applyAlignment="1">
      <alignment horizontal="center" wrapText="1"/>
    </xf>
    <xf numFmtId="166" fontId="3" fillId="8" borderId="22" xfId="0" applyNumberFormat="1" applyFont="1" applyFill="1" applyBorder="1" applyAlignment="1">
      <alignment wrapText="1"/>
    </xf>
    <xf numFmtId="49" fontId="4" fillId="8" borderId="22" xfId="0" applyNumberFormat="1" applyFont="1" applyFill="1" applyBorder="1" applyAlignment="1">
      <alignment horizontal="right"/>
    </xf>
    <xf numFmtId="166" fontId="4" fillId="8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10" fillId="9" borderId="22" xfId="0" applyNumberFormat="1" applyFont="1" applyFill="1" applyBorder="1" applyAlignment="1">
      <alignment horizontal="right" vertical="center"/>
    </xf>
    <xf numFmtId="10" fontId="4" fillId="3" borderId="22" xfId="0" applyNumberFormat="1" applyFont="1" applyFill="1" applyBorder="1" applyAlignment="1">
      <alignment horizontal="right" vertical="center"/>
    </xf>
    <xf numFmtId="166" fontId="4" fillId="3" borderId="22" xfId="0" applyNumberFormat="1" applyFont="1" applyFill="1" applyBorder="1" applyAlignment="1">
      <alignment horizontal="right" vertical="center"/>
    </xf>
    <xf numFmtId="166" fontId="4" fillId="8" borderId="33" xfId="0" applyNumberFormat="1" applyFont="1" applyFill="1" applyBorder="1" applyAlignment="1"/>
    <xf numFmtId="165" fontId="4" fillId="8" borderId="22" xfId="0" applyNumberFormat="1" applyFont="1" applyFill="1" applyBorder="1" applyAlignment="1"/>
    <xf numFmtId="168" fontId="4" fillId="2" borderId="19" xfId="1" applyNumberFormat="1" applyFont="1" applyFill="1" applyBorder="1" applyAlignment="1"/>
    <xf numFmtId="166" fontId="5" fillId="16" borderId="16" xfId="0" applyNumberFormat="1" applyFont="1" applyFill="1" applyBorder="1" applyAlignment="1"/>
    <xf numFmtId="0" fontId="0" fillId="16" borderId="10" xfId="0" applyNumberFormat="1" applyFont="1" applyFill="1" applyBorder="1" applyAlignment="1"/>
    <xf numFmtId="0" fontId="0" fillId="16" borderId="5" xfId="0" applyNumberFormat="1" applyFont="1" applyFill="1" applyBorder="1" applyAlignment="1"/>
    <xf numFmtId="0" fontId="0" fillId="16" borderId="6" xfId="0" applyNumberFormat="1" applyFont="1" applyFill="1" applyBorder="1" applyAlignment="1"/>
    <xf numFmtId="0" fontId="0" fillId="16" borderId="7" xfId="0" applyNumberFormat="1" applyFont="1" applyFill="1" applyBorder="1" applyAlignment="1"/>
    <xf numFmtId="0" fontId="0" fillId="16" borderId="0" xfId="0" applyNumberFormat="1" applyFont="1" applyFill="1" applyAlignment="1"/>
    <xf numFmtId="0" fontId="0" fillId="16" borderId="11" xfId="0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0" borderId="19" xfId="0" applyNumberFormat="1" applyFont="1" applyBorder="1" applyAlignment="1"/>
    <xf numFmtId="0" fontId="14" fillId="2" borderId="6" xfId="0" applyNumberFormat="1" applyFont="1" applyFill="1" applyBorder="1" applyAlignment="1"/>
    <xf numFmtId="0" fontId="1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6" fontId="2" fillId="2" borderId="6" xfId="0" applyNumberFormat="1" applyFont="1" applyFill="1" applyBorder="1" applyAlignment="1"/>
    <xf numFmtId="167" fontId="2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4" fontId="0" fillId="2" borderId="6" xfId="0" applyNumberFormat="1" applyFont="1" applyFill="1" applyBorder="1" applyAlignment="1"/>
    <xf numFmtId="10" fontId="3" fillId="9" borderId="19" xfId="0" applyNumberFormat="1" applyFont="1" applyFill="1" applyBorder="1" applyAlignment="1"/>
    <xf numFmtId="2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/>
    <xf numFmtId="166" fontId="3" fillId="0" borderId="27" xfId="0" applyNumberFormat="1" applyFont="1" applyFill="1" applyBorder="1" applyAlignment="1"/>
    <xf numFmtId="4" fontId="3" fillId="0" borderId="27" xfId="0" applyNumberFormat="1" applyFont="1" applyFill="1" applyBorder="1" applyAlignment="1"/>
    <xf numFmtId="166" fontId="22" fillId="2" borderId="19" xfId="0" applyNumberFormat="1" applyFont="1" applyFill="1" applyBorder="1" applyAlignment="1">
      <alignment horizontal="left"/>
    </xf>
    <xf numFmtId="43" fontId="3" fillId="5" borderId="19" xfId="1" applyFont="1" applyFill="1" applyBorder="1" applyAlignment="1"/>
    <xf numFmtId="43" fontId="3" fillId="11" borderId="19" xfId="1" applyFont="1" applyFill="1" applyBorder="1" applyAlignment="1">
      <alignment horizontal="left"/>
    </xf>
    <xf numFmtId="166" fontId="3" fillId="16" borderId="19" xfId="0" applyNumberFormat="1" applyFont="1" applyFill="1" applyBorder="1" applyAlignment="1"/>
    <xf numFmtId="2" fontId="3" fillId="16" borderId="19" xfId="0" applyNumberFormat="1" applyFont="1" applyFill="1" applyBorder="1" applyAlignment="1"/>
    <xf numFmtId="166" fontId="3" fillId="16" borderId="27" xfId="0" applyNumberFormat="1" applyFont="1" applyFill="1" applyBorder="1" applyAlignment="1"/>
    <xf numFmtId="165" fontId="3" fillId="16" borderId="19" xfId="0" applyNumberFormat="1" applyFont="1" applyFill="1" applyBorder="1" applyAlignment="1"/>
    <xf numFmtId="4" fontId="3" fillId="16" borderId="27" xfId="0" applyNumberFormat="1" applyFont="1" applyFill="1" applyBorder="1" applyAlignment="1"/>
    <xf numFmtId="4" fontId="3" fillId="16" borderId="19" xfId="0" applyNumberFormat="1" applyFont="1" applyFill="1" applyBorder="1" applyAlignment="1"/>
    <xf numFmtId="166" fontId="6" fillId="2" borderId="19" xfId="0" applyNumberFormat="1" applyFont="1" applyFill="1" applyBorder="1" applyAlignment="1"/>
    <xf numFmtId="165" fontId="6" fillId="2" borderId="19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4" fillId="7" borderId="19" xfId="0" applyNumberFormat="1" applyFont="1" applyFill="1" applyBorder="1"/>
    <xf numFmtId="166" fontId="4" fillId="7" borderId="19" xfId="0" applyNumberFormat="1" applyFont="1" applyFill="1" applyBorder="1" applyAlignment="1">
      <alignment horizontal="left"/>
    </xf>
    <xf numFmtId="49" fontId="6" fillId="16" borderId="19" xfId="0" applyNumberFormat="1" applyFont="1" applyFill="1" applyBorder="1" applyAlignment="1">
      <alignment vertical="center" wrapText="1"/>
    </xf>
    <xf numFmtId="166" fontId="17" fillId="13" borderId="19" xfId="0" applyNumberFormat="1" applyFont="1" applyFill="1" applyBorder="1" applyAlignment="1"/>
    <xf numFmtId="0" fontId="9" fillId="2" borderId="11" xfId="0" applyNumberFormat="1" applyFont="1" applyFill="1" applyBorder="1" applyAlignment="1"/>
    <xf numFmtId="164" fontId="3" fillId="2" borderId="19" xfId="0" applyNumberFormat="1" applyFont="1" applyFill="1" applyBorder="1" applyAlignment="1"/>
    <xf numFmtId="43" fontId="1" fillId="3" borderId="19" xfId="1" applyFont="1" applyFill="1" applyBorder="1" applyAlignment="1">
      <alignment horizontal="center" vertical="top" wrapText="1"/>
    </xf>
    <xf numFmtId="43" fontId="4" fillId="4" borderId="19" xfId="1" applyFont="1" applyFill="1" applyBorder="1" applyAlignment="1">
      <alignment vertical="top" wrapText="1"/>
    </xf>
    <xf numFmtId="43" fontId="4" fillId="17" borderId="19" xfId="1" applyFont="1" applyFill="1" applyBorder="1" applyAlignment="1"/>
    <xf numFmtId="43" fontId="3" fillId="4" borderId="19" xfId="1" applyFont="1" applyFill="1" applyBorder="1" applyAlignment="1">
      <alignment vertical="top" wrapText="1"/>
    </xf>
    <xf numFmtId="43" fontId="3" fillId="4" borderId="19" xfId="1" applyFont="1" applyFill="1" applyBorder="1" applyAlignment="1"/>
    <xf numFmtId="43" fontId="4" fillId="11" borderId="19" xfId="1" applyFont="1" applyFill="1" applyBorder="1" applyAlignment="1"/>
    <xf numFmtId="43" fontId="3" fillId="18" borderId="19" xfId="1" applyFont="1" applyFill="1" applyBorder="1" applyAlignment="1"/>
    <xf numFmtId="43" fontId="3" fillId="5" borderId="19" xfId="1" applyFont="1" applyFill="1" applyBorder="1" applyAlignment="1">
      <alignment horizontal="left"/>
    </xf>
    <xf numFmtId="43" fontId="3" fillId="11" borderId="19" xfId="1" applyFont="1" applyFill="1" applyBorder="1" applyAlignment="1"/>
    <xf numFmtId="43" fontId="3" fillId="17" borderId="19" xfId="1" applyFont="1" applyFill="1" applyBorder="1" applyAlignment="1"/>
    <xf numFmtId="43" fontId="4" fillId="8" borderId="22" xfId="1" applyFont="1" applyFill="1" applyBorder="1" applyAlignment="1"/>
    <xf numFmtId="43" fontId="0" fillId="2" borderId="6" xfId="1" applyFont="1" applyFill="1" applyBorder="1" applyAlignment="1"/>
    <xf numFmtId="43" fontId="0" fillId="0" borderId="0" xfId="1" applyFont="1" applyAlignment="1"/>
    <xf numFmtId="4" fontId="3" fillId="0" borderId="0" xfId="0" applyNumberFormat="1" applyFont="1" applyAlignment="1"/>
    <xf numFmtId="166" fontId="6" fillId="5" borderId="19" xfId="0" applyNumberFormat="1" applyFont="1" applyFill="1" applyBorder="1" applyAlignment="1"/>
    <xf numFmtId="166" fontId="3" fillId="19" borderId="19" xfId="0" applyNumberFormat="1" applyFont="1" applyFill="1" applyBorder="1" applyAlignment="1">
      <alignment horizontal="right"/>
    </xf>
    <xf numFmtId="166" fontId="4" fillId="19" borderId="19" xfId="0" applyNumberFormat="1" applyFont="1" applyFill="1" applyBorder="1" applyAlignment="1">
      <alignment horizontal="right"/>
    </xf>
    <xf numFmtId="165" fontId="3" fillId="16" borderId="27" xfId="0" applyNumberFormat="1" applyFont="1" applyFill="1" applyBorder="1" applyAlignment="1"/>
    <xf numFmtId="165" fontId="11" fillId="16" borderId="31" xfId="0" applyNumberFormat="1" applyFont="1" applyFill="1" applyBorder="1" applyAlignment="1">
      <alignment horizontal="center" wrapText="1"/>
    </xf>
    <xf numFmtId="49" fontId="3" fillId="16" borderId="19" xfId="0" applyNumberFormat="1" applyFont="1" applyFill="1" applyBorder="1" applyAlignment="1">
      <alignment vertical="center" wrapText="1"/>
    </xf>
    <xf numFmtId="165" fontId="17" fillId="16" borderId="31" xfId="0" applyNumberFormat="1" applyFont="1" applyFill="1" applyBorder="1" applyAlignment="1">
      <alignment horizontal="center" wrapText="1"/>
    </xf>
    <xf numFmtId="49" fontId="17" fillId="16" borderId="19" xfId="0" applyNumberFormat="1" applyFont="1" applyFill="1" applyBorder="1" applyAlignment="1">
      <alignment wrapText="1"/>
    </xf>
    <xf numFmtId="165" fontId="22" fillId="16" borderId="31" xfId="0" applyNumberFormat="1" applyFont="1" applyFill="1" applyBorder="1" applyAlignment="1">
      <alignment horizontal="center" wrapText="1"/>
    </xf>
    <xf numFmtId="49" fontId="22" fillId="16" borderId="19" xfId="0" applyNumberFormat="1" applyFont="1" applyFill="1" applyBorder="1" applyAlignment="1">
      <alignment wrapText="1"/>
    </xf>
    <xf numFmtId="165" fontId="3" fillId="16" borderId="31" xfId="0" applyNumberFormat="1" applyFont="1" applyFill="1" applyBorder="1" applyAlignment="1">
      <alignment horizontal="right" wrapText="1"/>
    </xf>
    <xf numFmtId="49" fontId="11" fillId="16" borderId="19" xfId="0" applyNumberFormat="1" applyFont="1" applyFill="1" applyBorder="1" applyAlignment="1"/>
    <xf numFmtId="0" fontId="21" fillId="18" borderId="31" xfId="0" applyFont="1" applyFill="1" applyBorder="1" applyAlignment="1">
      <alignment horizontal="center" wrapText="1"/>
    </xf>
    <xf numFmtId="0" fontId="21" fillId="18" borderId="19" xfId="0" applyFont="1" applyFill="1" applyBorder="1" applyAlignment="1">
      <alignment horizontal="center" wrapText="1"/>
    </xf>
    <xf numFmtId="49" fontId="19" fillId="4" borderId="19" xfId="0" applyNumberFormat="1" applyFont="1" applyFill="1" applyBorder="1" applyAlignment="1">
      <alignment horizontal="center" vertical="top" wrapText="1"/>
    </xf>
    <xf numFmtId="49" fontId="19" fillId="4" borderId="27" xfId="0" applyNumberFormat="1" applyFont="1" applyFill="1" applyBorder="1" applyAlignment="1">
      <alignment horizontal="center" vertical="top" wrapText="1"/>
    </xf>
    <xf numFmtId="49" fontId="19" fillId="4" borderId="31" xfId="0" applyNumberFormat="1" applyFont="1" applyFill="1" applyBorder="1" applyAlignment="1">
      <alignment horizontal="center" vertical="top" wrapText="1"/>
    </xf>
    <xf numFmtId="49" fontId="12" fillId="2" borderId="28" xfId="0" applyNumberFormat="1" applyFont="1" applyFill="1" applyBorder="1" applyAlignment="1">
      <alignment horizontal="center"/>
    </xf>
    <xf numFmtId="0" fontId="12" fillId="2" borderId="29" xfId="0" applyNumberFormat="1" applyFont="1" applyFill="1" applyBorder="1" applyAlignment="1">
      <alignment horizontal="center"/>
    </xf>
    <xf numFmtId="0" fontId="12" fillId="2" borderId="30" xfId="0" applyNumberFormat="1" applyFont="1" applyFill="1" applyBorder="1" applyAlignment="1">
      <alignment horizontal="center"/>
    </xf>
    <xf numFmtId="166" fontId="4" fillId="18" borderId="31" xfId="0" applyNumberFormat="1" applyFont="1" applyFill="1" applyBorder="1" applyAlignment="1">
      <alignment horizontal="center" wrapText="1"/>
    </xf>
    <xf numFmtId="166" fontId="4" fillId="18" borderId="19" xfId="0" applyNumberFormat="1" applyFont="1" applyFill="1" applyBorder="1" applyAlignment="1">
      <alignment horizontal="center" wrapText="1"/>
    </xf>
    <xf numFmtId="49" fontId="19" fillId="12" borderId="31" xfId="0" applyNumberFormat="1" applyFont="1" applyFill="1" applyBorder="1" applyAlignment="1">
      <alignment horizontal="center" vertical="top" wrapText="1"/>
    </xf>
    <xf numFmtId="49" fontId="19" fillId="12" borderId="19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11909</xdr:rowOff>
    </xdr:from>
    <xdr:to>
      <xdr:col>12</xdr:col>
      <xdr:colOff>0</xdr:colOff>
      <xdr:row>24</xdr:row>
      <xdr:rowOff>59531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9"/>
          <a:ext cx="8001000" cy="4048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35721</xdr:rowOff>
    </xdr:from>
    <xdr:to>
      <xdr:col>14</xdr:col>
      <xdr:colOff>0</xdr:colOff>
      <xdr:row>24</xdr:row>
      <xdr:rowOff>47624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21"/>
          <a:ext cx="9334500" cy="4012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35719</xdr:colOff>
      <xdr:row>22</xdr:row>
      <xdr:rowOff>59531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65344" cy="4250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3"/>
  <sheetViews>
    <sheetView showGridLines="0" tabSelected="1" view="pageBreakPreview" zoomScale="110" zoomScaleNormal="160" zoomScaleSheetLayoutView="110" workbookViewId="0">
      <pane ySplit="2" topLeftCell="A3" activePane="bottomLeft" state="frozen"/>
      <selection pane="bottomLeft" activeCell="A3" sqref="A3:C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31" customWidth="1"/>
    <col min="12" max="12" width="19.7109375" style="1" customWidth="1"/>
    <col min="13" max="13" width="17.7109375" style="222" customWidth="1"/>
    <col min="14" max="14" width="22.42578125" style="1" customWidth="1"/>
    <col min="15" max="15" width="19.42578125" style="1" customWidth="1"/>
    <col min="16" max="16" width="21.85546875" style="31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9" customHeight="1" x14ac:dyDescent="0.7">
      <c r="A1" s="241" t="s">
        <v>201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3"/>
      <c r="AC1" s="132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ht="54" customHeight="1" x14ac:dyDescent="0.25">
      <c r="A2" s="140" t="s">
        <v>198</v>
      </c>
      <c r="B2" s="133" t="s">
        <v>0</v>
      </c>
      <c r="C2" s="133" t="s">
        <v>1</v>
      </c>
      <c r="D2" s="133" t="s">
        <v>2</v>
      </c>
      <c r="E2" s="133" t="s">
        <v>3</v>
      </c>
      <c r="F2" s="133" t="s">
        <v>4</v>
      </c>
      <c r="G2" s="133" t="s">
        <v>5</v>
      </c>
      <c r="H2" s="133" t="s">
        <v>6</v>
      </c>
      <c r="I2" s="133" t="s">
        <v>7</v>
      </c>
      <c r="J2" s="133" t="s">
        <v>8</v>
      </c>
      <c r="K2" s="133" t="s">
        <v>168</v>
      </c>
      <c r="L2" s="133" t="s">
        <v>9</v>
      </c>
      <c r="M2" s="210" t="s">
        <v>10</v>
      </c>
      <c r="N2" s="133" t="s">
        <v>11</v>
      </c>
      <c r="O2" s="133" t="s">
        <v>12</v>
      </c>
      <c r="P2" s="133" t="s">
        <v>202</v>
      </c>
      <c r="Q2" s="133" t="s">
        <v>13</v>
      </c>
      <c r="R2" s="133" t="s">
        <v>203</v>
      </c>
      <c r="S2" s="133" t="s">
        <v>13</v>
      </c>
      <c r="T2" s="133" t="s">
        <v>14</v>
      </c>
      <c r="U2" s="133" t="s">
        <v>15</v>
      </c>
      <c r="V2" s="133" t="s">
        <v>16</v>
      </c>
      <c r="W2" s="133" t="s">
        <v>17</v>
      </c>
      <c r="X2" s="133" t="s">
        <v>18</v>
      </c>
      <c r="Y2" s="133" t="s">
        <v>19</v>
      </c>
      <c r="Z2" s="133" t="s">
        <v>20</v>
      </c>
      <c r="AA2" s="133" t="s">
        <v>21</v>
      </c>
      <c r="AB2" s="141" t="s">
        <v>22</v>
      </c>
      <c r="AC2" s="39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 x14ac:dyDescent="0.25">
      <c r="A3" s="240" t="s">
        <v>23</v>
      </c>
      <c r="B3" s="238"/>
      <c r="C3" s="238"/>
      <c r="D3" s="134"/>
      <c r="E3" s="134"/>
      <c r="F3" s="134"/>
      <c r="G3" s="134"/>
      <c r="H3" s="134"/>
      <c r="I3" s="134"/>
      <c r="J3" s="134"/>
      <c r="K3" s="134"/>
      <c r="L3" s="134"/>
      <c r="M3" s="211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42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 x14ac:dyDescent="0.35">
      <c r="A4" s="143">
        <v>1</v>
      </c>
      <c r="B4" s="116" t="s">
        <v>24</v>
      </c>
      <c r="C4" s="83" t="s">
        <v>25</v>
      </c>
      <c r="D4" s="77">
        <v>4947487624.5699997</v>
      </c>
      <c r="E4" s="101"/>
      <c r="F4" s="78">
        <v>1770218253.51</v>
      </c>
      <c r="G4" s="78">
        <v>58511737.450000003</v>
      </c>
      <c r="H4" s="78"/>
      <c r="I4" s="78"/>
      <c r="J4" s="79">
        <v>6776217615.5299997</v>
      </c>
      <c r="K4" s="101">
        <v>-4017875.04</v>
      </c>
      <c r="L4" s="79">
        <v>33252929.629999999</v>
      </c>
      <c r="M4" s="193">
        <v>93925218.349999994</v>
      </c>
      <c r="N4" s="45">
        <v>7086221282.0200005</v>
      </c>
      <c r="O4" s="45">
        <v>31866700.93</v>
      </c>
      <c r="P4" s="225">
        <v>6969991990.04</v>
      </c>
      <c r="Q4" s="47">
        <f t="shared" ref="Q4:Q19" si="0">(P4/$P$20)</f>
        <v>0.44236697882638942</v>
      </c>
      <c r="R4" s="46">
        <v>7054354581.0900002</v>
      </c>
      <c r="S4" s="47">
        <f t="shared" ref="S4:S19" si="1">(R4/$R$20)</f>
        <v>0.45251935753566747</v>
      </c>
      <c r="T4" s="48">
        <f t="shared" ref="T4:T17" si="2">((R4-P4)/P4)</f>
        <v>1.2103685509330987E-2</v>
      </c>
      <c r="U4" s="84">
        <f t="shared" ref="U4:U16" si="3">(L4/R4)</f>
        <v>4.7138160192766974E-3</v>
      </c>
      <c r="V4" s="49">
        <f t="shared" ref="V4:V18" si="4">M4/R4</f>
        <v>1.3314502024292517E-2</v>
      </c>
      <c r="W4" s="50">
        <f t="shared" ref="W4:W18" si="5">R4/AB4</f>
        <v>11299.276128398815</v>
      </c>
      <c r="X4" s="50">
        <f t="shared" ref="X4:X18" si="6">M4/AB4</f>
        <v>150.44423488460612</v>
      </c>
      <c r="Y4" s="78">
        <v>11199.18</v>
      </c>
      <c r="Z4" s="78">
        <v>11354.7</v>
      </c>
      <c r="AA4" s="189">
        <v>17158</v>
      </c>
      <c r="AB4" s="191">
        <v>624319.16</v>
      </c>
      <c r="AC4" s="35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 x14ac:dyDescent="0.35">
      <c r="A5" s="143">
        <v>2</v>
      </c>
      <c r="B5" s="117" t="s">
        <v>26</v>
      </c>
      <c r="C5" s="83" t="s">
        <v>27</v>
      </c>
      <c r="D5" s="77">
        <v>725139341.14999998</v>
      </c>
      <c r="E5" s="101"/>
      <c r="F5" s="78">
        <v>121508536.98999999</v>
      </c>
      <c r="G5" s="78"/>
      <c r="H5" s="78"/>
      <c r="I5" s="78"/>
      <c r="J5" s="79">
        <v>893285857.42999995</v>
      </c>
      <c r="K5" s="200">
        <v>1393098.31</v>
      </c>
      <c r="L5" s="79">
        <v>1345809.99</v>
      </c>
      <c r="M5" s="193">
        <v>47288.32</v>
      </c>
      <c r="N5" s="45">
        <v>893285857.42999995</v>
      </c>
      <c r="O5" s="45">
        <v>1345809.98</v>
      </c>
      <c r="P5" s="225">
        <v>855977557.75999999</v>
      </c>
      <c r="Q5" s="47">
        <f t="shared" si="0"/>
        <v>5.4326634336248271E-2</v>
      </c>
      <c r="R5" s="46">
        <v>891940047.45000005</v>
      </c>
      <c r="S5" s="47">
        <f t="shared" si="1"/>
        <v>5.7215742785932035E-2</v>
      </c>
      <c r="T5" s="48">
        <f t="shared" si="2"/>
        <v>4.2013355798848247E-2</v>
      </c>
      <c r="U5" s="84">
        <f t="shared" si="3"/>
        <v>1.5088570065304111E-3</v>
      </c>
      <c r="V5" s="49">
        <f t="shared" si="4"/>
        <v>5.3017375030075514E-5</v>
      </c>
      <c r="W5" s="50">
        <f t="shared" si="5"/>
        <v>1.6316951156892157</v>
      </c>
      <c r="X5" s="50">
        <f t="shared" si="6"/>
        <v>8.650819188323759E-5</v>
      </c>
      <c r="Y5" s="78">
        <v>1.79</v>
      </c>
      <c r="Z5" s="78">
        <v>1.83</v>
      </c>
      <c r="AA5" s="198">
        <v>3690</v>
      </c>
      <c r="AB5" s="199">
        <v>546634012</v>
      </c>
      <c r="AC5" s="36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 x14ac:dyDescent="0.35">
      <c r="A6" s="143">
        <v>3</v>
      </c>
      <c r="B6" s="117" t="s">
        <v>28</v>
      </c>
      <c r="C6" s="83" t="s">
        <v>29</v>
      </c>
      <c r="D6" s="77">
        <v>122446684.8</v>
      </c>
      <c r="E6" s="101"/>
      <c r="F6" s="78">
        <v>140083181.47</v>
      </c>
      <c r="G6" s="78"/>
      <c r="H6" s="78"/>
      <c r="I6" s="78"/>
      <c r="J6" s="79">
        <v>262529866.27000001</v>
      </c>
      <c r="K6" s="79">
        <v>1150808.0900000001</v>
      </c>
      <c r="L6" s="79">
        <v>679033.33</v>
      </c>
      <c r="M6" s="193">
        <v>467747.76</v>
      </c>
      <c r="N6" s="45">
        <v>269699608.06999999</v>
      </c>
      <c r="O6" s="45">
        <v>5875731.6200000001</v>
      </c>
      <c r="P6" s="225">
        <v>255584938.75</v>
      </c>
      <c r="Q6" s="47">
        <f t="shared" si="0"/>
        <v>1.6221300878097054E-2</v>
      </c>
      <c r="R6" s="46">
        <v>261338208.75</v>
      </c>
      <c r="S6" s="47">
        <f t="shared" si="1"/>
        <v>1.6764198193280944E-2</v>
      </c>
      <c r="T6" s="48">
        <f t="shared" si="2"/>
        <v>2.2510207479899871E-2</v>
      </c>
      <c r="U6" s="84">
        <f t="shared" si="3"/>
        <v>2.5982933503978108E-3</v>
      </c>
      <c r="V6" s="49">
        <f t="shared" si="4"/>
        <v>1.7898177317326547E-3</v>
      </c>
      <c r="W6" s="50">
        <f t="shared" si="5"/>
        <v>130.97289600728891</v>
      </c>
      <c r="X6" s="50">
        <f t="shared" si="6"/>
        <v>0.23441761165022271</v>
      </c>
      <c r="Y6" s="78">
        <v>130.97</v>
      </c>
      <c r="Z6" s="78">
        <v>133.46</v>
      </c>
      <c r="AA6" s="189">
        <v>2470</v>
      </c>
      <c r="AB6" s="191">
        <v>1995361</v>
      </c>
      <c r="AC6" s="37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89" customFormat="1" ht="18" customHeight="1" x14ac:dyDescent="0.35">
      <c r="A7" s="143">
        <v>4</v>
      </c>
      <c r="B7" s="116" t="s">
        <v>30</v>
      </c>
      <c r="C7" s="83" t="s">
        <v>31</v>
      </c>
      <c r="D7" s="77">
        <v>501800349.69999999</v>
      </c>
      <c r="E7" s="101"/>
      <c r="F7" s="78">
        <v>122680161.67</v>
      </c>
      <c r="G7" s="78">
        <v>10296917.810000001</v>
      </c>
      <c r="H7" s="78"/>
      <c r="I7" s="78"/>
      <c r="J7" s="79">
        <v>634777429.67999995</v>
      </c>
      <c r="K7" s="79">
        <v>830814.96</v>
      </c>
      <c r="L7" s="79">
        <v>1137306.6599999999</v>
      </c>
      <c r="M7" s="193">
        <v>-306491.7</v>
      </c>
      <c r="N7" s="45">
        <v>638393175.25</v>
      </c>
      <c r="O7" s="45">
        <v>2212360.34</v>
      </c>
      <c r="P7" s="225">
        <v>612760589.52999997</v>
      </c>
      <c r="Q7" s="47">
        <f t="shared" si="0"/>
        <v>3.8890295874315313E-2</v>
      </c>
      <c r="R7" s="46">
        <v>636180814.90999997</v>
      </c>
      <c r="S7" s="47">
        <f t="shared" si="1"/>
        <v>4.0809422085373581E-2</v>
      </c>
      <c r="T7" s="98">
        <f t="shared" si="2"/>
        <v>3.8220841516527347E-2</v>
      </c>
      <c r="U7" s="84">
        <f t="shared" si="3"/>
        <v>1.7877097726703593E-3</v>
      </c>
      <c r="V7" s="99">
        <f t="shared" si="4"/>
        <v>-4.8176822189043716E-4</v>
      </c>
      <c r="W7" s="100">
        <f t="shared" si="5"/>
        <v>18.248528277714158</v>
      </c>
      <c r="X7" s="100">
        <f t="shared" si="6"/>
        <v>-8.791561020471711E-3</v>
      </c>
      <c r="Y7" s="78">
        <v>17.98</v>
      </c>
      <c r="Z7" s="78">
        <v>18.309999999999999</v>
      </c>
      <c r="AA7" s="189">
        <v>8762</v>
      </c>
      <c r="AB7" s="191">
        <v>34862034.090000004</v>
      </c>
      <c r="AC7" s="170"/>
      <c r="AD7" s="171"/>
      <c r="AE7" s="171"/>
      <c r="AF7" s="171"/>
      <c r="AG7" s="172"/>
      <c r="AH7" s="173"/>
      <c r="AI7" s="173"/>
      <c r="AJ7" s="173"/>
      <c r="AK7" s="174"/>
      <c r="AL7" s="172"/>
      <c r="AM7" s="173"/>
      <c r="AN7" s="173"/>
      <c r="AO7" s="173"/>
      <c r="AP7" s="174"/>
      <c r="AQ7" s="172"/>
      <c r="AR7" s="173"/>
      <c r="AS7" s="173"/>
      <c r="AT7" s="173"/>
      <c r="AU7" s="174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pans="1:257" s="89" customFormat="1" ht="16.5" customHeight="1" x14ac:dyDescent="0.3">
      <c r="A8" s="143">
        <v>5</v>
      </c>
      <c r="B8" s="116" t="s">
        <v>32</v>
      </c>
      <c r="C8" s="83" t="s">
        <v>33</v>
      </c>
      <c r="D8" s="77">
        <v>319438704.02999997</v>
      </c>
      <c r="E8" s="101"/>
      <c r="F8" s="78">
        <v>48982487.520000003</v>
      </c>
      <c r="G8" s="78"/>
      <c r="H8" s="78"/>
      <c r="I8" s="78"/>
      <c r="J8" s="79">
        <v>368421191.55000001</v>
      </c>
      <c r="K8" s="79">
        <v>613099.37</v>
      </c>
      <c r="L8" s="79">
        <v>771273.41</v>
      </c>
      <c r="M8" s="193">
        <v>-158174.04</v>
      </c>
      <c r="N8" s="45">
        <v>370077321.68000001</v>
      </c>
      <c r="O8" s="45">
        <v>9281039.1999999993</v>
      </c>
      <c r="P8" s="225">
        <v>349343155.12</v>
      </c>
      <c r="Q8" s="47">
        <f t="shared" si="0"/>
        <v>2.2171887187954466E-2</v>
      </c>
      <c r="R8" s="46">
        <v>360796282.48000002</v>
      </c>
      <c r="S8" s="47">
        <f t="shared" si="1"/>
        <v>2.3144187051039846E-2</v>
      </c>
      <c r="T8" s="98">
        <f t="shared" si="2"/>
        <v>3.2784748154191953E-2</v>
      </c>
      <c r="U8" s="84">
        <f t="shared" si="3"/>
        <v>2.1376977742079534E-3</v>
      </c>
      <c r="V8" s="99">
        <f t="shared" si="4"/>
        <v>-4.3840263240175722E-4</v>
      </c>
      <c r="W8" s="100">
        <f t="shared" si="5"/>
        <v>170.45191490833682</v>
      </c>
      <c r="X8" s="100">
        <f t="shared" si="6"/>
        <v>-7.4726568193735188E-2</v>
      </c>
      <c r="Y8" s="78">
        <v>170.45189999999999</v>
      </c>
      <c r="Z8" s="78">
        <v>174.8365</v>
      </c>
      <c r="AA8" s="189">
        <v>1798</v>
      </c>
      <c r="AB8" s="191">
        <v>2116704.19</v>
      </c>
      <c r="AC8" s="176"/>
      <c r="AD8" s="177"/>
      <c r="AE8" s="177"/>
      <c r="AF8" s="177"/>
      <c r="AG8" s="172"/>
      <c r="AH8" s="173"/>
      <c r="AI8" s="173"/>
      <c r="AJ8" s="173"/>
      <c r="AK8" s="174"/>
      <c r="AL8" s="172"/>
      <c r="AM8" s="173"/>
      <c r="AN8" s="173"/>
      <c r="AO8" s="173"/>
      <c r="AP8" s="174"/>
      <c r="AQ8" s="172"/>
      <c r="AR8" s="173"/>
      <c r="AS8" s="173"/>
      <c r="AT8" s="173"/>
      <c r="AU8" s="174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pans="1:257" ht="18" customHeight="1" x14ac:dyDescent="0.35">
      <c r="A9" s="143">
        <v>6</v>
      </c>
      <c r="B9" s="116" t="s">
        <v>34</v>
      </c>
      <c r="C9" s="83" t="s">
        <v>35</v>
      </c>
      <c r="D9" s="77">
        <v>1408126265</v>
      </c>
      <c r="E9" s="101"/>
      <c r="F9" s="78"/>
      <c r="G9" s="78"/>
      <c r="H9" s="78"/>
      <c r="I9" s="78">
        <v>416385671</v>
      </c>
      <c r="J9" s="77">
        <v>1408126265</v>
      </c>
      <c r="K9" s="79">
        <v>4095283</v>
      </c>
      <c r="L9" s="79">
        <v>3211982</v>
      </c>
      <c r="M9" s="193">
        <v>30810479</v>
      </c>
      <c r="N9" s="45">
        <v>1824511937</v>
      </c>
      <c r="O9" s="45">
        <v>52244673.840000004</v>
      </c>
      <c r="P9" s="225">
        <v>1712926796</v>
      </c>
      <c r="Q9" s="47">
        <f t="shared" si="0"/>
        <v>0.10871493866565241</v>
      </c>
      <c r="R9" s="46">
        <v>1772267263</v>
      </c>
      <c r="S9" s="47">
        <f t="shared" si="1"/>
        <v>0.11368655119549398</v>
      </c>
      <c r="T9" s="48">
        <f t="shared" si="2"/>
        <v>3.4642733792577089E-2</v>
      </c>
      <c r="U9" s="84">
        <f t="shared" si="3"/>
        <v>1.8123575755515154E-3</v>
      </c>
      <c r="V9" s="49">
        <f t="shared" si="4"/>
        <v>1.7384781428420482E-2</v>
      </c>
      <c r="W9" s="50">
        <f t="shared" si="5"/>
        <v>0.97830255855121873</v>
      </c>
      <c r="X9" s="50">
        <f t="shared" si="6"/>
        <v>1.700757615127747E-2</v>
      </c>
      <c r="Y9" s="78">
        <v>0.98</v>
      </c>
      <c r="Z9" s="78">
        <v>1</v>
      </c>
      <c r="AA9" s="189">
        <v>2741</v>
      </c>
      <c r="AB9" s="191">
        <v>1811573779</v>
      </c>
      <c r="AC9" s="35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 x14ac:dyDescent="0.35">
      <c r="A10" s="143">
        <v>7</v>
      </c>
      <c r="B10" s="117" t="s">
        <v>36</v>
      </c>
      <c r="C10" s="83" t="s">
        <v>37</v>
      </c>
      <c r="D10" s="77">
        <v>1977003135.4100001</v>
      </c>
      <c r="E10" s="101"/>
      <c r="F10" s="78"/>
      <c r="G10" s="78">
        <v>58809353.859999999</v>
      </c>
      <c r="H10" s="78">
        <v>1374072.7</v>
      </c>
      <c r="I10" s="78"/>
      <c r="J10" s="79">
        <v>2037186561.97</v>
      </c>
      <c r="K10" s="79">
        <v>34488214.439999998</v>
      </c>
      <c r="L10" s="79">
        <v>9399617.9700000007</v>
      </c>
      <c r="M10" s="193">
        <v>-62681925.170000002</v>
      </c>
      <c r="N10" s="45">
        <v>2315688976</v>
      </c>
      <c r="O10" s="45">
        <v>637568</v>
      </c>
      <c r="P10" s="225">
        <v>2713036471</v>
      </c>
      <c r="Q10" s="47">
        <f t="shared" si="0"/>
        <v>0.17218925772613289</v>
      </c>
      <c r="R10" s="46">
        <v>2315051408</v>
      </c>
      <c r="S10" s="47">
        <f t="shared" si="1"/>
        <v>0.14850480845099964</v>
      </c>
      <c r="T10" s="48">
        <f t="shared" si="2"/>
        <v>-0.14669359120458356</v>
      </c>
      <c r="U10" s="84">
        <f t="shared" si="3"/>
        <v>4.060219975037375E-3</v>
      </c>
      <c r="V10" s="49">
        <f t="shared" si="4"/>
        <v>-2.7075824300658469E-2</v>
      </c>
      <c r="W10" s="50">
        <f t="shared" si="5"/>
        <v>21.440367941514122</v>
      </c>
      <c r="X10" s="50">
        <f t="shared" si="6"/>
        <v>-0.58051563532590689</v>
      </c>
      <c r="Y10" s="78">
        <v>20.75</v>
      </c>
      <c r="Z10" s="78">
        <v>21.38</v>
      </c>
      <c r="AA10" s="189">
        <v>12294</v>
      </c>
      <c r="AB10" s="191">
        <v>107976291</v>
      </c>
      <c r="AC10" s="35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 x14ac:dyDescent="0.35">
      <c r="A11" s="143">
        <v>8</v>
      </c>
      <c r="B11" s="116" t="s">
        <v>38</v>
      </c>
      <c r="C11" s="83" t="s">
        <v>39</v>
      </c>
      <c r="D11" s="77">
        <v>245200790.61000001</v>
      </c>
      <c r="E11" s="77"/>
      <c r="F11" s="78">
        <v>86686244.390000001</v>
      </c>
      <c r="G11" s="78"/>
      <c r="H11" s="78"/>
      <c r="I11" s="78"/>
      <c r="J11" s="79">
        <v>353318405.06</v>
      </c>
      <c r="K11" s="79">
        <v>2792868.72</v>
      </c>
      <c r="L11" s="79">
        <v>1347608.53</v>
      </c>
      <c r="M11" s="193">
        <v>420124.97</v>
      </c>
      <c r="N11" s="45">
        <v>359633113.48000002</v>
      </c>
      <c r="O11" s="45">
        <v>6314708.4199999999</v>
      </c>
      <c r="P11" s="225">
        <v>354548588.49000001</v>
      </c>
      <c r="Q11" s="47">
        <f t="shared" si="0"/>
        <v>2.250226229264031E-2</v>
      </c>
      <c r="R11" s="46">
        <v>353318405.06</v>
      </c>
      <c r="S11" s="47">
        <f t="shared" si="1"/>
        <v>2.2664499753367033E-2</v>
      </c>
      <c r="T11" s="48">
        <f t="shared" si="2"/>
        <v>-3.4697174659170989E-3</v>
      </c>
      <c r="U11" s="84">
        <f t="shared" si="3"/>
        <v>3.8141475527467953E-3</v>
      </c>
      <c r="V11" s="49">
        <f t="shared" si="4"/>
        <v>1.1890831725243835E-3</v>
      </c>
      <c r="W11" s="50">
        <f t="shared" si="5"/>
        <v>152.83736021711897</v>
      </c>
      <c r="X11" s="50">
        <f t="shared" si="6"/>
        <v>0.18173633316722382</v>
      </c>
      <c r="Y11" s="78">
        <v>152.84</v>
      </c>
      <c r="Z11" s="78">
        <v>154.71</v>
      </c>
      <c r="AA11" s="189">
        <v>1441</v>
      </c>
      <c r="AB11" s="191">
        <v>2311728</v>
      </c>
      <c r="AC11" s="38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 x14ac:dyDescent="0.3">
      <c r="A12" s="228">
        <v>9</v>
      </c>
      <c r="B12" s="116" t="s">
        <v>40</v>
      </c>
      <c r="C12" s="83" t="s">
        <v>41</v>
      </c>
      <c r="D12" s="223">
        <v>204530608.55000001</v>
      </c>
      <c r="E12" s="77"/>
      <c r="F12" s="78">
        <v>43416479.409999996</v>
      </c>
      <c r="G12" s="78"/>
      <c r="H12" s="78"/>
      <c r="I12" s="78"/>
      <c r="J12" s="79">
        <v>247947087.96000001</v>
      </c>
      <c r="K12" s="79">
        <v>465663.8</v>
      </c>
      <c r="L12" s="79">
        <v>481283.78</v>
      </c>
      <c r="M12" s="193">
        <v>9060226.4700000007</v>
      </c>
      <c r="N12" s="45">
        <v>255776227.69999999</v>
      </c>
      <c r="O12" s="45">
        <v>2590438.2599999998</v>
      </c>
      <c r="P12" s="225">
        <v>245301036.55000001</v>
      </c>
      <c r="Q12" s="47">
        <f t="shared" si="0"/>
        <v>1.5568608772674141E-2</v>
      </c>
      <c r="R12" s="46">
        <v>253185789.44</v>
      </c>
      <c r="S12" s="47">
        <f t="shared" si="1"/>
        <v>1.6241240705658803E-2</v>
      </c>
      <c r="T12" s="48">
        <f t="shared" si="2"/>
        <v>3.214316988176618E-2</v>
      </c>
      <c r="U12" s="84">
        <f t="shared" si="3"/>
        <v>1.9009115048064524E-3</v>
      </c>
      <c r="V12" s="49">
        <f t="shared" si="4"/>
        <v>3.5784893338759421E-2</v>
      </c>
      <c r="W12" s="50">
        <f t="shared" si="5"/>
        <v>12.166455615348008</v>
      </c>
      <c r="X12" s="50">
        <f t="shared" si="6"/>
        <v>0.43537531650597905</v>
      </c>
      <c r="Y12" s="78">
        <v>12.21</v>
      </c>
      <c r="Z12" s="78">
        <v>12.32</v>
      </c>
      <c r="AA12" s="51">
        <v>142</v>
      </c>
      <c r="AB12" s="191">
        <v>20810151.899999999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 x14ac:dyDescent="0.3">
      <c r="A13" s="143">
        <v>10</v>
      </c>
      <c r="B13" s="116" t="s">
        <v>24</v>
      </c>
      <c r="C13" s="82" t="s">
        <v>42</v>
      </c>
      <c r="D13" s="77">
        <v>276377535.17000002</v>
      </c>
      <c r="E13" s="77"/>
      <c r="F13" s="78">
        <v>95230312.829999998</v>
      </c>
      <c r="G13" s="78"/>
      <c r="H13" s="78"/>
      <c r="I13" s="78"/>
      <c r="J13" s="79">
        <v>371611448</v>
      </c>
      <c r="K13" s="101">
        <v>-1329246.28</v>
      </c>
      <c r="L13" s="79">
        <v>1002054.02</v>
      </c>
      <c r="M13" s="193">
        <v>17026864.52</v>
      </c>
      <c r="N13" s="45">
        <v>372879777.35000002</v>
      </c>
      <c r="O13" s="45">
        <v>2889971.17</v>
      </c>
      <c r="P13" s="225">
        <v>352507523.17000002</v>
      </c>
      <c r="Q13" s="47">
        <f t="shared" si="0"/>
        <v>2.2372721268707148E-2</v>
      </c>
      <c r="R13" s="46">
        <v>369989806.18000001</v>
      </c>
      <c r="S13" s="47">
        <f t="shared" si="1"/>
        <v>2.3733928804220917E-2</v>
      </c>
      <c r="T13" s="48">
        <f t="shared" si="2"/>
        <v>4.9594070653547435E-2</v>
      </c>
      <c r="U13" s="84">
        <f t="shared" si="3"/>
        <v>2.7083287249068176E-3</v>
      </c>
      <c r="V13" s="49">
        <f t="shared" si="4"/>
        <v>4.6019820642616387E-2</v>
      </c>
      <c r="W13" s="50">
        <f t="shared" si="5"/>
        <v>2973.3489477028156</v>
      </c>
      <c r="X13" s="50">
        <f t="shared" si="6"/>
        <v>136.83298528119573</v>
      </c>
      <c r="Y13" s="78">
        <v>2945.08</v>
      </c>
      <c r="Z13" s="78">
        <v>2988.97</v>
      </c>
      <c r="AA13" s="189">
        <v>21</v>
      </c>
      <c r="AB13" s="191">
        <v>124435.38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 x14ac:dyDescent="0.3">
      <c r="A14" s="143">
        <v>11</v>
      </c>
      <c r="B14" s="229" t="s">
        <v>43</v>
      </c>
      <c r="C14" s="85" t="s">
        <v>44</v>
      </c>
      <c r="D14" s="77">
        <v>219651212.13999999</v>
      </c>
      <c r="E14" s="101"/>
      <c r="F14" s="78"/>
      <c r="G14" s="78"/>
      <c r="H14" s="78"/>
      <c r="I14" s="78"/>
      <c r="J14" s="79">
        <v>219651212.13999999</v>
      </c>
      <c r="K14" s="79">
        <v>5353871.8499999996</v>
      </c>
      <c r="L14" s="79">
        <v>534452.6</v>
      </c>
      <c r="M14" s="193">
        <v>4819419.24</v>
      </c>
      <c r="N14" s="45">
        <v>242738876.19</v>
      </c>
      <c r="O14" s="45">
        <v>3251647.46</v>
      </c>
      <c r="P14" s="225">
        <v>268396464</v>
      </c>
      <c r="Q14" s="47">
        <f t="shared" si="0"/>
        <v>1.7034414541225954E-2</v>
      </c>
      <c r="R14" s="46">
        <v>239487228.72999999</v>
      </c>
      <c r="S14" s="47">
        <f t="shared" si="1"/>
        <v>1.5362511996973065E-2</v>
      </c>
      <c r="T14" s="48">
        <f t="shared" si="2"/>
        <v>-0.10771093940343421</v>
      </c>
      <c r="U14" s="84">
        <f t="shared" si="3"/>
        <v>2.2316538666141005E-3</v>
      </c>
      <c r="V14" s="49">
        <f t="shared" si="4"/>
        <v>2.0123909176941773E-2</v>
      </c>
      <c r="W14" s="50">
        <f t="shared" si="5"/>
        <v>139.87232446769229</v>
      </c>
      <c r="X14" s="50">
        <f t="shared" si="6"/>
        <v>2.8147779539555704</v>
      </c>
      <c r="Y14" s="78">
        <v>138.47</v>
      </c>
      <c r="Z14" s="78">
        <v>141.27000000000001</v>
      </c>
      <c r="AA14" s="189">
        <v>578</v>
      </c>
      <c r="AB14" s="191">
        <v>1712184.52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 x14ac:dyDescent="0.3">
      <c r="A15" s="143">
        <v>12</v>
      </c>
      <c r="B15" s="116" t="s">
        <v>45</v>
      </c>
      <c r="C15" s="82" t="s">
        <v>46</v>
      </c>
      <c r="D15" s="77">
        <v>269616995.30000001</v>
      </c>
      <c r="E15" s="101"/>
      <c r="F15" s="78">
        <v>48862336.149999999</v>
      </c>
      <c r="G15" s="78"/>
      <c r="H15" s="78"/>
      <c r="I15" s="78"/>
      <c r="J15" s="79">
        <v>318479331.44999999</v>
      </c>
      <c r="K15" s="79">
        <v>502682.16</v>
      </c>
      <c r="L15" s="79">
        <v>692586.07</v>
      </c>
      <c r="M15" s="193">
        <v>-613341.71</v>
      </c>
      <c r="N15" s="45">
        <v>327306665.89999998</v>
      </c>
      <c r="O15" s="45">
        <v>3643053.61</v>
      </c>
      <c r="P15" s="225">
        <v>324263055.55000001</v>
      </c>
      <c r="Q15" s="47">
        <f t="shared" si="0"/>
        <v>2.0580119522898333E-2</v>
      </c>
      <c r="R15" s="46">
        <v>323663612.29000002</v>
      </c>
      <c r="S15" s="47">
        <f t="shared" si="1"/>
        <v>2.0762218316011178E-2</v>
      </c>
      <c r="T15" s="48">
        <f t="shared" si="2"/>
        <v>-1.8486326139844779E-3</v>
      </c>
      <c r="U15" s="84">
        <f t="shared" si="3"/>
        <v>2.1398329738081534E-3</v>
      </c>
      <c r="V15" s="49">
        <f t="shared" si="4"/>
        <v>-1.8949974192664287E-3</v>
      </c>
      <c r="W15" s="50">
        <f t="shared" si="5"/>
        <v>1.2233703863947643</v>
      </c>
      <c r="X15" s="50">
        <f t="shared" si="6"/>
        <v>-2.3182837250250521E-3</v>
      </c>
      <c r="Y15" s="78">
        <v>1.28</v>
      </c>
      <c r="Z15" s="78">
        <v>1.32</v>
      </c>
      <c r="AA15" s="189">
        <v>104</v>
      </c>
      <c r="AB15" s="191">
        <v>264567146.53999999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 x14ac:dyDescent="0.3">
      <c r="A16" s="143">
        <v>13</v>
      </c>
      <c r="B16" s="229" t="s">
        <v>47</v>
      </c>
      <c r="C16" s="85" t="s">
        <v>48</v>
      </c>
      <c r="D16" s="77">
        <v>221353556.34999999</v>
      </c>
      <c r="E16" s="101"/>
      <c r="F16" s="78">
        <v>63637120.549999997</v>
      </c>
      <c r="G16" s="78"/>
      <c r="H16" s="78"/>
      <c r="I16" s="78"/>
      <c r="J16" s="79">
        <v>291981050.75999999</v>
      </c>
      <c r="K16" s="79">
        <v>372658.92</v>
      </c>
      <c r="L16" s="79">
        <v>373631.06</v>
      </c>
      <c r="M16" s="193">
        <v>-972.14</v>
      </c>
      <c r="N16" s="45">
        <v>294306252.64999998</v>
      </c>
      <c r="O16" s="45">
        <v>3315143.41</v>
      </c>
      <c r="P16" s="225">
        <v>283592272.50999999</v>
      </c>
      <c r="Q16" s="47">
        <f t="shared" si="0"/>
        <v>1.7998852364253418E-2</v>
      </c>
      <c r="R16" s="46">
        <v>290991109.24000001</v>
      </c>
      <c r="S16" s="47">
        <f t="shared" si="1"/>
        <v>1.8666358245566058E-2</v>
      </c>
      <c r="T16" s="48">
        <f t="shared" si="2"/>
        <v>2.608969794739073E-2</v>
      </c>
      <c r="U16" s="84">
        <f t="shared" si="3"/>
        <v>1.2839947618187924E-3</v>
      </c>
      <c r="V16" s="49">
        <f t="shared" si="4"/>
        <v>-3.340789354489214E-6</v>
      </c>
      <c r="W16" s="50">
        <f t="shared" si="5"/>
        <v>1.4686527525147346</v>
      </c>
      <c r="X16" s="50">
        <f t="shared" si="6"/>
        <v>-4.9064594810425077E-6</v>
      </c>
      <c r="Y16" s="78">
        <v>1.4686999999999999</v>
      </c>
      <c r="Z16" s="78">
        <v>1.4854000000000001</v>
      </c>
      <c r="AA16" s="189">
        <v>11</v>
      </c>
      <c r="AB16" s="191">
        <v>198134725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257" ht="15.95" customHeight="1" x14ac:dyDescent="0.3">
      <c r="A17" s="143">
        <v>14</v>
      </c>
      <c r="B17" s="206" t="s">
        <v>49</v>
      </c>
      <c r="C17" s="103" t="s">
        <v>50</v>
      </c>
      <c r="D17" s="201">
        <v>3621932.74</v>
      </c>
      <c r="E17" s="201"/>
      <c r="F17" s="44"/>
      <c r="G17" s="201"/>
      <c r="H17" s="201"/>
      <c r="I17" s="201">
        <v>1882545.57</v>
      </c>
      <c r="J17" s="201">
        <v>3621932.74</v>
      </c>
      <c r="K17" s="201">
        <v>0</v>
      </c>
      <c r="L17" s="201">
        <v>0</v>
      </c>
      <c r="M17" s="224">
        <v>0</v>
      </c>
      <c r="N17" s="201">
        <v>5504478.3099999996</v>
      </c>
      <c r="O17" s="201">
        <v>0</v>
      </c>
      <c r="P17" s="225">
        <v>5504478.3099999996</v>
      </c>
      <c r="Q17" s="47">
        <f t="shared" si="0"/>
        <v>3.4935469703403711E-4</v>
      </c>
      <c r="R17" s="54">
        <v>5504478.3099999996</v>
      </c>
      <c r="S17" s="47">
        <f t="shared" si="1"/>
        <v>3.5309863712937133E-4</v>
      </c>
      <c r="T17" s="48">
        <f t="shared" si="2"/>
        <v>0</v>
      </c>
      <c r="U17" s="84">
        <f>(L17/R17)</f>
        <v>0</v>
      </c>
      <c r="V17" s="56">
        <f t="shared" si="4"/>
        <v>0</v>
      </c>
      <c r="W17" s="57">
        <f t="shared" si="5"/>
        <v>1.3927630965032134</v>
      </c>
      <c r="X17" s="57">
        <f t="shared" si="6"/>
        <v>0</v>
      </c>
      <c r="Y17" s="201">
        <v>1.39</v>
      </c>
      <c r="Z17" s="201">
        <v>1.45</v>
      </c>
      <c r="AA17" s="202">
        <v>2420</v>
      </c>
      <c r="AB17" s="203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257" ht="16.5" customHeight="1" x14ac:dyDescent="0.3">
      <c r="A18" s="143">
        <v>15</v>
      </c>
      <c r="B18" s="116" t="s">
        <v>51</v>
      </c>
      <c r="C18" s="83" t="s">
        <v>52</v>
      </c>
      <c r="D18" s="77">
        <v>369288109.75</v>
      </c>
      <c r="E18" s="101"/>
      <c r="F18" s="78">
        <v>16193869.59</v>
      </c>
      <c r="G18" s="78">
        <v>52231014.140000001</v>
      </c>
      <c r="H18" s="78"/>
      <c r="I18" s="78"/>
      <c r="J18" s="79">
        <v>437712993.48000002</v>
      </c>
      <c r="K18" s="79">
        <v>678058.32</v>
      </c>
      <c r="L18" s="79">
        <v>3880697.98</v>
      </c>
      <c r="M18" s="193">
        <v>-3202639.66</v>
      </c>
      <c r="N18" s="45">
        <v>440018383.89999998</v>
      </c>
      <c r="O18" s="45">
        <v>3880697.98</v>
      </c>
      <c r="P18" s="225">
        <v>428430358.06999999</v>
      </c>
      <c r="Q18" s="47">
        <f t="shared" si="0"/>
        <v>2.7191343032783956E-2</v>
      </c>
      <c r="R18" s="46">
        <v>436137685.92000002</v>
      </c>
      <c r="S18" s="47">
        <f t="shared" si="1"/>
        <v>2.7977151298668634E-2</v>
      </c>
      <c r="T18" s="48">
        <f>((R18-P18)/P18)</f>
        <v>1.7989686549571601E-2</v>
      </c>
      <c r="U18" s="84">
        <f>(L18/R18)</f>
        <v>8.8978735506746141E-3</v>
      </c>
      <c r="V18" s="49">
        <f t="shared" si="4"/>
        <v>-7.3431848780603996E-3</v>
      </c>
      <c r="W18" s="50">
        <f t="shared" si="5"/>
        <v>142.73953406576226</v>
      </c>
      <c r="X18" s="50">
        <f t="shared" si="6"/>
        <v>-1.0481627880530926</v>
      </c>
      <c r="Y18" s="78">
        <v>142.51</v>
      </c>
      <c r="Z18" s="78">
        <v>144.30000000000001</v>
      </c>
      <c r="AA18" s="189">
        <v>140</v>
      </c>
      <c r="AB18" s="191">
        <v>3055479.26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257" ht="16.5" customHeight="1" x14ac:dyDescent="0.3">
      <c r="A19" s="230">
        <v>16</v>
      </c>
      <c r="B19" s="231" t="s">
        <v>173</v>
      </c>
      <c r="C19" s="135" t="s">
        <v>174</v>
      </c>
      <c r="D19" s="77">
        <v>18775196</v>
      </c>
      <c r="E19" s="101"/>
      <c r="F19" s="78">
        <v>5533949.1299999999</v>
      </c>
      <c r="G19" s="78"/>
      <c r="H19" s="78"/>
      <c r="I19" s="78"/>
      <c r="J19" s="79">
        <v>24309145.129999999</v>
      </c>
      <c r="K19" s="79">
        <v>30047.45</v>
      </c>
      <c r="L19" s="79">
        <v>22214.05</v>
      </c>
      <c r="M19" s="193">
        <v>7833.39</v>
      </c>
      <c r="N19" s="45">
        <v>25239937.510000002</v>
      </c>
      <c r="O19" s="45">
        <v>379663.52</v>
      </c>
      <c r="P19" s="225">
        <v>23965547.870000001</v>
      </c>
      <c r="Q19" s="47">
        <f t="shared" si="0"/>
        <v>1.5210300129929234E-3</v>
      </c>
      <c r="R19" s="46">
        <v>24860274</v>
      </c>
      <c r="S19" s="47">
        <f t="shared" si="1"/>
        <v>1.5947249446174574E-3</v>
      </c>
      <c r="T19" s="48">
        <f>((R19-P19)/P19)</f>
        <v>3.7333848358209847E-2</v>
      </c>
      <c r="U19" s="136">
        <f>(L18/R19)</f>
        <v>0.15610037041426011</v>
      </c>
      <c r="V19" s="137" t="e">
        <v>#DIV/0!</v>
      </c>
      <c r="W19" s="138" t="e">
        <v>#DIV/0!</v>
      </c>
      <c r="X19" s="138" t="e">
        <v>#DIV/0!</v>
      </c>
      <c r="Y19" s="78">
        <v>96.65</v>
      </c>
      <c r="Z19" s="78">
        <v>99.64</v>
      </c>
      <c r="AA19" s="189">
        <v>3</v>
      </c>
      <c r="AB19" s="191">
        <v>253000</v>
      </c>
      <c r="AC19" s="109"/>
      <c r="AD19" s="109"/>
      <c r="AE19" s="110"/>
      <c r="AF19" s="110"/>
      <c r="AG19" s="111"/>
      <c r="AH19" s="111"/>
      <c r="AI19" s="111"/>
      <c r="AJ19" s="111"/>
      <c r="AK19" s="112"/>
      <c r="AL19" s="111"/>
      <c r="AM19" s="111"/>
      <c r="AN19" s="111"/>
      <c r="AO19" s="111"/>
      <c r="AP19" s="112"/>
      <c r="AQ19" s="111"/>
      <c r="AR19" s="111"/>
      <c r="AS19" s="111"/>
      <c r="AT19" s="111"/>
      <c r="AU19" s="112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  <c r="IW19" s="113"/>
    </row>
    <row r="20" spans="1:257" ht="16.5" customHeight="1" x14ac:dyDescent="0.3">
      <c r="A20" s="146"/>
      <c r="B20" s="58"/>
      <c r="C20" s="59" t="s">
        <v>53</v>
      </c>
      <c r="D20" s="60"/>
      <c r="E20" s="60"/>
      <c r="F20" s="60"/>
      <c r="G20" s="60"/>
      <c r="H20" s="60"/>
      <c r="I20" s="60"/>
      <c r="J20" s="60"/>
      <c r="K20" s="60"/>
      <c r="L20" s="60"/>
      <c r="M20" s="212"/>
      <c r="N20" s="60"/>
      <c r="O20" s="60"/>
      <c r="P20" s="226">
        <f>SUM(P4:P19)</f>
        <v>15756130822.719999</v>
      </c>
      <c r="Q20" s="118">
        <f>(P20/$P$148)</f>
        <v>1.2104103842155201E-2</v>
      </c>
      <c r="R20" s="205">
        <f>SUM(R4:R19)</f>
        <v>15589066994.85</v>
      </c>
      <c r="S20" s="118">
        <f>(R20/$R$148)</f>
        <v>1.1731679935579787E-2</v>
      </c>
      <c r="T20" s="62">
        <f>((R20-P20)/P20)</f>
        <v>-1.0603099818712885E-2</v>
      </c>
      <c r="U20" s="76"/>
      <c r="V20" s="63"/>
      <c r="W20" s="64"/>
      <c r="X20" s="64"/>
      <c r="Y20" s="60"/>
      <c r="Z20" s="60"/>
      <c r="AA20" s="65">
        <f>SUM(AA4:AA19)</f>
        <v>53773</v>
      </c>
      <c r="AB20" s="147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257" ht="15.75" customHeight="1" x14ac:dyDescent="0.3">
      <c r="A21" s="240" t="s">
        <v>54</v>
      </c>
      <c r="B21" s="238"/>
      <c r="C21" s="238"/>
      <c r="D21" s="66"/>
      <c r="E21" s="66"/>
      <c r="F21" s="66"/>
      <c r="G21" s="66"/>
      <c r="H21" s="66"/>
      <c r="I21" s="66"/>
      <c r="J21" s="66"/>
      <c r="K21" s="66"/>
      <c r="L21" s="66"/>
      <c r="M21" s="213"/>
      <c r="N21" s="66"/>
      <c r="O21" s="66"/>
      <c r="P21" s="66"/>
      <c r="Q21" s="66"/>
      <c r="R21" s="66"/>
      <c r="S21" s="66"/>
      <c r="T21" s="48"/>
      <c r="U21" s="48"/>
      <c r="V21" s="66"/>
      <c r="W21" s="66"/>
      <c r="X21" s="66"/>
      <c r="Y21" s="66"/>
      <c r="Z21" s="66"/>
      <c r="AA21" s="66"/>
      <c r="AB21" s="148"/>
      <c r="AC21" s="10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257" ht="18" customHeight="1" x14ac:dyDescent="0.35">
      <c r="A22" s="143">
        <v>17</v>
      </c>
      <c r="B22" s="116" t="s">
        <v>24</v>
      </c>
      <c r="C22" s="83" t="s">
        <v>55</v>
      </c>
      <c r="D22" s="78"/>
      <c r="E22" s="78"/>
      <c r="F22" s="78">
        <v>197765791014.10001</v>
      </c>
      <c r="G22" s="78"/>
      <c r="H22" s="78"/>
      <c r="I22" s="78"/>
      <c r="J22" s="78">
        <v>197765791014.10001</v>
      </c>
      <c r="K22" s="78">
        <v>1762131604.03</v>
      </c>
      <c r="L22" s="78">
        <v>358687114.38999999</v>
      </c>
      <c r="M22" s="193">
        <v>1403444489.6400001</v>
      </c>
      <c r="N22" s="44">
        <v>228335184623.03</v>
      </c>
      <c r="O22" s="44">
        <v>442184889.16000003</v>
      </c>
      <c r="P22" s="225">
        <v>219596713025.07999</v>
      </c>
      <c r="Q22" s="47">
        <f t="shared" ref="Q22:Q50" si="7">(P22/$P$51)</f>
        <v>0.40053385174244266</v>
      </c>
      <c r="R22" s="54">
        <v>227892999733.87</v>
      </c>
      <c r="S22" s="47">
        <f t="shared" ref="S22:S50" si="8">(R22/$R$51)</f>
        <v>0.39959726285982639</v>
      </c>
      <c r="T22" s="48">
        <f t="shared" ref="T22:T51" si="9">((R22-P22)/P22)</f>
        <v>3.7779648859509546E-2</v>
      </c>
      <c r="U22" s="84">
        <f t="shared" ref="U22:U50" si="10">(L22/R22)</f>
        <v>1.5739277415667413E-3</v>
      </c>
      <c r="V22" s="49">
        <f t="shared" ref="V22:V50" si="11">M22/R22</f>
        <v>6.1583483971816661E-3</v>
      </c>
      <c r="W22" s="50">
        <f t="shared" ref="W22:W50" si="12">R22/AB22</f>
        <v>107.00685843133805</v>
      </c>
      <c r="X22" s="50">
        <f t="shared" ref="X22:X50" si="13">M22/AB22</f>
        <v>0.65898551510807613</v>
      </c>
      <c r="Y22" s="44">
        <v>100</v>
      </c>
      <c r="Z22" s="44">
        <v>100</v>
      </c>
      <c r="AA22" s="189">
        <v>476714</v>
      </c>
      <c r="AB22" s="190">
        <v>2129704610.29</v>
      </c>
      <c r="AC22" s="37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257" ht="18" customHeight="1" x14ac:dyDescent="0.35">
      <c r="A23" s="143">
        <v>18</v>
      </c>
      <c r="B23" s="116" t="s">
        <v>56</v>
      </c>
      <c r="C23" s="83" t="s">
        <v>57</v>
      </c>
      <c r="D23" s="78"/>
      <c r="E23" s="78"/>
      <c r="F23" s="78">
        <v>162476728868.72</v>
      </c>
      <c r="G23" s="78"/>
      <c r="H23" s="78"/>
      <c r="I23" s="78"/>
      <c r="J23" s="78">
        <v>161269896507.20001</v>
      </c>
      <c r="K23" s="78">
        <v>2958864898.0900002</v>
      </c>
      <c r="L23" s="78">
        <v>224175175.03999999</v>
      </c>
      <c r="M23" s="193">
        <v>2734689723.0500002</v>
      </c>
      <c r="N23" s="44">
        <v>162464202669.51001</v>
      </c>
      <c r="O23" s="44">
        <v>1194306162.3099999</v>
      </c>
      <c r="P23" s="225">
        <v>155636512576.94</v>
      </c>
      <c r="Q23" s="47">
        <f t="shared" si="7"/>
        <v>0.28387351976021313</v>
      </c>
      <c r="R23" s="54">
        <v>161269896507.20001</v>
      </c>
      <c r="S23" s="47">
        <f t="shared" si="8"/>
        <v>0.28277748461435925</v>
      </c>
      <c r="T23" s="48">
        <f t="shared" si="9"/>
        <v>3.6195773324560372E-2</v>
      </c>
      <c r="U23" s="84">
        <f t="shared" si="10"/>
        <v>1.3900621250165651E-3</v>
      </c>
      <c r="V23" s="49">
        <f t="shared" si="11"/>
        <v>1.6957223773799025E-2</v>
      </c>
      <c r="W23" s="50">
        <f t="shared" si="12"/>
        <v>100.02506241728852</v>
      </c>
      <c r="X23" s="50">
        <f t="shared" si="13"/>
        <v>1.6961473663981761</v>
      </c>
      <c r="Y23" s="44">
        <v>100</v>
      </c>
      <c r="Z23" s="44">
        <v>100</v>
      </c>
      <c r="AA23" s="189">
        <v>22800</v>
      </c>
      <c r="AB23" s="190">
        <v>1612294885</v>
      </c>
      <c r="AC23" s="37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257" ht="18" customHeight="1" x14ac:dyDescent="0.35">
      <c r="A24" s="143">
        <v>19</v>
      </c>
      <c r="B24" s="116" t="s">
        <v>34</v>
      </c>
      <c r="C24" s="83" t="s">
        <v>58</v>
      </c>
      <c r="D24" s="78"/>
      <c r="E24" s="78"/>
      <c r="F24" s="78">
        <v>7031724398</v>
      </c>
      <c r="G24" s="78"/>
      <c r="H24" s="78"/>
      <c r="I24" s="78"/>
      <c r="J24" s="78">
        <v>7031724398</v>
      </c>
      <c r="K24" s="78">
        <v>187637420</v>
      </c>
      <c r="L24" s="78">
        <v>26676847</v>
      </c>
      <c r="M24" s="193">
        <v>160960573</v>
      </c>
      <c r="N24" s="44">
        <v>22744693837.18</v>
      </c>
      <c r="O24" s="44">
        <v>232246157.13999999</v>
      </c>
      <c r="P24" s="225">
        <v>21644144302</v>
      </c>
      <c r="Q24" s="47">
        <f t="shared" si="7"/>
        <v>3.9477879088104559E-2</v>
      </c>
      <c r="R24" s="54">
        <v>22512447680</v>
      </c>
      <c r="S24" s="47">
        <f t="shared" si="8"/>
        <v>3.9474281718650153E-2</v>
      </c>
      <c r="T24" s="48">
        <f t="shared" si="9"/>
        <v>4.0117242145708921E-2</v>
      </c>
      <c r="U24" s="84">
        <f t="shared" si="10"/>
        <v>1.1849820765469071E-3</v>
      </c>
      <c r="V24" s="49">
        <f t="shared" si="11"/>
        <v>7.1498477325944859E-3</v>
      </c>
      <c r="W24" s="50">
        <f t="shared" si="12"/>
        <v>1.0391650991641161</v>
      </c>
      <c r="X24" s="50">
        <f t="shared" si="13"/>
        <v>7.4298722280498808E-3</v>
      </c>
      <c r="Y24" s="44">
        <v>1</v>
      </c>
      <c r="Z24" s="44">
        <v>1</v>
      </c>
      <c r="AA24" s="189">
        <v>3642</v>
      </c>
      <c r="AB24" s="190">
        <v>21663975915</v>
      </c>
      <c r="AC24" s="37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257" ht="18" customHeight="1" x14ac:dyDescent="0.35">
      <c r="A25" s="143">
        <v>20</v>
      </c>
      <c r="B25" s="116" t="s">
        <v>59</v>
      </c>
      <c r="C25" s="83" t="s">
        <v>60</v>
      </c>
      <c r="D25" s="78"/>
      <c r="E25" s="78"/>
      <c r="F25" s="78">
        <v>867234754.90999997</v>
      </c>
      <c r="G25" s="78"/>
      <c r="H25" s="78"/>
      <c r="I25" s="78">
        <f>J25-F25</f>
        <v>12017828.519999981</v>
      </c>
      <c r="J25" s="78">
        <v>879252583.42999995</v>
      </c>
      <c r="K25" s="78">
        <v>8084701.7999999998</v>
      </c>
      <c r="L25" s="78">
        <v>1674833.45</v>
      </c>
      <c r="M25" s="193">
        <v>6409868.3499999996</v>
      </c>
      <c r="N25" s="44">
        <v>879252583.35000002</v>
      </c>
      <c r="O25" s="44">
        <v>28850775.760000002</v>
      </c>
      <c r="P25" s="225">
        <v>802882445.95000005</v>
      </c>
      <c r="Q25" s="47">
        <f t="shared" si="7"/>
        <v>1.4644189985485777E-3</v>
      </c>
      <c r="R25" s="54">
        <v>850401807.66999996</v>
      </c>
      <c r="S25" s="47">
        <f t="shared" si="8"/>
        <v>1.491130640576126E-3</v>
      </c>
      <c r="T25" s="48">
        <f t="shared" si="9"/>
        <v>5.9185951766292828E-2</v>
      </c>
      <c r="U25" s="84">
        <f t="shared" si="10"/>
        <v>1.9694613004043876E-3</v>
      </c>
      <c r="V25" s="49">
        <f t="shared" si="11"/>
        <v>7.5374585192407792E-3</v>
      </c>
      <c r="W25" s="50">
        <f t="shared" si="12"/>
        <v>101.10056573040973</v>
      </c>
      <c r="X25" s="50">
        <f t="shared" si="13"/>
        <v>0.76204132046473916</v>
      </c>
      <c r="Y25" s="44">
        <v>100</v>
      </c>
      <c r="Z25" s="44">
        <v>100</v>
      </c>
      <c r="AA25" s="189">
        <v>799</v>
      </c>
      <c r="AB25" s="190">
        <v>8411444.5999999996</v>
      </c>
      <c r="AC25" s="37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257" ht="18" customHeight="1" x14ac:dyDescent="0.35">
      <c r="A26" s="143">
        <v>21</v>
      </c>
      <c r="B26" s="117" t="s">
        <v>36</v>
      </c>
      <c r="C26" s="83" t="s">
        <v>61</v>
      </c>
      <c r="D26" s="78"/>
      <c r="E26" s="78"/>
      <c r="F26" s="78">
        <v>18271773019.869999</v>
      </c>
      <c r="G26" s="78"/>
      <c r="H26" s="78"/>
      <c r="I26" s="78"/>
      <c r="J26" s="78">
        <v>18271773019.869999</v>
      </c>
      <c r="K26" s="78">
        <v>540151058.05999994</v>
      </c>
      <c r="L26" s="78">
        <v>104568543.77</v>
      </c>
      <c r="M26" s="193">
        <v>644719601.83000004</v>
      </c>
      <c r="N26" s="44">
        <v>63319402445</v>
      </c>
      <c r="O26" s="44">
        <v>14503316</v>
      </c>
      <c r="P26" s="225">
        <v>59971353015</v>
      </c>
      <c r="Q26" s="47">
        <f t="shared" si="7"/>
        <v>0.1093848659499759</v>
      </c>
      <c r="R26" s="54">
        <v>63304899129</v>
      </c>
      <c r="S26" s="47">
        <f t="shared" si="8"/>
        <v>0.11100149827816842</v>
      </c>
      <c r="T26" s="48">
        <f t="shared" si="9"/>
        <v>5.5585641250518653E-2</v>
      </c>
      <c r="U26" s="84">
        <f t="shared" si="10"/>
        <v>1.6518238747512213E-3</v>
      </c>
      <c r="V26" s="49">
        <f t="shared" si="11"/>
        <v>1.01843555664818E-2</v>
      </c>
      <c r="W26" s="50">
        <f t="shared" si="12"/>
        <v>1</v>
      </c>
      <c r="X26" s="50">
        <f t="shared" si="13"/>
        <v>1.01843555664818E-2</v>
      </c>
      <c r="Y26" s="44" t="s">
        <v>214</v>
      </c>
      <c r="Z26" s="44" t="s">
        <v>214</v>
      </c>
      <c r="AA26" s="189">
        <v>78996</v>
      </c>
      <c r="AB26" s="190">
        <v>63304899129</v>
      </c>
      <c r="AC26" s="37"/>
      <c r="AD26" s="10"/>
      <c r="AE26" s="13"/>
      <c r="AF26" s="4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257" ht="18" customHeight="1" x14ac:dyDescent="0.35">
      <c r="A27" s="143">
        <v>22</v>
      </c>
      <c r="B27" s="116" t="s">
        <v>40</v>
      </c>
      <c r="C27" s="83" t="s">
        <v>62</v>
      </c>
      <c r="D27" s="78"/>
      <c r="E27" s="78"/>
      <c r="F27" s="78">
        <v>1176935954.6600001</v>
      </c>
      <c r="G27" s="78"/>
      <c r="H27" s="78"/>
      <c r="I27" s="78">
        <f>SUM(J27-F27)</f>
        <v>776442445.17999983</v>
      </c>
      <c r="J27" s="78">
        <v>1953378399.8399999</v>
      </c>
      <c r="K27" s="78">
        <v>15396664.49</v>
      </c>
      <c r="L27" s="78">
        <v>2943829.72</v>
      </c>
      <c r="M27" s="193">
        <v>12452834.77</v>
      </c>
      <c r="N27" s="44">
        <v>1980043603.6099999</v>
      </c>
      <c r="O27" s="44">
        <v>10106639.890000001</v>
      </c>
      <c r="P27" s="225">
        <v>1758433706.3599999</v>
      </c>
      <c r="Q27" s="47">
        <f t="shared" si="7"/>
        <v>3.2072985781060903E-3</v>
      </c>
      <c r="R27" s="54">
        <v>1969936963.72</v>
      </c>
      <c r="S27" s="47">
        <f t="shared" si="8"/>
        <v>3.4541711225363116E-3</v>
      </c>
      <c r="T27" s="48">
        <f t="shared" si="9"/>
        <v>0.12027934666801683</v>
      </c>
      <c r="U27" s="84">
        <f t="shared" si="10"/>
        <v>1.4943776243687085E-3</v>
      </c>
      <c r="V27" s="49">
        <f t="shared" si="11"/>
        <v>6.3214381979432733E-3</v>
      </c>
      <c r="W27" s="50">
        <f t="shared" si="12"/>
        <v>9.999485678625291</v>
      </c>
      <c r="X27" s="50">
        <f t="shared" si="13"/>
        <v>6.3211130728648632E-2</v>
      </c>
      <c r="Y27" s="44">
        <v>10</v>
      </c>
      <c r="Z27" s="44">
        <v>10</v>
      </c>
      <c r="AA27" s="189">
        <v>1335</v>
      </c>
      <c r="AB27" s="190">
        <v>197003828.69999999</v>
      </c>
      <c r="AC27" s="37"/>
      <c r="AD27" s="10"/>
      <c r="AE27" s="3"/>
      <c r="AF27" s="9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257" ht="18" customHeight="1" x14ac:dyDescent="0.35">
      <c r="A28" s="143">
        <v>23</v>
      </c>
      <c r="B28" s="116" t="s">
        <v>219</v>
      </c>
      <c r="C28" s="83" t="s">
        <v>63</v>
      </c>
      <c r="D28" s="78"/>
      <c r="E28" s="78"/>
      <c r="F28" s="78">
        <v>8111171481.6599998</v>
      </c>
      <c r="G28" s="78"/>
      <c r="H28" s="78"/>
      <c r="I28" s="78"/>
      <c r="J28" s="78">
        <v>8111171481.6599998</v>
      </c>
      <c r="K28" s="78">
        <v>227828863.12</v>
      </c>
      <c r="L28" s="78">
        <v>36963261.490000002</v>
      </c>
      <c r="M28" s="193">
        <v>190865601.63</v>
      </c>
      <c r="N28" s="44">
        <v>29476270392.549999</v>
      </c>
      <c r="O28" s="44">
        <v>134164611.58</v>
      </c>
      <c r="P28" s="225">
        <v>27563002092.009998</v>
      </c>
      <c r="Q28" s="47">
        <f t="shared" si="7"/>
        <v>5.0273591263804158E-2</v>
      </c>
      <c r="R28" s="54">
        <v>29342105780.970001</v>
      </c>
      <c r="S28" s="47">
        <f t="shared" si="8"/>
        <v>5.1449694243839911E-2</v>
      </c>
      <c r="T28" s="48">
        <f t="shared" si="9"/>
        <v>6.454680382859064E-2</v>
      </c>
      <c r="U28" s="84">
        <f>(L28/R28)</f>
        <v>1.2597344500738848E-3</v>
      </c>
      <c r="V28" s="49">
        <f t="shared" si="11"/>
        <v>6.5048365326863151E-3</v>
      </c>
      <c r="W28" s="50">
        <f t="shared" si="12"/>
        <v>1.0064567628582657</v>
      </c>
      <c r="X28" s="50">
        <f t="shared" si="13"/>
        <v>6.5468367196096534E-3</v>
      </c>
      <c r="Y28" s="44">
        <v>1</v>
      </c>
      <c r="Z28" s="44">
        <v>1</v>
      </c>
      <c r="AA28" s="44">
        <v>19738</v>
      </c>
      <c r="AB28" s="190">
        <v>29153866180.639999</v>
      </c>
      <c r="AC28" s="37"/>
      <c r="AD28" s="10"/>
      <c r="AE28" s="10"/>
      <c r="AF28" s="11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257" ht="16.5" customHeight="1" x14ac:dyDescent="0.3">
      <c r="A29" s="143">
        <v>24</v>
      </c>
      <c r="B29" s="116" t="s">
        <v>64</v>
      </c>
      <c r="C29" s="83" t="s">
        <v>65</v>
      </c>
      <c r="D29" s="78"/>
      <c r="E29" s="78"/>
      <c r="F29" s="78">
        <v>608714246.57000005</v>
      </c>
      <c r="G29" s="78"/>
      <c r="H29" s="78"/>
      <c r="I29" s="78"/>
      <c r="J29" s="78">
        <v>608714246.57000005</v>
      </c>
      <c r="K29" s="78">
        <v>10874538.32</v>
      </c>
      <c r="L29" s="78">
        <v>3530888.49</v>
      </c>
      <c r="M29" s="193">
        <v>7343649.8300000001</v>
      </c>
      <c r="N29" s="44">
        <v>2029733984.21</v>
      </c>
      <c r="O29" s="44">
        <v>3530888.49</v>
      </c>
      <c r="P29" s="225">
        <v>2082783653.0999999</v>
      </c>
      <c r="Q29" s="47">
        <f t="shared" si="7"/>
        <v>3.7988972941824599E-3</v>
      </c>
      <c r="R29" s="54">
        <v>2029620595.0799999</v>
      </c>
      <c r="S29" s="47">
        <f t="shared" si="8"/>
        <v>3.5588229361367377E-3</v>
      </c>
      <c r="T29" s="48">
        <f t="shared" si="9"/>
        <v>-2.552500253248698E-2</v>
      </c>
      <c r="U29" s="84">
        <f t="shared" si="10"/>
        <v>1.739679080198152E-3</v>
      </c>
      <c r="V29" s="49">
        <f t="shared" si="11"/>
        <v>3.6182377375366262E-3</v>
      </c>
      <c r="W29" s="50">
        <f t="shared" si="12"/>
        <v>99.99999975759016</v>
      </c>
      <c r="X29" s="50">
        <f t="shared" si="13"/>
        <v>0.3618237728765662</v>
      </c>
      <c r="Y29" s="44">
        <v>100</v>
      </c>
      <c r="Z29" s="44">
        <v>100</v>
      </c>
      <c r="AA29" s="189">
        <v>566</v>
      </c>
      <c r="AB29" s="190">
        <v>20296206</v>
      </c>
      <c r="AC29" s="11"/>
      <c r="AD29" s="14"/>
      <c r="AE29" s="15"/>
      <c r="AF29" s="15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257" ht="18" customHeight="1" x14ac:dyDescent="0.35">
      <c r="A30" s="143">
        <v>25</v>
      </c>
      <c r="B30" s="116" t="s">
        <v>66</v>
      </c>
      <c r="C30" s="83" t="s">
        <v>67</v>
      </c>
      <c r="D30" s="78"/>
      <c r="E30" s="78"/>
      <c r="F30" s="78">
        <v>2126082077.8599999</v>
      </c>
      <c r="G30" s="78"/>
      <c r="H30" s="78"/>
      <c r="I30" s="78"/>
      <c r="J30" s="78">
        <v>2126082077.8599999</v>
      </c>
      <c r="K30" s="78">
        <v>42932472.369999997</v>
      </c>
      <c r="L30" s="78">
        <v>3037263.94</v>
      </c>
      <c r="M30" s="193">
        <v>39895208.43</v>
      </c>
      <c r="N30" s="44">
        <v>5116023279.96</v>
      </c>
      <c r="O30" s="44">
        <v>231709223.38</v>
      </c>
      <c r="P30" s="225">
        <v>5034879441.6300001</v>
      </c>
      <c r="Q30" s="47">
        <f t="shared" si="7"/>
        <v>9.1833781482174737E-3</v>
      </c>
      <c r="R30" s="54">
        <v>4884314056.5799999</v>
      </c>
      <c r="S30" s="47">
        <f t="shared" si="8"/>
        <v>8.5643636717072369E-3</v>
      </c>
      <c r="T30" s="48">
        <f t="shared" si="9"/>
        <v>-2.9904466789229794E-2</v>
      </c>
      <c r="U30" s="84">
        <f t="shared" si="10"/>
        <v>6.2184042729772674E-4</v>
      </c>
      <c r="V30" s="49">
        <f t="shared" si="11"/>
        <v>8.1680268647455999E-3</v>
      </c>
      <c r="W30" s="50">
        <f t="shared" si="12"/>
        <v>99.999999111031784</v>
      </c>
      <c r="X30" s="50">
        <f t="shared" si="13"/>
        <v>0.81680267921344374</v>
      </c>
      <c r="Y30" s="44">
        <v>100</v>
      </c>
      <c r="Z30" s="44">
        <v>100</v>
      </c>
      <c r="AA30" s="189">
        <f>SUM(5176,212,106)</f>
        <v>5494</v>
      </c>
      <c r="AB30" s="190">
        <v>48843141</v>
      </c>
      <c r="AC30" s="37"/>
      <c r="AD30" s="44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257" ht="18" customHeight="1" x14ac:dyDescent="0.35">
      <c r="A31" s="143">
        <v>26</v>
      </c>
      <c r="B31" s="117" t="s">
        <v>47</v>
      </c>
      <c r="C31" s="82" t="s">
        <v>68</v>
      </c>
      <c r="D31" s="78"/>
      <c r="E31" s="78"/>
      <c r="F31" s="78">
        <v>755750556.78999996</v>
      </c>
      <c r="G31" s="78"/>
      <c r="H31" s="78"/>
      <c r="I31" s="78"/>
      <c r="J31" s="78">
        <v>755750556.78999996</v>
      </c>
      <c r="K31" s="78">
        <v>5346568.5999999996</v>
      </c>
      <c r="L31" s="78">
        <v>796317.77</v>
      </c>
      <c r="M31" s="193">
        <v>4550250.83</v>
      </c>
      <c r="N31" s="44">
        <v>771351144.27999997</v>
      </c>
      <c r="O31" s="44">
        <v>1219737.55</v>
      </c>
      <c r="P31" s="225">
        <v>776855576.02999997</v>
      </c>
      <c r="Q31" s="47">
        <f t="shared" si="7"/>
        <v>1.4169472385470218E-3</v>
      </c>
      <c r="R31" s="54">
        <v>770131406.73000002</v>
      </c>
      <c r="S31" s="47">
        <f t="shared" si="8"/>
        <v>1.3503811110085549E-3</v>
      </c>
      <c r="T31" s="48">
        <f t="shared" si="9"/>
        <v>-8.6556233970318877E-3</v>
      </c>
      <c r="U31" s="84">
        <f t="shared" si="10"/>
        <v>1.0340024611918998E-3</v>
      </c>
      <c r="V31" s="49">
        <f t="shared" si="11"/>
        <v>5.9084083446492531E-3</v>
      </c>
      <c r="W31" s="50">
        <f t="shared" si="12"/>
        <v>10.130386832928373</v>
      </c>
      <c r="X31" s="50">
        <f t="shared" si="13"/>
        <v>5.9854462098198918E-2</v>
      </c>
      <c r="Y31" s="44">
        <v>10</v>
      </c>
      <c r="Z31" s="44">
        <v>10</v>
      </c>
      <c r="AA31" s="189">
        <v>473</v>
      </c>
      <c r="AB31" s="190">
        <v>76021915</v>
      </c>
      <c r="AC31" s="37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257" ht="18" customHeight="1" x14ac:dyDescent="0.35">
      <c r="A32" s="143">
        <v>27</v>
      </c>
      <c r="B32" s="117" t="s">
        <v>30</v>
      </c>
      <c r="C32" s="82" t="s">
        <v>69</v>
      </c>
      <c r="D32" s="78"/>
      <c r="E32" s="78"/>
      <c r="F32" s="78">
        <v>1731452133.8399999</v>
      </c>
      <c r="G32" s="78"/>
      <c r="H32" s="78"/>
      <c r="I32" s="78">
        <f>J32-F32</f>
        <v>16527001.230000019</v>
      </c>
      <c r="J32" s="78">
        <v>1747979135.0699999</v>
      </c>
      <c r="K32" s="78">
        <v>14332173.85</v>
      </c>
      <c r="L32" s="78">
        <v>3383889.97</v>
      </c>
      <c r="M32" s="193">
        <v>10948283.880000001</v>
      </c>
      <c r="N32" s="44">
        <v>1747979135.0699999</v>
      </c>
      <c r="O32" s="44">
        <v>13220487.470000001</v>
      </c>
      <c r="P32" s="225">
        <v>2075674787.51</v>
      </c>
      <c r="Q32" s="47">
        <f t="shared" si="7"/>
        <v>3.7859310649659196E-3</v>
      </c>
      <c r="R32" s="54">
        <v>1734758647.5999999</v>
      </c>
      <c r="S32" s="47">
        <f t="shared" si="8"/>
        <v>3.041799476565266E-3</v>
      </c>
      <c r="T32" s="48">
        <f t="shared" si="9"/>
        <v>-0.16424352309976578</v>
      </c>
      <c r="U32" s="84">
        <f t="shared" si="10"/>
        <v>1.9506402084702313E-3</v>
      </c>
      <c r="V32" s="49">
        <f t="shared" si="11"/>
        <v>6.3111280033950013E-3</v>
      </c>
      <c r="W32" s="50">
        <f t="shared" si="12"/>
        <v>99.999999976942036</v>
      </c>
      <c r="X32" s="50">
        <f t="shared" si="13"/>
        <v>0.63111280019397842</v>
      </c>
      <c r="Y32" s="44">
        <v>100</v>
      </c>
      <c r="Z32" s="44">
        <v>100</v>
      </c>
      <c r="AA32" s="189">
        <v>1264</v>
      </c>
      <c r="AB32" s="190">
        <v>17347586.48</v>
      </c>
      <c r="AC32" s="37"/>
      <c r="AD32" s="10"/>
      <c r="AE32" s="13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 x14ac:dyDescent="0.3">
      <c r="A33" s="143">
        <v>28</v>
      </c>
      <c r="B33" s="116" t="s">
        <v>45</v>
      </c>
      <c r="C33" s="83" t="s">
        <v>70</v>
      </c>
      <c r="D33" s="78"/>
      <c r="E33" s="78"/>
      <c r="F33" s="78">
        <v>9526137101.5200005</v>
      </c>
      <c r="G33" s="78"/>
      <c r="H33" s="78"/>
      <c r="I33" s="78"/>
      <c r="J33" s="78">
        <v>9526137101.5200005</v>
      </c>
      <c r="K33" s="78">
        <v>70954596.5</v>
      </c>
      <c r="L33" s="78">
        <v>12279536.550000001</v>
      </c>
      <c r="M33" s="193">
        <v>58675059.950000003</v>
      </c>
      <c r="N33" s="44">
        <v>9713590823.0900002</v>
      </c>
      <c r="O33" s="44">
        <v>80732091.430000007</v>
      </c>
      <c r="P33" s="225">
        <v>8553502224.2399998</v>
      </c>
      <c r="Q33" s="47">
        <f t="shared" si="7"/>
        <v>1.5601177014753952E-2</v>
      </c>
      <c r="R33" s="54">
        <v>9632858731.6700001</v>
      </c>
      <c r="S33" s="47">
        <f t="shared" si="8"/>
        <v>1.6890663544671503E-2</v>
      </c>
      <c r="T33" s="48">
        <f t="shared" si="9"/>
        <v>0.12618883810787854</v>
      </c>
      <c r="U33" s="84">
        <f t="shared" si="10"/>
        <v>1.2747551782970204E-3</v>
      </c>
      <c r="V33" s="49">
        <f t="shared" si="11"/>
        <v>6.0911367626615039E-3</v>
      </c>
      <c r="W33" s="50">
        <f t="shared" si="12"/>
        <v>99.999999996574232</v>
      </c>
      <c r="X33" s="50">
        <f t="shared" si="13"/>
        <v>0.60911367624528356</v>
      </c>
      <c r="Y33" s="44">
        <v>100</v>
      </c>
      <c r="Z33" s="44">
        <v>100</v>
      </c>
      <c r="AA33" s="189">
        <v>5584</v>
      </c>
      <c r="AB33" s="190">
        <v>96328587.319999993</v>
      </c>
      <c r="AC33" s="25"/>
      <c r="AD33" s="12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 x14ac:dyDescent="0.3">
      <c r="A34" s="143">
        <v>29</v>
      </c>
      <c r="B34" s="116" t="s">
        <v>71</v>
      </c>
      <c r="C34" s="83" t="s">
        <v>171</v>
      </c>
      <c r="D34" s="78"/>
      <c r="E34" s="78"/>
      <c r="F34" s="78">
        <v>3569765404.0300002</v>
      </c>
      <c r="G34" s="78"/>
      <c r="H34" s="78"/>
      <c r="I34" s="78"/>
      <c r="J34" s="78">
        <v>3569765404.0300002</v>
      </c>
      <c r="K34" s="78">
        <v>68306443.930000007</v>
      </c>
      <c r="L34" s="78">
        <v>15347513.48</v>
      </c>
      <c r="M34" s="193">
        <v>52958930.450000003</v>
      </c>
      <c r="N34" s="44">
        <v>10203641342.780001</v>
      </c>
      <c r="O34" s="44">
        <v>15347513.48</v>
      </c>
      <c r="P34" s="225">
        <v>9048440525.2000008</v>
      </c>
      <c r="Q34" s="47">
        <f t="shared" si="7"/>
        <v>1.6503920691230241E-2</v>
      </c>
      <c r="R34" s="54">
        <v>10188293829.299999</v>
      </c>
      <c r="S34" s="47">
        <f t="shared" si="8"/>
        <v>1.7864587030554872E-2</v>
      </c>
      <c r="T34" s="48">
        <f t="shared" si="9"/>
        <v>0.12597234859703119</v>
      </c>
      <c r="U34" s="84">
        <f t="shared" si="10"/>
        <v>1.5063870101451984E-3</v>
      </c>
      <c r="V34" s="49">
        <f>M34/R34</f>
        <v>5.1980175814814143E-3</v>
      </c>
      <c r="W34" s="50">
        <f t="shared" si="12"/>
        <v>100.00000000294455</v>
      </c>
      <c r="X34" s="50">
        <f t="shared" si="13"/>
        <v>0.5198017581634472</v>
      </c>
      <c r="Y34" s="44">
        <v>100</v>
      </c>
      <c r="Z34" s="44">
        <v>100</v>
      </c>
      <c r="AA34" s="189">
        <v>1782</v>
      </c>
      <c r="AB34" s="190">
        <v>101882938.29000001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 x14ac:dyDescent="0.3">
      <c r="A35" s="143">
        <v>30</v>
      </c>
      <c r="B35" s="116" t="s">
        <v>71</v>
      </c>
      <c r="C35" s="83" t="s">
        <v>72</v>
      </c>
      <c r="D35" s="78"/>
      <c r="E35" s="78"/>
      <c r="F35" s="78">
        <v>197393512.99000001</v>
      </c>
      <c r="G35" s="78"/>
      <c r="H35" s="78"/>
      <c r="I35" s="78"/>
      <c r="J35" s="78">
        <v>197393512.99000001</v>
      </c>
      <c r="K35" s="78">
        <v>3209044</v>
      </c>
      <c r="L35" s="78">
        <v>360331.27</v>
      </c>
      <c r="M35" s="193">
        <v>2848712.73</v>
      </c>
      <c r="N35" s="44">
        <v>381733622.64999998</v>
      </c>
      <c r="O35" s="44">
        <v>360331.27</v>
      </c>
      <c r="P35" s="225">
        <v>361354689.06999999</v>
      </c>
      <c r="Q35" s="47">
        <f t="shared" si="7"/>
        <v>6.5909358780734471E-4</v>
      </c>
      <c r="R35" s="54">
        <v>381373291.38</v>
      </c>
      <c r="S35" s="47">
        <f t="shared" si="8"/>
        <v>6.687161235371707E-4</v>
      </c>
      <c r="T35" s="48">
        <f t="shared" si="9"/>
        <v>5.5398761702860011E-2</v>
      </c>
      <c r="U35" s="84">
        <f t="shared" si="10"/>
        <v>9.4482565545201292E-4</v>
      </c>
      <c r="V35" s="49">
        <f>M35/R35</f>
        <v>7.4696178111789829E-3</v>
      </c>
      <c r="W35" s="50">
        <f t="shared" si="12"/>
        <v>1000979.7674015748</v>
      </c>
      <c r="X35" s="50">
        <f>M35/AB35</f>
        <v>7476.936299212598</v>
      </c>
      <c r="Y35" s="44">
        <v>1000000</v>
      </c>
      <c r="Z35" s="44">
        <v>1000000</v>
      </c>
      <c r="AA35" s="189">
        <v>9</v>
      </c>
      <c r="AB35" s="190">
        <v>381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 x14ac:dyDescent="0.3">
      <c r="A36" s="143">
        <v>31</v>
      </c>
      <c r="B36" s="116" t="s">
        <v>73</v>
      </c>
      <c r="C36" s="83" t="s">
        <v>74</v>
      </c>
      <c r="D36" s="78"/>
      <c r="E36" s="78"/>
      <c r="F36" s="78">
        <v>1863803041.8599999</v>
      </c>
      <c r="G36" s="78"/>
      <c r="H36" s="78"/>
      <c r="I36" s="78"/>
      <c r="J36" s="78">
        <v>1863803041.8599999</v>
      </c>
      <c r="K36" s="78">
        <v>46860832.090000004</v>
      </c>
      <c r="L36" s="78">
        <v>6362427.5300000003</v>
      </c>
      <c r="M36" s="193">
        <v>40498404.560000002</v>
      </c>
      <c r="N36" s="44">
        <v>5686378187.0200005</v>
      </c>
      <c r="O36" s="44">
        <v>17759271.5</v>
      </c>
      <c r="P36" s="225">
        <v>6009122064.8599997</v>
      </c>
      <c r="Q36" s="47">
        <f t="shared" si="7"/>
        <v>1.0960349875337116E-2</v>
      </c>
      <c r="R36" s="54">
        <v>5668618915.5299997</v>
      </c>
      <c r="S36" s="47">
        <f t="shared" si="8"/>
        <v>9.9395971156922332E-3</v>
      </c>
      <c r="T36" s="48">
        <f t="shared" si="9"/>
        <v>-5.6664375536850234E-2</v>
      </c>
      <c r="U36" s="84">
        <f t="shared" si="10"/>
        <v>1.1223946475867714E-3</v>
      </c>
      <c r="V36" s="49">
        <f t="shared" si="11"/>
        <v>7.14431595481728E-3</v>
      </c>
      <c r="W36" s="50">
        <f t="shared" si="12"/>
        <v>1.0061102650188865</v>
      </c>
      <c r="X36" s="50">
        <f t="shared" si="13"/>
        <v>7.1879696186798719E-3</v>
      </c>
      <c r="Y36" s="44">
        <v>1</v>
      </c>
      <c r="Z36" s="44">
        <v>1</v>
      </c>
      <c r="AA36" s="189">
        <v>1451</v>
      </c>
      <c r="AB36" s="190">
        <v>5634192506.1499996</v>
      </c>
      <c r="AC36" s="13"/>
      <c r="AD36" s="4"/>
      <c r="AE36" s="4"/>
      <c r="AF36" s="4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 x14ac:dyDescent="0.3">
      <c r="A37" s="143">
        <v>32</v>
      </c>
      <c r="B37" s="116" t="s">
        <v>75</v>
      </c>
      <c r="C37" s="83" t="s">
        <v>76</v>
      </c>
      <c r="D37" s="78"/>
      <c r="E37" s="78"/>
      <c r="F37" s="78">
        <v>12264265956.639999</v>
      </c>
      <c r="G37" s="78"/>
      <c r="H37" s="78"/>
      <c r="I37" s="78"/>
      <c r="J37" s="78">
        <v>12264265956.639999</v>
      </c>
      <c r="K37" s="78">
        <v>79501727.739999995</v>
      </c>
      <c r="L37" s="78">
        <v>12645096.529999999</v>
      </c>
      <c r="M37" s="193">
        <v>66856631.210000001</v>
      </c>
      <c r="N37" s="44">
        <v>66856631.210000001</v>
      </c>
      <c r="O37" s="44">
        <v>13092993.189999999</v>
      </c>
      <c r="P37" s="225">
        <v>11736211655.959999</v>
      </c>
      <c r="Q37" s="47">
        <f t="shared" si="7"/>
        <v>2.1406286071728862E-2</v>
      </c>
      <c r="R37" s="54">
        <v>12251172963.450001</v>
      </c>
      <c r="S37" s="47">
        <f t="shared" si="8"/>
        <v>2.1481726901369767E-2</v>
      </c>
      <c r="T37" s="48">
        <f t="shared" si="9"/>
        <v>4.3877984019527201E-2</v>
      </c>
      <c r="U37" s="84">
        <f t="shared" si="10"/>
        <v>1.0321539470322741E-3</v>
      </c>
      <c r="V37" s="49">
        <f t="shared" si="11"/>
        <v>5.4571616456203214E-3</v>
      </c>
      <c r="W37" s="50">
        <f t="shared" si="12"/>
        <v>1.0069934475327189</v>
      </c>
      <c r="X37" s="50">
        <f t="shared" si="13"/>
        <v>5.4953260192665328E-3</v>
      </c>
      <c r="Y37" s="44">
        <v>1</v>
      </c>
      <c r="Z37" s="44">
        <v>1</v>
      </c>
      <c r="AA37" s="189">
        <v>2509</v>
      </c>
      <c r="AB37" s="190">
        <v>12166090051</v>
      </c>
      <c r="AC37" s="39"/>
      <c r="AD37" s="16"/>
      <c r="AE37" s="16"/>
      <c r="AF37" s="16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 x14ac:dyDescent="0.3">
      <c r="A38" s="143">
        <v>33</v>
      </c>
      <c r="B38" s="116" t="s">
        <v>32</v>
      </c>
      <c r="C38" s="83" t="s">
        <v>77</v>
      </c>
      <c r="D38" s="78"/>
      <c r="E38" s="78"/>
      <c r="F38" s="78">
        <v>541069614.77999997</v>
      </c>
      <c r="G38" s="78"/>
      <c r="H38" s="78"/>
      <c r="I38" s="78"/>
      <c r="J38" s="78">
        <v>541069614.77999997</v>
      </c>
      <c r="K38" s="78">
        <v>3908953.71</v>
      </c>
      <c r="L38" s="78">
        <v>1222508.6000000001</v>
      </c>
      <c r="M38" s="193">
        <v>2686445.11</v>
      </c>
      <c r="N38" s="44">
        <v>550494791.64999998</v>
      </c>
      <c r="O38" s="44">
        <v>16657130.68</v>
      </c>
      <c r="P38" s="225">
        <v>514396940.75999999</v>
      </c>
      <c r="Q38" s="47">
        <f t="shared" si="7"/>
        <v>9.3823530037811164E-4</v>
      </c>
      <c r="R38" s="54">
        <v>533837660.97000003</v>
      </c>
      <c r="S38" s="47">
        <f t="shared" si="8"/>
        <v>9.3605362334172584E-4</v>
      </c>
      <c r="T38" s="48">
        <f t="shared" si="9"/>
        <v>3.7793226727354141E-2</v>
      </c>
      <c r="U38" s="84">
        <f t="shared" si="10"/>
        <v>2.2900381321517538E-3</v>
      </c>
      <c r="V38" s="49">
        <f t="shared" si="11"/>
        <v>5.032325941782833E-3</v>
      </c>
      <c r="W38" s="50">
        <f t="shared" si="12"/>
        <v>103.37887601703753</v>
      </c>
      <c r="X38" s="50">
        <f t="shared" si="13"/>
        <v>0.52023619961288903</v>
      </c>
      <c r="Y38" s="44">
        <v>100</v>
      </c>
      <c r="Z38" s="44">
        <v>100</v>
      </c>
      <c r="AA38" s="189">
        <v>573</v>
      </c>
      <c r="AB38" s="190">
        <v>5163895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 x14ac:dyDescent="0.3">
      <c r="A39" s="143">
        <v>34</v>
      </c>
      <c r="B39" s="116" t="s">
        <v>26</v>
      </c>
      <c r="C39" s="116" t="s">
        <v>78</v>
      </c>
      <c r="D39" s="78"/>
      <c r="E39" s="78"/>
      <c r="F39" s="78">
        <v>4388873461.4399996</v>
      </c>
      <c r="G39" s="78"/>
      <c r="H39" s="78"/>
      <c r="I39" s="78"/>
      <c r="J39" s="78">
        <v>4383035266.8900003</v>
      </c>
      <c r="K39" s="195">
        <v>36788518.590000004</v>
      </c>
      <c r="L39" s="78">
        <v>5023306.6399999997</v>
      </c>
      <c r="M39" s="193">
        <v>31765211.949999999</v>
      </c>
      <c r="N39" s="44">
        <v>4383035266.8900003</v>
      </c>
      <c r="O39" s="44">
        <v>5191106.2699999996</v>
      </c>
      <c r="P39" s="225">
        <v>4544915061.3500004</v>
      </c>
      <c r="Q39" s="47">
        <f t="shared" si="7"/>
        <v>8.2897066640375897E-3</v>
      </c>
      <c r="R39" s="54">
        <v>4377844160.6199999</v>
      </c>
      <c r="S39" s="47">
        <f t="shared" si="8"/>
        <v>7.6762978496641814E-3</v>
      </c>
      <c r="T39" s="48">
        <f t="shared" si="9"/>
        <v>-3.675996107183014E-2</v>
      </c>
      <c r="U39" s="84">
        <f t="shared" si="10"/>
        <v>1.1474384321822429E-3</v>
      </c>
      <c r="V39" s="49">
        <f t="shared" si="11"/>
        <v>7.2559028564190232E-3</v>
      </c>
      <c r="W39" s="50">
        <f t="shared" si="12"/>
        <v>0.21533931513111998</v>
      </c>
      <c r="X39" s="50">
        <f t="shared" si="13"/>
        <v>1.5624811517592097E-3</v>
      </c>
      <c r="Y39" s="44">
        <v>0.99</v>
      </c>
      <c r="Z39" s="44">
        <v>0.99</v>
      </c>
      <c r="AA39" s="198">
        <v>797</v>
      </c>
      <c r="AB39" s="197">
        <v>20329980886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 x14ac:dyDescent="0.3">
      <c r="A40" s="143">
        <v>35</v>
      </c>
      <c r="B40" s="116" t="s">
        <v>79</v>
      </c>
      <c r="C40" s="83" t="s">
        <v>80</v>
      </c>
      <c r="D40" s="78"/>
      <c r="E40" s="78"/>
      <c r="F40" s="78">
        <v>241817742.46000001</v>
      </c>
      <c r="G40" s="78"/>
      <c r="H40" s="78"/>
      <c r="I40" s="78"/>
      <c r="J40" s="78">
        <v>682470822.96000004</v>
      </c>
      <c r="K40" s="78">
        <v>5913527.5800000001</v>
      </c>
      <c r="L40" s="78">
        <v>3064051.97</v>
      </c>
      <c r="M40" s="193">
        <v>2849475.61</v>
      </c>
      <c r="N40" s="44">
        <v>686754118.26999998</v>
      </c>
      <c r="O40" s="44">
        <v>8474478</v>
      </c>
      <c r="P40" s="225">
        <v>782632685.25</v>
      </c>
      <c r="Q40" s="47">
        <f t="shared" si="7"/>
        <v>1.4274844081428122E-3</v>
      </c>
      <c r="R40" s="54">
        <v>678279640.26999998</v>
      </c>
      <c r="S40" s="47">
        <f t="shared" si="8"/>
        <v>1.1893243233533043E-3</v>
      </c>
      <c r="T40" s="48">
        <f t="shared" si="9"/>
        <v>-0.13333591472309395</v>
      </c>
      <c r="U40" s="84">
        <f t="shared" si="10"/>
        <v>4.5173875022701633E-3</v>
      </c>
      <c r="V40" s="49">
        <f t="shared" si="11"/>
        <v>4.2010336752341861E-3</v>
      </c>
      <c r="W40" s="50">
        <f t="shared" si="12"/>
        <v>10.110799989225555</v>
      </c>
      <c r="X40" s="50">
        <f t="shared" si="13"/>
        <v>4.2475811238294005E-2</v>
      </c>
      <c r="Y40" s="44">
        <v>10</v>
      </c>
      <c r="Z40" s="44">
        <v>10</v>
      </c>
      <c r="AA40" s="189">
        <v>278</v>
      </c>
      <c r="AB40" s="190">
        <v>67084666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 x14ac:dyDescent="0.3">
      <c r="A41" s="143">
        <v>36</v>
      </c>
      <c r="B41" s="116" t="s">
        <v>81</v>
      </c>
      <c r="C41" s="83" t="s">
        <v>82</v>
      </c>
      <c r="D41" s="78"/>
      <c r="E41" s="78"/>
      <c r="F41" s="78">
        <v>417054670.5</v>
      </c>
      <c r="G41" s="78"/>
      <c r="H41" s="78"/>
      <c r="I41" s="78">
        <v>34473875.549999997</v>
      </c>
      <c r="J41" s="78">
        <v>451528546.05000001</v>
      </c>
      <c r="K41" s="78">
        <v>5652732.3799999999</v>
      </c>
      <c r="L41" s="78">
        <v>924791.69</v>
      </c>
      <c r="M41" s="193">
        <v>4727940.7</v>
      </c>
      <c r="N41" s="44">
        <v>737332598.40999997</v>
      </c>
      <c r="O41" s="44">
        <v>1814847.32</v>
      </c>
      <c r="P41" s="225">
        <v>732939251.66999996</v>
      </c>
      <c r="Q41" s="47">
        <f t="shared" si="7"/>
        <v>1.3368459733323994E-3</v>
      </c>
      <c r="R41" s="54">
        <v>735082751.09000003</v>
      </c>
      <c r="S41" s="47">
        <f t="shared" si="8"/>
        <v>1.2889253099220106E-3</v>
      </c>
      <c r="T41" s="48">
        <f t="shared" si="9"/>
        <v>2.9245253479277021E-3</v>
      </c>
      <c r="U41" s="84">
        <f t="shared" si="10"/>
        <v>1.2580783437357147E-3</v>
      </c>
      <c r="V41" s="49">
        <f t="shared" si="11"/>
        <v>6.431848241560947E-3</v>
      </c>
      <c r="W41" s="50">
        <f t="shared" si="12"/>
        <v>1.0064964058896213</v>
      </c>
      <c r="X41" s="50">
        <f t="shared" si="13"/>
        <v>6.4736321383585737E-3</v>
      </c>
      <c r="Y41" s="44">
        <v>1</v>
      </c>
      <c r="Z41" s="44">
        <v>1</v>
      </c>
      <c r="AA41" s="189">
        <v>148</v>
      </c>
      <c r="AB41" s="190">
        <v>730338177.85000002</v>
      </c>
      <c r="AC41" s="13"/>
      <c r="AD41" s="4"/>
      <c r="AE41" s="4"/>
      <c r="AF41" s="4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 x14ac:dyDescent="0.3">
      <c r="A42" s="143">
        <v>37</v>
      </c>
      <c r="B42" s="116" t="s">
        <v>83</v>
      </c>
      <c r="C42" s="83" t="s">
        <v>154</v>
      </c>
      <c r="D42" s="78"/>
      <c r="E42" s="78"/>
      <c r="F42" s="78">
        <v>5628575700.0600004</v>
      </c>
      <c r="G42" s="78"/>
      <c r="H42" s="78"/>
      <c r="I42" s="78"/>
      <c r="J42" s="78">
        <v>5628575700.0600004</v>
      </c>
      <c r="K42" s="78">
        <v>43194510.189999998</v>
      </c>
      <c r="L42" s="78">
        <v>6656406.3700000001</v>
      </c>
      <c r="M42" s="193">
        <v>36850486.030000001</v>
      </c>
      <c r="N42" s="44">
        <v>5685593921.1099997</v>
      </c>
      <c r="O42" s="44">
        <v>152039385.09</v>
      </c>
      <c r="P42" s="225">
        <v>5437290147.9499998</v>
      </c>
      <c r="Q42" s="47">
        <f t="shared" si="7"/>
        <v>9.9173559385240997E-3</v>
      </c>
      <c r="R42" s="54">
        <v>5533554536.0200005</v>
      </c>
      <c r="S42" s="47">
        <f t="shared" si="8"/>
        <v>9.702769497357825E-3</v>
      </c>
      <c r="T42" s="48">
        <f>((R42-P42)/P42)</f>
        <v>1.7704478784582579E-2</v>
      </c>
      <c r="U42" s="84">
        <f t="shared" si="10"/>
        <v>1.2029169183516548E-3</v>
      </c>
      <c r="V42" s="49">
        <f>M42/R42</f>
        <v>6.6594601697925341E-3</v>
      </c>
      <c r="W42" s="50">
        <f t="shared" si="12"/>
        <v>100.00000000036144</v>
      </c>
      <c r="X42" s="50">
        <f t="shared" si="13"/>
        <v>0.66594601698166045</v>
      </c>
      <c r="Y42" s="44">
        <v>100</v>
      </c>
      <c r="Z42" s="44">
        <v>100</v>
      </c>
      <c r="AA42" s="189">
        <v>1156</v>
      </c>
      <c r="AB42" s="190">
        <v>55335545.359999999</v>
      </c>
      <c r="AC42" s="3"/>
      <c r="AD42" s="9"/>
      <c r="AE42" s="9"/>
      <c r="AF42" s="9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 x14ac:dyDescent="0.3">
      <c r="A43" s="143">
        <v>38</v>
      </c>
      <c r="B43" s="116" t="s">
        <v>175</v>
      </c>
      <c r="C43" s="83" t="s">
        <v>84</v>
      </c>
      <c r="D43" s="78"/>
      <c r="E43" s="78"/>
      <c r="F43" s="78">
        <v>181256080.58000001</v>
      </c>
      <c r="G43" s="78"/>
      <c r="H43" s="78"/>
      <c r="I43" s="78"/>
      <c r="J43" s="78">
        <v>181256080.58000001</v>
      </c>
      <c r="K43" s="78">
        <v>2632968.89</v>
      </c>
      <c r="L43" s="78">
        <v>502091.03</v>
      </c>
      <c r="M43" s="193">
        <v>2130877.86</v>
      </c>
      <c r="N43" s="44">
        <v>352759268.92000002</v>
      </c>
      <c r="O43" s="44">
        <v>2091158.38</v>
      </c>
      <c r="P43" s="225">
        <v>375898358.10000002</v>
      </c>
      <c r="Q43" s="47">
        <f t="shared" si="7"/>
        <v>6.8562054121574069E-4</v>
      </c>
      <c r="R43" s="54">
        <v>350668110.54000002</v>
      </c>
      <c r="S43" s="47">
        <f t="shared" si="8"/>
        <v>6.1487635560393734E-4</v>
      </c>
      <c r="T43" s="48">
        <f t="shared" si="9"/>
        <v>-6.7119866358362798E-2</v>
      </c>
      <c r="U43" s="84">
        <f t="shared" si="10"/>
        <v>1.4318126311138506E-3</v>
      </c>
      <c r="V43" s="49">
        <f t="shared" si="11"/>
        <v>6.0766228691814129E-3</v>
      </c>
      <c r="W43" s="50">
        <f t="shared" si="12"/>
        <v>0.94745023290023067</v>
      </c>
      <c r="X43" s="50">
        <f t="shared" si="13"/>
        <v>5.7572977526527975E-3</v>
      </c>
      <c r="Y43" s="44">
        <v>1</v>
      </c>
      <c r="Z43" s="44">
        <v>1</v>
      </c>
      <c r="AA43" s="189">
        <f>SUM(422+17+9)</f>
        <v>448</v>
      </c>
      <c r="AB43" s="190">
        <v>370117710</v>
      </c>
      <c r="AC43" s="10"/>
      <c r="AD43" s="10"/>
      <c r="AE43" s="10"/>
      <c r="AF43" s="11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 x14ac:dyDescent="0.3">
      <c r="A44" s="143">
        <v>39</v>
      </c>
      <c r="B44" s="116" t="s">
        <v>51</v>
      </c>
      <c r="C44" s="83" t="s">
        <v>85</v>
      </c>
      <c r="D44" s="78"/>
      <c r="E44" s="78"/>
      <c r="F44" s="78">
        <v>245035691.06</v>
      </c>
      <c r="G44" s="78"/>
      <c r="H44" s="78"/>
      <c r="I44" s="78"/>
      <c r="J44" s="78">
        <v>245035691.06</v>
      </c>
      <c r="K44" s="78">
        <v>1973945.77</v>
      </c>
      <c r="L44" s="78">
        <v>362259.32</v>
      </c>
      <c r="M44" s="193">
        <v>1611686.45</v>
      </c>
      <c r="N44" s="44">
        <v>262522632.34999999</v>
      </c>
      <c r="O44" s="44">
        <v>362259.32</v>
      </c>
      <c r="P44" s="225">
        <v>267829327.50999999</v>
      </c>
      <c r="Q44" s="47">
        <f t="shared" si="7"/>
        <v>4.8850782272372487E-4</v>
      </c>
      <c r="R44" s="54">
        <v>262160373.03</v>
      </c>
      <c r="S44" s="47">
        <f t="shared" si="8"/>
        <v>4.5968313030867348E-4</v>
      </c>
      <c r="T44" s="48">
        <f t="shared" si="9"/>
        <v>-2.1166294717251705E-2</v>
      </c>
      <c r="U44" s="84">
        <f>(L44/R44)</f>
        <v>1.381823331318442E-3</v>
      </c>
      <c r="V44" s="49">
        <f t="shared" si="11"/>
        <v>6.1477119191296259E-3</v>
      </c>
      <c r="W44" s="50">
        <f t="shared" si="12"/>
        <v>100.77011692957043</v>
      </c>
      <c r="X44" s="50">
        <f t="shared" si="13"/>
        <v>0.61950564894000626</v>
      </c>
      <c r="Y44" s="44">
        <v>100</v>
      </c>
      <c r="Z44" s="44">
        <v>100</v>
      </c>
      <c r="AA44" s="189">
        <v>688</v>
      </c>
      <c r="AB44" s="190">
        <v>2601568.61</v>
      </c>
      <c r="AC44" s="40"/>
      <c r="AD44" s="15"/>
      <c r="AE44" s="15"/>
      <c r="AF44" s="15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 x14ac:dyDescent="0.3">
      <c r="A45" s="143">
        <v>40</v>
      </c>
      <c r="B45" s="116" t="s">
        <v>86</v>
      </c>
      <c r="C45" s="83" t="s">
        <v>87</v>
      </c>
      <c r="D45" s="78"/>
      <c r="E45" s="78"/>
      <c r="F45" s="78">
        <v>108109342.73</v>
      </c>
      <c r="G45" s="78"/>
      <c r="H45" s="78"/>
      <c r="I45" s="78"/>
      <c r="J45" s="78">
        <v>108109342.73</v>
      </c>
      <c r="K45" s="78">
        <v>554708.51</v>
      </c>
      <c r="L45" s="78">
        <v>144554.23000000001</v>
      </c>
      <c r="M45" s="193">
        <v>410154.28</v>
      </c>
      <c r="N45" s="44">
        <v>111760546.31</v>
      </c>
      <c r="O45" s="44">
        <v>112783929.34999999</v>
      </c>
      <c r="P45" s="225">
        <v>109351856.36</v>
      </c>
      <c r="Q45" s="47">
        <f t="shared" si="7"/>
        <v>1.994525310497469E-4</v>
      </c>
      <c r="R45" s="54">
        <v>109201722.91</v>
      </c>
      <c r="S45" s="47">
        <f t="shared" si="8"/>
        <v>1.9147893803395227E-4</v>
      </c>
      <c r="T45" s="48">
        <f>((R45-P45)/P45)</f>
        <v>-1.3729391982678818E-3</v>
      </c>
      <c r="U45" s="131">
        <f>(L45/R45)</f>
        <v>1.3237357996552512E-3</v>
      </c>
      <c r="V45" s="49">
        <f t="shared" si="11"/>
        <v>3.7559323156287007E-3</v>
      </c>
      <c r="W45" s="50">
        <f t="shared" si="12"/>
        <v>0.96449358022330978</v>
      </c>
      <c r="X45" s="50">
        <f t="shared" si="13"/>
        <v>3.622572606177152E-3</v>
      </c>
      <c r="Y45" s="44">
        <v>1</v>
      </c>
      <c r="Z45" s="44">
        <v>1</v>
      </c>
      <c r="AA45" s="189">
        <v>38</v>
      </c>
      <c r="AB45" s="190">
        <v>113221824.54000001</v>
      </c>
      <c r="AC45" s="39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 x14ac:dyDescent="0.3">
      <c r="A46" s="143">
        <v>41</v>
      </c>
      <c r="B46" s="116" t="s">
        <v>88</v>
      </c>
      <c r="C46" s="86" t="s">
        <v>89</v>
      </c>
      <c r="D46" s="78"/>
      <c r="E46" s="78"/>
      <c r="F46" s="78">
        <v>409771591.51999998</v>
      </c>
      <c r="G46" s="78"/>
      <c r="H46" s="78"/>
      <c r="I46" s="78"/>
      <c r="J46" s="78">
        <v>637624911.95000005</v>
      </c>
      <c r="K46" s="78">
        <v>8353923.79</v>
      </c>
      <c r="L46" s="78">
        <v>1739205.7</v>
      </c>
      <c r="M46" s="193">
        <v>6614718.0899999999</v>
      </c>
      <c r="N46" s="44">
        <v>1299616933.76</v>
      </c>
      <c r="O46" s="44">
        <v>1837187.44</v>
      </c>
      <c r="P46" s="225">
        <v>1258141646.6300001</v>
      </c>
      <c r="Q46" s="47">
        <f t="shared" si="7"/>
        <v>2.2947899029105226E-3</v>
      </c>
      <c r="R46" s="54">
        <v>1291994724.76</v>
      </c>
      <c r="S46" s="47">
        <f t="shared" si="8"/>
        <v>2.2654384129671902E-3</v>
      </c>
      <c r="T46" s="48">
        <f t="shared" si="9"/>
        <v>2.6907207324928129E-2</v>
      </c>
      <c r="U46" s="84">
        <f t="shared" si="10"/>
        <v>1.3461399390179967E-3</v>
      </c>
      <c r="V46" s="49">
        <f t="shared" si="11"/>
        <v>5.1197717476971476E-3</v>
      </c>
      <c r="W46" s="50">
        <f t="shared" si="12"/>
        <v>1.0051461200067446</v>
      </c>
      <c r="X46" s="50">
        <f t="shared" si="13"/>
        <v>5.1461187075179373E-3</v>
      </c>
      <c r="Y46" s="44">
        <v>1</v>
      </c>
      <c r="Z46" s="44">
        <v>1.02</v>
      </c>
      <c r="AA46" s="189">
        <v>32</v>
      </c>
      <c r="AB46" s="190">
        <v>1285380005</v>
      </c>
      <c r="AC46" s="39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</row>
    <row r="47" spans="1:257" ht="16.5" customHeight="1" x14ac:dyDescent="0.3">
      <c r="A47" s="143">
        <v>42</v>
      </c>
      <c r="B47" s="117" t="s">
        <v>90</v>
      </c>
      <c r="C47" s="83" t="s">
        <v>91</v>
      </c>
      <c r="D47" s="78"/>
      <c r="E47" s="78"/>
      <c r="F47" s="78">
        <v>98304226.189999998</v>
      </c>
      <c r="G47" s="78"/>
      <c r="H47" s="78"/>
      <c r="I47" s="78">
        <v>8125622.8099999996</v>
      </c>
      <c r="J47" s="78">
        <v>106429849</v>
      </c>
      <c r="K47" s="78">
        <v>985424.27</v>
      </c>
      <c r="L47" s="78">
        <v>60411.8</v>
      </c>
      <c r="M47" s="193">
        <v>413589.8</v>
      </c>
      <c r="N47" s="44">
        <v>165552857.03999999</v>
      </c>
      <c r="O47" s="44">
        <v>6340896.2300000004</v>
      </c>
      <c r="P47" s="225">
        <v>160966379.83000001</v>
      </c>
      <c r="Q47" s="47">
        <f t="shared" si="7"/>
        <v>2.935949415007117E-4</v>
      </c>
      <c r="R47" s="54">
        <v>159211960.81</v>
      </c>
      <c r="S47" s="47">
        <f t="shared" si="8"/>
        <v>2.7916901277580793E-4</v>
      </c>
      <c r="T47" s="48">
        <f>((R47-P47)/P47)</f>
        <v>-1.0899288546172746E-2</v>
      </c>
      <c r="U47" s="84">
        <f>(L47/R47)</f>
        <v>3.7944259773355906E-4</v>
      </c>
      <c r="V47" s="49">
        <f>M47/R47</f>
        <v>2.5977307100285563E-3</v>
      </c>
      <c r="W47" s="50">
        <f>R47/AB47</f>
        <v>1.0088166409722883</v>
      </c>
      <c r="X47" s="50">
        <f>M47/AB47</f>
        <v>2.6206339690415656E-3</v>
      </c>
      <c r="Y47" s="44">
        <v>1</v>
      </c>
      <c r="Z47" s="44">
        <v>1</v>
      </c>
      <c r="AA47" s="189">
        <v>26</v>
      </c>
      <c r="AB47" s="189">
        <v>157820514</v>
      </c>
      <c r="AC47" s="39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</row>
    <row r="48" spans="1:257" ht="16.5" customHeight="1" x14ac:dyDescent="0.3">
      <c r="A48" s="143">
        <v>43</v>
      </c>
      <c r="B48" s="117" t="s">
        <v>162</v>
      </c>
      <c r="C48" s="82" t="s">
        <v>163</v>
      </c>
      <c r="D48" s="78"/>
      <c r="E48" s="78"/>
      <c r="F48" s="78">
        <v>196487385.06999999</v>
      </c>
      <c r="G48" s="78"/>
      <c r="H48" s="78"/>
      <c r="I48" s="78"/>
      <c r="J48" s="78">
        <v>197102975.28999999</v>
      </c>
      <c r="K48" s="78">
        <v>6922879.2999999998</v>
      </c>
      <c r="L48" s="78">
        <v>1470641.55</v>
      </c>
      <c r="M48" s="193">
        <v>5452237.75</v>
      </c>
      <c r="N48" s="44">
        <v>758185887</v>
      </c>
      <c r="O48" s="44">
        <v>744413389.47000003</v>
      </c>
      <c r="P48" s="225">
        <v>720864449.10000002</v>
      </c>
      <c r="Q48" s="47">
        <f t="shared" si="7"/>
        <v>1.314822113704595E-3</v>
      </c>
      <c r="R48" s="54">
        <v>751268433.39999998</v>
      </c>
      <c r="S48" s="47">
        <f t="shared" si="8"/>
        <v>1.3173059725845218E-3</v>
      </c>
      <c r="T48" s="48">
        <f>((R48-P48)/P48)</f>
        <v>4.2177117123696914E-2</v>
      </c>
      <c r="U48" s="84">
        <f>(L48/R48)</f>
        <v>1.9575447132050366E-3</v>
      </c>
      <c r="V48" s="49">
        <f>M48/R48</f>
        <v>7.257376335279949E-3</v>
      </c>
      <c r="W48" s="50">
        <f>R48/AB48</f>
        <v>1.0092086521104631</v>
      </c>
      <c r="X48" s="50">
        <f>M48/AB48</f>
        <v>7.32420698918625E-3</v>
      </c>
      <c r="Y48" s="44">
        <v>1</v>
      </c>
      <c r="Z48" s="44">
        <v>1</v>
      </c>
      <c r="AA48" s="189">
        <v>168</v>
      </c>
      <c r="AB48" s="190">
        <v>744413389.47000003</v>
      </c>
      <c r="AC48" s="39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</row>
    <row r="49" spans="1:257" ht="16.5" customHeight="1" x14ac:dyDescent="0.3">
      <c r="A49" s="143">
        <v>44</v>
      </c>
      <c r="B49" s="117" t="s">
        <v>158</v>
      </c>
      <c r="C49" s="83" t="s">
        <v>159</v>
      </c>
      <c r="D49" s="78"/>
      <c r="E49" s="78"/>
      <c r="F49" s="78">
        <v>6511712.3200000003</v>
      </c>
      <c r="G49" s="78"/>
      <c r="H49" s="78"/>
      <c r="I49" s="78"/>
      <c r="J49" s="78">
        <v>6511712.3200000003</v>
      </c>
      <c r="K49" s="78">
        <v>13831.24</v>
      </c>
      <c r="L49" s="78">
        <v>11204.36</v>
      </c>
      <c r="M49" s="193">
        <v>2626.88</v>
      </c>
      <c r="N49" s="44">
        <v>7245454.1200000001</v>
      </c>
      <c r="O49" s="44">
        <v>214349.54</v>
      </c>
      <c r="P49" s="225">
        <v>7055303.7000000002</v>
      </c>
      <c r="Q49" s="47">
        <f t="shared" si="7"/>
        <v>1.2868534903120178E-5</v>
      </c>
      <c r="R49" s="54">
        <v>7031104.5800000001</v>
      </c>
      <c r="S49" s="47">
        <f t="shared" si="8"/>
        <v>1.2328637335636503E-5</v>
      </c>
      <c r="T49" s="48">
        <f>((R49-P49)/P49)</f>
        <v>-3.4299189700366991E-3</v>
      </c>
      <c r="U49" s="84">
        <f>(L49/R49)</f>
        <v>1.5935419353412606E-3</v>
      </c>
      <c r="V49" s="49">
        <f>M49/R49</f>
        <v>3.7360843806422237E-4</v>
      </c>
      <c r="W49" s="50">
        <f>R49/AB49</f>
        <v>102.67084168102568</v>
      </c>
      <c r="X49" s="50">
        <f>M49/AB49</f>
        <v>3.8358692795187055E-2</v>
      </c>
      <c r="Y49" s="44">
        <v>100</v>
      </c>
      <c r="Z49" s="44">
        <v>100</v>
      </c>
      <c r="AA49" s="189">
        <v>71</v>
      </c>
      <c r="AB49" s="190">
        <v>68482</v>
      </c>
      <c r="AC49" s="39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</row>
    <row r="50" spans="1:257" ht="16.5" customHeight="1" x14ac:dyDescent="0.3">
      <c r="A50" s="232">
        <v>45</v>
      </c>
      <c r="B50" s="233" t="s">
        <v>156</v>
      </c>
      <c r="C50" s="83" t="s">
        <v>172</v>
      </c>
      <c r="D50" s="78"/>
      <c r="E50" s="78"/>
      <c r="F50" s="78">
        <v>279755347.62</v>
      </c>
      <c r="G50" s="78"/>
      <c r="H50" s="78"/>
      <c r="I50" s="78"/>
      <c r="J50" s="78">
        <v>279755347.62</v>
      </c>
      <c r="K50" s="78">
        <v>7289058.29</v>
      </c>
      <c r="L50" s="78">
        <v>1427672</v>
      </c>
      <c r="M50" s="193">
        <v>5861386.29</v>
      </c>
      <c r="N50" s="44">
        <v>848137110.77999997</v>
      </c>
      <c r="O50" s="44">
        <v>15393762.779999999</v>
      </c>
      <c r="P50" s="225">
        <v>695911404.57000005</v>
      </c>
      <c r="Q50" s="47">
        <f t="shared" si="7"/>
        <v>1.2693089596112542E-3</v>
      </c>
      <c r="R50" s="54">
        <v>832743348</v>
      </c>
      <c r="S50" s="47">
        <f t="shared" si="8"/>
        <v>1.4601675475513609E-3</v>
      </c>
      <c r="T50" s="48">
        <f>((R50-P50)/P50)</f>
        <v>0.19662264841678759</v>
      </c>
      <c r="U50" s="84">
        <f t="shared" si="10"/>
        <v>1.7144201793131586E-3</v>
      </c>
      <c r="V50" s="49">
        <f t="shared" si="11"/>
        <v>7.0386467860443364E-3</v>
      </c>
      <c r="W50" s="50">
        <f t="shared" si="12"/>
        <v>100.00000576408119</v>
      </c>
      <c r="X50" s="50">
        <f t="shared" si="13"/>
        <v>0.70386471917576521</v>
      </c>
      <c r="Y50" s="44">
        <v>100</v>
      </c>
      <c r="Z50" s="44">
        <v>100</v>
      </c>
      <c r="AA50" s="189">
        <v>457</v>
      </c>
      <c r="AB50" s="190">
        <v>8327433</v>
      </c>
      <c r="AC50" s="39"/>
      <c r="AD50" s="16"/>
      <c r="AE50" s="16"/>
      <c r="AF50" s="16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 x14ac:dyDescent="0.3">
      <c r="A51" s="149" t="s">
        <v>92</v>
      </c>
      <c r="B51" s="119"/>
      <c r="C51" s="59" t="s">
        <v>53</v>
      </c>
      <c r="D51" s="60"/>
      <c r="E51" s="60"/>
      <c r="F51" s="60"/>
      <c r="G51" s="60"/>
      <c r="H51" s="60"/>
      <c r="I51" s="60"/>
      <c r="J51" s="60"/>
      <c r="K51" s="60"/>
      <c r="L51" s="60"/>
      <c r="M51" s="212"/>
      <c r="N51" s="60"/>
      <c r="O51" s="60"/>
      <c r="P51" s="226">
        <f>SUM(P22:P50)</f>
        <v>548260058593.72003</v>
      </c>
      <c r="Q51" s="118">
        <f>(P51/$P$148)</f>
        <v>0.42118187240202593</v>
      </c>
      <c r="R51" s="61">
        <f>SUM(R22:R50)</f>
        <v>570306708566.75</v>
      </c>
      <c r="S51" s="118">
        <f>(R51/$R$148)</f>
        <v>0.42918898047134013</v>
      </c>
      <c r="T51" s="62">
        <f t="shared" si="9"/>
        <v>4.0212030089478594E-2</v>
      </c>
      <c r="U51" s="76"/>
      <c r="V51" s="63"/>
      <c r="W51" s="64"/>
      <c r="X51" s="64"/>
      <c r="Y51" s="60"/>
      <c r="Z51" s="60"/>
      <c r="AA51" s="65">
        <f>SUM(AA22:AA50)</f>
        <v>628036</v>
      </c>
      <c r="AB51" s="147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 x14ac:dyDescent="0.3">
      <c r="A52" s="240" t="s">
        <v>192</v>
      </c>
      <c r="B52" s="238"/>
      <c r="C52" s="238"/>
      <c r="D52" s="70"/>
      <c r="E52" s="70"/>
      <c r="F52" s="70"/>
      <c r="G52" s="70"/>
      <c r="H52" s="70"/>
      <c r="I52" s="70"/>
      <c r="J52" s="70"/>
      <c r="K52" s="70"/>
      <c r="L52" s="70"/>
      <c r="M52" s="214"/>
      <c r="N52" s="70"/>
      <c r="O52" s="70"/>
      <c r="P52" s="70">
        <v>0</v>
      </c>
      <c r="Q52" s="48"/>
      <c r="R52" s="70">
        <v>0</v>
      </c>
      <c r="S52" s="48"/>
      <c r="T52" s="48"/>
      <c r="U52" s="48"/>
      <c r="V52" s="71"/>
      <c r="W52" s="72"/>
      <c r="X52" s="72"/>
      <c r="Y52" s="70"/>
      <c r="Z52" s="70"/>
      <c r="AA52" s="70"/>
      <c r="AB52" s="150"/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 x14ac:dyDescent="0.3">
      <c r="A53" s="143">
        <v>46</v>
      </c>
      <c r="B53" s="116" t="s">
        <v>24</v>
      </c>
      <c r="C53" s="83" t="s">
        <v>93</v>
      </c>
      <c r="D53" s="44"/>
      <c r="E53" s="44"/>
      <c r="F53" s="44">
        <v>11972382514.82</v>
      </c>
      <c r="G53" s="44">
        <v>68364007449.959999</v>
      </c>
      <c r="H53" s="44"/>
      <c r="I53" s="44"/>
      <c r="J53" s="44">
        <v>80336389964.779999</v>
      </c>
      <c r="K53" s="44">
        <v>584272620.30999994</v>
      </c>
      <c r="L53" s="44">
        <v>143028256.05000001</v>
      </c>
      <c r="M53" s="193">
        <v>441244364.25999999</v>
      </c>
      <c r="N53" s="44">
        <v>81977421822.059998</v>
      </c>
      <c r="O53" s="44">
        <v>608282965.73000002</v>
      </c>
      <c r="P53" s="225">
        <v>85102762947.300003</v>
      </c>
      <c r="Q53" s="47">
        <f t="shared" ref="Q53:Q79" si="14">(P53/$P$80)</f>
        <v>0.22504279556927798</v>
      </c>
      <c r="R53" s="54">
        <v>81369138856.330002</v>
      </c>
      <c r="S53" s="47">
        <f t="shared" ref="S53:S79" si="15">(R53/$R$80)</f>
        <v>0.211183885043536</v>
      </c>
      <c r="T53" s="48">
        <f t="shared" ref="T53:T55" si="16">((R53-P53)/P53)</f>
        <v>-4.3871949178454439E-2</v>
      </c>
      <c r="U53" s="84">
        <f t="shared" ref="U53:U55" si="17">(L53/R53)</f>
        <v>1.7577703053062766E-3</v>
      </c>
      <c r="V53" s="49">
        <f t="shared" ref="V53:V55" si="18">M53/R53</f>
        <v>5.4227483596586447E-3</v>
      </c>
      <c r="W53" s="50">
        <f t="shared" ref="W53:W54" si="19">R53/AB53</f>
        <v>236.37709290267125</v>
      </c>
      <c r="X53" s="50">
        <f t="shared" ref="X53:X54" si="20">M53/AB53</f>
        <v>1.2818134927988396</v>
      </c>
      <c r="Y53" s="188">
        <v>236.38</v>
      </c>
      <c r="Z53" s="188">
        <v>236.38</v>
      </c>
      <c r="AA53" s="189">
        <v>7060</v>
      </c>
      <c r="AB53" s="190">
        <v>344234451.22000003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 x14ac:dyDescent="0.3">
      <c r="A54" s="143">
        <v>47</v>
      </c>
      <c r="B54" s="116" t="s">
        <v>32</v>
      </c>
      <c r="C54" s="83" t="s">
        <v>94</v>
      </c>
      <c r="D54" s="44"/>
      <c r="E54" s="44"/>
      <c r="F54" s="44">
        <v>267033905.72</v>
      </c>
      <c r="G54" s="44">
        <v>1052047110.86</v>
      </c>
      <c r="H54" s="44"/>
      <c r="I54" s="44"/>
      <c r="J54" s="44">
        <v>1319081016.5799999</v>
      </c>
      <c r="K54" s="44">
        <v>13793738.699999999</v>
      </c>
      <c r="L54" s="44">
        <v>1885351.65</v>
      </c>
      <c r="M54" s="193">
        <v>11908387.050000001</v>
      </c>
      <c r="N54" s="44">
        <v>1375119934.52</v>
      </c>
      <c r="O54" s="44">
        <v>34182364.270000003</v>
      </c>
      <c r="P54" s="225">
        <v>1355782764.5599999</v>
      </c>
      <c r="Q54" s="47">
        <f t="shared" si="14"/>
        <v>3.5851849335393005E-3</v>
      </c>
      <c r="R54" s="54">
        <v>1340937570.25</v>
      </c>
      <c r="S54" s="47">
        <f t="shared" si="15"/>
        <v>3.4802433658077795E-3</v>
      </c>
      <c r="T54" s="48">
        <f t="shared" si="16"/>
        <v>-1.0949537564609578E-2</v>
      </c>
      <c r="U54" s="84">
        <f t="shared" si="17"/>
        <v>1.4059950976304594E-3</v>
      </c>
      <c r="V54" s="49">
        <f t="shared" si="18"/>
        <v>8.8806424058801188E-3</v>
      </c>
      <c r="W54" s="50">
        <f t="shared" si="19"/>
        <v>320.46434473648105</v>
      </c>
      <c r="X54" s="50">
        <f t="shared" si="20"/>
        <v>2.8459292494393789</v>
      </c>
      <c r="Y54" s="188">
        <v>320.46429999999998</v>
      </c>
      <c r="Z54" s="188">
        <v>320.46429999999998</v>
      </c>
      <c r="AA54" s="189">
        <v>97</v>
      </c>
      <c r="AB54" s="190">
        <v>4184358.08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6.5" customHeight="1" x14ac:dyDescent="0.3">
      <c r="A55" s="143">
        <v>48</v>
      </c>
      <c r="B55" s="116" t="s">
        <v>38</v>
      </c>
      <c r="C55" s="83" t="s">
        <v>193</v>
      </c>
      <c r="D55" s="44"/>
      <c r="E55" s="44"/>
      <c r="F55" s="44">
        <v>12983184962.549999</v>
      </c>
      <c r="G55" s="44">
        <v>28969907201.610001</v>
      </c>
      <c r="H55" s="44"/>
      <c r="I55" s="44"/>
      <c r="J55" s="44">
        <v>41966673784.199997</v>
      </c>
      <c r="K55" s="44">
        <v>1414514347.8499999</v>
      </c>
      <c r="L55" s="44">
        <v>48020282.640000001</v>
      </c>
      <c r="M55" s="193">
        <v>1366494065.22</v>
      </c>
      <c r="N55" s="44">
        <v>41975208147.290001</v>
      </c>
      <c r="O55" s="44">
        <v>8534363.0399999991</v>
      </c>
      <c r="P55" s="225">
        <v>38069204158.980003</v>
      </c>
      <c r="Q55" s="47">
        <f t="shared" si="14"/>
        <v>0.10066888350428403</v>
      </c>
      <c r="R55" s="54">
        <v>41966673784.25</v>
      </c>
      <c r="S55" s="47">
        <f t="shared" si="15"/>
        <v>0.1089194913044501</v>
      </c>
      <c r="T55" s="48">
        <f t="shared" si="16"/>
        <v>0.10237854221994912</v>
      </c>
      <c r="U55" s="84">
        <f t="shared" si="17"/>
        <v>1.1442480022808457E-3</v>
      </c>
      <c r="V55" s="49">
        <f t="shared" si="18"/>
        <v>3.2561409852139442E-2</v>
      </c>
      <c r="W55" s="50">
        <f>R55/AB55</f>
        <v>1408.1948059984927</v>
      </c>
      <c r="X55" s="50">
        <f>M55/AB55</f>
        <v>45.852808229770915</v>
      </c>
      <c r="Y55" s="188">
        <v>1408.19</v>
      </c>
      <c r="Z55" s="188">
        <v>1408.19</v>
      </c>
      <c r="AA55" s="189">
        <v>2018</v>
      </c>
      <c r="AB55" s="190">
        <v>29801753</v>
      </c>
      <c r="AC55" s="13"/>
      <c r="AD55" s="4"/>
      <c r="AE55" s="4"/>
      <c r="AF55" s="4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6.5" customHeight="1" x14ac:dyDescent="0.3">
      <c r="A56" s="143">
        <v>49</v>
      </c>
      <c r="B56" s="117" t="s">
        <v>162</v>
      </c>
      <c r="C56" s="83" t="s">
        <v>164</v>
      </c>
      <c r="D56" s="44"/>
      <c r="E56" s="44"/>
      <c r="F56" s="44"/>
      <c r="G56" s="44">
        <v>486318517.92000002</v>
      </c>
      <c r="H56" s="53"/>
      <c r="I56" s="52"/>
      <c r="J56" s="52">
        <v>486610936.48000002</v>
      </c>
      <c r="K56" s="52">
        <v>5657645.4400000004</v>
      </c>
      <c r="L56" s="44">
        <v>1281844.18</v>
      </c>
      <c r="M56" s="193">
        <v>4375801.26</v>
      </c>
      <c r="N56" s="44">
        <v>625168911.00999999</v>
      </c>
      <c r="O56" s="44">
        <v>612853177.25</v>
      </c>
      <c r="P56" s="225">
        <v>615676854.30999994</v>
      </c>
      <c r="Q56" s="47">
        <f t="shared" si="14"/>
        <v>1.6280745261704485E-3</v>
      </c>
      <c r="R56" s="54">
        <v>617727362.21000004</v>
      </c>
      <c r="S56" s="47">
        <f t="shared" si="15"/>
        <v>1.6032376166539076E-3</v>
      </c>
      <c r="T56" s="48">
        <f>((R56-P56)/P56)</f>
        <v>3.3304937251508932E-3</v>
      </c>
      <c r="U56" s="84">
        <f>(L56/R56)</f>
        <v>2.0750969738721555E-3</v>
      </c>
      <c r="V56" s="49">
        <f>M56/R56</f>
        <v>7.083709622874728E-3</v>
      </c>
      <c r="W56" s="50">
        <f>R56/AB56</f>
        <v>1.0079532670155542</v>
      </c>
      <c r="X56" s="50">
        <f>M56/AB56</f>
        <v>7.1400482569661016E-3</v>
      </c>
      <c r="Y56" s="188">
        <v>1.01</v>
      </c>
      <c r="Z56" s="188">
        <v>1.01</v>
      </c>
      <c r="AA56" s="189">
        <v>36</v>
      </c>
      <c r="AB56" s="190">
        <v>612853177.25</v>
      </c>
      <c r="AC56" s="13"/>
      <c r="AD56" s="4"/>
      <c r="AE56" s="4"/>
      <c r="AF56" s="4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</row>
    <row r="57" spans="1:257" ht="16.5" customHeight="1" x14ac:dyDescent="0.3">
      <c r="A57" s="143">
        <v>50</v>
      </c>
      <c r="B57" s="116" t="s">
        <v>83</v>
      </c>
      <c r="C57" s="117" t="s">
        <v>99</v>
      </c>
      <c r="D57" s="44"/>
      <c r="E57" s="44"/>
      <c r="F57" s="44">
        <v>118161148.58</v>
      </c>
      <c r="G57" s="44">
        <v>2825071035.7199998</v>
      </c>
      <c r="H57" s="44"/>
      <c r="I57" s="44"/>
      <c r="J57" s="44">
        <v>2943232184.3000002</v>
      </c>
      <c r="K57" s="44">
        <v>21820645.52</v>
      </c>
      <c r="L57" s="44">
        <v>6656406.3700000001</v>
      </c>
      <c r="M57" s="193">
        <v>15476621.359999999</v>
      </c>
      <c r="N57" s="44">
        <v>2946199151.73</v>
      </c>
      <c r="O57" s="44">
        <v>40139921.479999997</v>
      </c>
      <c r="P57" s="225">
        <v>2949053290.9400001</v>
      </c>
      <c r="Q57" s="47">
        <f t="shared" si="14"/>
        <v>7.7983742700209529E-3</v>
      </c>
      <c r="R57" s="54">
        <v>2906059230.25</v>
      </c>
      <c r="S57" s="47">
        <f t="shared" si="15"/>
        <v>7.5423297706815997E-3</v>
      </c>
      <c r="T57" s="48">
        <f>((R57-P57)/P57)</f>
        <v>-1.4578936508907866E-2</v>
      </c>
      <c r="U57" s="84">
        <f t="shared" ref="U57:U75" si="21">(L57/R57)</f>
        <v>2.2905267383099307E-3</v>
      </c>
      <c r="V57" s="49">
        <f t="shared" ref="V57:V75" si="22">M57/R57</f>
        <v>5.3256386514422801E-3</v>
      </c>
      <c r="W57" s="50">
        <f t="shared" ref="W57:W75" si="23">R57/AB57</f>
        <v>3488.4901501138984</v>
      </c>
      <c r="X57" s="50">
        <f t="shared" ref="X57:X75" si="24">M57/AB57</f>
        <v>18.578437978622258</v>
      </c>
      <c r="Y57" s="188">
        <v>3488.49</v>
      </c>
      <c r="Z57" s="188">
        <v>3488.49</v>
      </c>
      <c r="AA57" s="189">
        <v>1063</v>
      </c>
      <c r="AB57" s="190">
        <v>833042.12</v>
      </c>
      <c r="AC57" s="13"/>
      <c r="AD57" s="4"/>
      <c r="AE57" s="4"/>
      <c r="AF57" s="4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 x14ac:dyDescent="0.3">
      <c r="A58" s="143">
        <v>51</v>
      </c>
      <c r="B58" s="116" t="s">
        <v>34</v>
      </c>
      <c r="C58" s="83" t="s">
        <v>100</v>
      </c>
      <c r="D58" s="44"/>
      <c r="E58" s="44"/>
      <c r="F58" s="44">
        <v>509982192</v>
      </c>
      <c r="G58" s="44">
        <v>98807223337</v>
      </c>
      <c r="H58" s="44"/>
      <c r="I58" s="44"/>
      <c r="J58" s="44">
        <v>99317205529</v>
      </c>
      <c r="K58" s="44">
        <v>813551070</v>
      </c>
      <c r="L58" s="44">
        <v>186038968</v>
      </c>
      <c r="M58" s="193">
        <v>627512103</v>
      </c>
      <c r="N58" s="44">
        <v>112713425070.53999</v>
      </c>
      <c r="O58" s="44">
        <v>293132089.31</v>
      </c>
      <c r="P58" s="225">
        <v>113599515397</v>
      </c>
      <c r="Q58" s="47">
        <f t="shared" si="14"/>
        <v>0.30039861967921211</v>
      </c>
      <c r="R58" s="54">
        <v>112420292981</v>
      </c>
      <c r="S58" s="47">
        <f t="shared" si="15"/>
        <v>0.29177344830180929</v>
      </c>
      <c r="T58" s="48">
        <f>((R58-P58)/P58)</f>
        <v>-1.0380523296062771E-2</v>
      </c>
      <c r="U58" s="84">
        <f t="shared" si="21"/>
        <v>1.6548521896437522E-3</v>
      </c>
      <c r="V58" s="49">
        <f t="shared" si="22"/>
        <v>5.5818401318884214E-3</v>
      </c>
      <c r="W58" s="50">
        <f t="shared" si="23"/>
        <v>1.9817817246583782</v>
      </c>
      <c r="X58" s="50">
        <f t="shared" si="24"/>
        <v>1.1061988763341184E-2</v>
      </c>
      <c r="Y58" s="188">
        <v>1.98</v>
      </c>
      <c r="Z58" s="188">
        <v>1.98</v>
      </c>
      <c r="AA58" s="189">
        <v>2440</v>
      </c>
      <c r="AB58" s="190">
        <v>56726879445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 x14ac:dyDescent="0.3">
      <c r="A59" s="143">
        <v>52</v>
      </c>
      <c r="B59" s="116" t="s">
        <v>45</v>
      </c>
      <c r="C59" s="83" t="s">
        <v>101</v>
      </c>
      <c r="D59" s="44">
        <v>22342500</v>
      </c>
      <c r="E59" s="44"/>
      <c r="F59" s="44">
        <v>113687578.25</v>
      </c>
      <c r="G59" s="44">
        <v>10645655918.6</v>
      </c>
      <c r="H59" s="44"/>
      <c r="I59" s="44"/>
      <c r="J59" s="44">
        <v>10781685996.85</v>
      </c>
      <c r="K59" s="44">
        <v>62198110.740000002</v>
      </c>
      <c r="L59" s="44">
        <v>7086493.6900000004</v>
      </c>
      <c r="M59" s="193">
        <v>56232867.049999997</v>
      </c>
      <c r="N59" s="44">
        <v>10799510072.08</v>
      </c>
      <c r="O59" s="44">
        <v>182871172.68000001</v>
      </c>
      <c r="P59" s="225">
        <v>10835100214.620001</v>
      </c>
      <c r="Q59" s="47">
        <f t="shared" si="14"/>
        <v>2.8651963322052505E-2</v>
      </c>
      <c r="R59" s="54">
        <v>10616638899.4</v>
      </c>
      <c r="S59" s="47">
        <f t="shared" si="15"/>
        <v>2.7554218717225663E-2</v>
      </c>
      <c r="T59" s="48">
        <f t="shared" ref="T59:T100" si="25">((R59-P59)/P59)</f>
        <v>-2.0162371449525436E-2</v>
      </c>
      <c r="U59" s="84">
        <f t="shared" si="21"/>
        <v>6.6748937749031804E-4</v>
      </c>
      <c r="V59" s="49">
        <f t="shared" si="22"/>
        <v>5.2966732299031104E-3</v>
      </c>
      <c r="W59" s="50">
        <f t="shared" si="23"/>
        <v>1.0000000000376768</v>
      </c>
      <c r="X59" s="50">
        <f t="shared" si="24"/>
        <v>5.2966732301026713E-3</v>
      </c>
      <c r="Y59" s="188">
        <v>1</v>
      </c>
      <c r="Z59" s="188">
        <v>1</v>
      </c>
      <c r="AA59" s="189">
        <v>4561</v>
      </c>
      <c r="AB59" s="190">
        <v>10616638899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 x14ac:dyDescent="0.3">
      <c r="A60" s="143">
        <v>53</v>
      </c>
      <c r="B60" s="117" t="s">
        <v>75</v>
      </c>
      <c r="C60" s="82" t="s">
        <v>114</v>
      </c>
      <c r="D60" s="44"/>
      <c r="E60" s="44"/>
      <c r="F60" s="44">
        <v>252305694.52000001</v>
      </c>
      <c r="G60" s="44">
        <v>3013779400.3899999</v>
      </c>
      <c r="H60" s="44"/>
      <c r="I60" s="44"/>
      <c r="J60" s="44">
        <v>3266085094.9099998</v>
      </c>
      <c r="K60" s="44">
        <v>35011227.689999998</v>
      </c>
      <c r="L60" s="44">
        <v>6352720.1500000004</v>
      </c>
      <c r="M60" s="193">
        <v>28658507.539999999</v>
      </c>
      <c r="N60" s="44">
        <v>4191255099.7600002</v>
      </c>
      <c r="O60" s="44">
        <v>5694391.7400000002</v>
      </c>
      <c r="P60" s="225">
        <v>4643120508.6199999</v>
      </c>
      <c r="Q60" s="47">
        <f t="shared" si="14"/>
        <v>1.22781068820521E-2</v>
      </c>
      <c r="R60" s="54">
        <v>4185560708.02</v>
      </c>
      <c r="S60" s="47">
        <f t="shared" si="15"/>
        <v>1.0863123093461045E-2</v>
      </c>
      <c r="T60" s="48">
        <f>((R60-P60)/P60)</f>
        <v>-9.8545751666478512E-2</v>
      </c>
      <c r="U60" s="84">
        <f>(L60/R60)</f>
        <v>1.5177703999914472E-3</v>
      </c>
      <c r="V60" s="49">
        <f>M60/R60</f>
        <v>6.8469936381730431E-3</v>
      </c>
      <c r="W60" s="50">
        <f>R60/AB60</f>
        <v>22.200548056086905</v>
      </c>
      <c r="X60" s="50">
        <f>M60/AB60</f>
        <v>0.15200701130398195</v>
      </c>
      <c r="Y60" s="188">
        <v>22.201599999999999</v>
      </c>
      <c r="Z60" s="188">
        <v>22.201599999999999</v>
      </c>
      <c r="AA60" s="189">
        <v>1417</v>
      </c>
      <c r="AB60" s="190">
        <v>188534116.25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</row>
    <row r="61" spans="1:257" ht="16.5" customHeight="1" x14ac:dyDescent="0.3">
      <c r="A61" s="143">
        <v>54</v>
      </c>
      <c r="B61" s="116" t="s">
        <v>102</v>
      </c>
      <c r="C61" s="83" t="s">
        <v>103</v>
      </c>
      <c r="D61" s="44"/>
      <c r="E61" s="44"/>
      <c r="F61" s="44">
        <v>95205687.109999999</v>
      </c>
      <c r="G61" s="44">
        <v>331041775.38</v>
      </c>
      <c r="H61" s="44"/>
      <c r="I61" s="44"/>
      <c r="J61" s="44">
        <v>426247462.48000002</v>
      </c>
      <c r="K61" s="44">
        <v>3217644.41</v>
      </c>
      <c r="L61" s="44">
        <v>964383.85</v>
      </c>
      <c r="M61" s="193">
        <v>2253260.56</v>
      </c>
      <c r="N61" s="44">
        <v>478061953.32999998</v>
      </c>
      <c r="O61" s="44">
        <v>4703225.5199999996</v>
      </c>
      <c r="P61" s="225">
        <v>472938726.16000003</v>
      </c>
      <c r="Q61" s="47">
        <f t="shared" si="14"/>
        <v>1.2506227692504817E-3</v>
      </c>
      <c r="R61" s="54">
        <v>473358727.81</v>
      </c>
      <c r="S61" s="47">
        <f t="shared" si="15"/>
        <v>1.22854606258875E-3</v>
      </c>
      <c r="T61" s="48">
        <f t="shared" si="25"/>
        <v>8.8806779138210241E-4</v>
      </c>
      <c r="U61" s="84">
        <f t="shared" si="21"/>
        <v>2.0373213661058574E-3</v>
      </c>
      <c r="V61" s="49">
        <f t="shared" si="22"/>
        <v>4.7601542500858443E-3</v>
      </c>
      <c r="W61" s="50">
        <f t="shared" si="23"/>
        <v>2.0704126142080095</v>
      </c>
      <c r="X61" s="50">
        <f t="shared" si="24"/>
        <v>9.8554834049536019E-3</v>
      </c>
      <c r="Y61" s="188">
        <v>2.0701000000000001</v>
      </c>
      <c r="Z61" s="188">
        <v>2.0701000000000001</v>
      </c>
      <c r="AA61" s="189">
        <v>1438</v>
      </c>
      <c r="AB61" s="190">
        <v>228630140.94949999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</row>
    <row r="62" spans="1:257" ht="18" customHeight="1" x14ac:dyDescent="0.3">
      <c r="A62" s="143">
        <v>55</v>
      </c>
      <c r="B62" s="116" t="s">
        <v>24</v>
      </c>
      <c r="C62" s="83" t="s">
        <v>104</v>
      </c>
      <c r="D62" s="44"/>
      <c r="E62" s="44"/>
      <c r="F62" s="44">
        <v>4162884499.4000001</v>
      </c>
      <c r="G62" s="44">
        <v>19388018743.27</v>
      </c>
      <c r="H62" s="44"/>
      <c r="I62" s="44"/>
      <c r="J62" s="44">
        <v>23550903242.669998</v>
      </c>
      <c r="K62" s="44">
        <v>171281734.78999999</v>
      </c>
      <c r="L62" s="44">
        <v>40225106.079999998</v>
      </c>
      <c r="M62" s="193">
        <v>131056628.70999999</v>
      </c>
      <c r="N62" s="44">
        <v>24239309653.32</v>
      </c>
      <c r="O62" s="44">
        <v>51599581.68</v>
      </c>
      <c r="P62" s="225">
        <v>24689129103.23</v>
      </c>
      <c r="Q62" s="47">
        <f t="shared" si="14"/>
        <v>6.528707695427384E-2</v>
      </c>
      <c r="R62" s="54">
        <v>24187710071.639999</v>
      </c>
      <c r="S62" s="47">
        <f t="shared" si="15"/>
        <v>6.277631366180085E-2</v>
      </c>
      <c r="T62" s="48">
        <f t="shared" si="25"/>
        <v>-2.0309304127070285E-2</v>
      </c>
      <c r="U62" s="84">
        <f t="shared" si="21"/>
        <v>1.6630390376294359E-3</v>
      </c>
      <c r="V62" s="49">
        <f t="shared" si="22"/>
        <v>5.4183148517090675E-3</v>
      </c>
      <c r="W62" s="50">
        <f t="shared" si="23"/>
        <v>314.56162151931079</v>
      </c>
      <c r="X62" s="50">
        <f t="shared" si="24"/>
        <v>1.7043939056557682</v>
      </c>
      <c r="Y62" s="188">
        <v>314.56</v>
      </c>
      <c r="Z62" s="188">
        <v>314.56</v>
      </c>
      <c r="AA62" s="189">
        <v>9714</v>
      </c>
      <c r="AB62" s="190">
        <v>76893392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</row>
    <row r="63" spans="1:257" ht="16.5" customHeight="1" x14ac:dyDescent="0.3">
      <c r="A63" s="143">
        <v>56</v>
      </c>
      <c r="B63" s="116" t="s">
        <v>105</v>
      </c>
      <c r="C63" s="83" t="s">
        <v>106</v>
      </c>
      <c r="D63" s="44"/>
      <c r="E63" s="44"/>
      <c r="F63" s="44"/>
      <c r="G63" s="44">
        <v>4873267591.7700005</v>
      </c>
      <c r="H63" s="44"/>
      <c r="I63" s="44"/>
      <c r="J63" s="44">
        <v>4873267591.7700005</v>
      </c>
      <c r="K63" s="44">
        <v>58017065.57</v>
      </c>
      <c r="L63" s="44">
        <v>7715048.5199999996</v>
      </c>
      <c r="M63" s="193">
        <v>50302017.049999997</v>
      </c>
      <c r="N63" s="44">
        <v>6555812122</v>
      </c>
      <c r="O63" s="44">
        <v>92647932</v>
      </c>
      <c r="P63" s="225">
        <v>6119429924</v>
      </c>
      <c r="Q63" s="47">
        <f t="shared" si="14"/>
        <v>1.6182008311998591E-2</v>
      </c>
      <c r="R63" s="54">
        <v>6463164190</v>
      </c>
      <c r="S63" s="47">
        <f t="shared" si="15"/>
        <v>1.6774371002357936E-2</v>
      </c>
      <c r="T63" s="48">
        <f t="shared" si="25"/>
        <v>5.6170962045320093E-2</v>
      </c>
      <c r="U63" s="84">
        <f t="shared" si="21"/>
        <v>1.1936952695611467E-3</v>
      </c>
      <c r="V63" s="49">
        <f t="shared" si="22"/>
        <v>7.7828777934852364E-3</v>
      </c>
      <c r="W63" s="50">
        <f t="shared" si="23"/>
        <v>1.0099999998968616</v>
      </c>
      <c r="X63" s="50">
        <f t="shared" si="24"/>
        <v>7.8607065706173766E-3</v>
      </c>
      <c r="Y63" s="188">
        <v>1.01</v>
      </c>
      <c r="Z63" s="188">
        <v>1.01</v>
      </c>
      <c r="AA63" s="189">
        <v>2104</v>
      </c>
      <c r="AB63" s="190">
        <v>6399172466</v>
      </c>
      <c r="AC63" s="13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5.75" customHeight="1" x14ac:dyDescent="0.3">
      <c r="A64" s="143">
        <v>57</v>
      </c>
      <c r="B64" s="117" t="s">
        <v>26</v>
      </c>
      <c r="C64" s="116" t="s">
        <v>194</v>
      </c>
      <c r="D64" s="44"/>
      <c r="E64" s="44"/>
      <c r="F64" s="44">
        <v>733718249.75999999</v>
      </c>
      <c r="G64" s="44">
        <v>5404235845.0699997</v>
      </c>
      <c r="H64" s="44"/>
      <c r="I64" s="44"/>
      <c r="J64" s="44">
        <v>6140481683.0100002</v>
      </c>
      <c r="K64" s="195">
        <v>49418660.649999999</v>
      </c>
      <c r="L64" s="195">
        <v>7758696.1399999997</v>
      </c>
      <c r="M64" s="193">
        <v>41659964.509999998</v>
      </c>
      <c r="N64" s="44">
        <v>6140481683.0100002</v>
      </c>
      <c r="O64" s="44">
        <v>8049018.71</v>
      </c>
      <c r="P64" s="225">
        <v>6618082369.9300003</v>
      </c>
      <c r="Q64" s="47">
        <f t="shared" si="14"/>
        <v>1.7500627550236916E-2</v>
      </c>
      <c r="R64" s="54">
        <v>6132432664.3000002</v>
      </c>
      <c r="S64" s="47">
        <f t="shared" si="15"/>
        <v>1.5915996814239459E-2</v>
      </c>
      <c r="T64" s="48">
        <f t="shared" si="25"/>
        <v>-7.3382239519502512E-2</v>
      </c>
      <c r="U64" s="84">
        <f>(L65/R64)</f>
        <v>7.4686405016121029E-3</v>
      </c>
      <c r="V64" s="49">
        <f t="shared" si="22"/>
        <v>6.7933831140982231E-3</v>
      </c>
      <c r="W64" s="50">
        <f t="shared" si="23"/>
        <v>0.56573860627423311</v>
      </c>
      <c r="X64" s="50">
        <f t="shared" si="24"/>
        <v>3.8432790948568383E-3</v>
      </c>
      <c r="Y64" s="196">
        <v>3.99</v>
      </c>
      <c r="Z64" s="196">
        <v>3.99</v>
      </c>
      <c r="AA64" s="227">
        <v>943</v>
      </c>
      <c r="AB64" s="197">
        <v>10839692742</v>
      </c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257" ht="16.5" customHeight="1" x14ac:dyDescent="0.3">
      <c r="A65" s="143">
        <v>58</v>
      </c>
      <c r="B65" s="116" t="s">
        <v>24</v>
      </c>
      <c r="C65" s="82" t="s">
        <v>107</v>
      </c>
      <c r="D65" s="44"/>
      <c r="E65" s="44"/>
      <c r="F65" s="44">
        <v>21369459888.759998</v>
      </c>
      <c r="G65" s="44">
        <v>29259698938.009998</v>
      </c>
      <c r="H65" s="44"/>
      <c r="I65" s="44"/>
      <c r="J65" s="44">
        <v>50629158826.769997</v>
      </c>
      <c r="K65" s="44">
        <v>424199293.11000001</v>
      </c>
      <c r="L65" s="44">
        <v>45800934.969999999</v>
      </c>
      <c r="M65" s="193">
        <v>378398358.13999999</v>
      </c>
      <c r="N65" s="44">
        <v>52356428956.839996</v>
      </c>
      <c r="O65" s="44">
        <v>56395204.090000004</v>
      </c>
      <c r="P65" s="225">
        <v>44920684839.5</v>
      </c>
      <c r="Q65" s="47">
        <f t="shared" si="14"/>
        <v>0.11878670145442424</v>
      </c>
      <c r="R65" s="54">
        <v>52300033752.75</v>
      </c>
      <c r="S65" s="47">
        <f t="shared" si="15"/>
        <v>0.13573849337788074</v>
      </c>
      <c r="T65" s="48">
        <f t="shared" si="25"/>
        <v>0.16427507593920596</v>
      </c>
      <c r="U65" s="84">
        <f>(L66/R65)</f>
        <v>9.4159686842287375E-6</v>
      </c>
      <c r="V65" s="49">
        <f t="shared" si="22"/>
        <v>7.2351455819108981E-3</v>
      </c>
      <c r="W65" s="50">
        <f t="shared" si="23"/>
        <v>4284.829783997282</v>
      </c>
      <c r="X65" s="50">
        <f t="shared" si="24"/>
        <v>31.001367280928157</v>
      </c>
      <c r="Y65" s="188">
        <v>4284.83</v>
      </c>
      <c r="Z65" s="101">
        <v>4284.83</v>
      </c>
      <c r="AA65" s="189">
        <v>450</v>
      </c>
      <c r="AB65" s="190">
        <v>12205860.300000001</v>
      </c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257" ht="16.5" customHeight="1" x14ac:dyDescent="0.3">
      <c r="A66" s="143">
        <v>59</v>
      </c>
      <c r="B66" s="116" t="s">
        <v>24</v>
      </c>
      <c r="C66" s="82" t="s">
        <v>108</v>
      </c>
      <c r="D66" s="78">
        <v>70368344</v>
      </c>
      <c r="E66" s="44"/>
      <c r="F66" s="44">
        <v>130932326.95999999</v>
      </c>
      <c r="G66" s="44">
        <v>31218679.120000001</v>
      </c>
      <c r="H66" s="44"/>
      <c r="I66" s="44"/>
      <c r="J66" s="44">
        <v>232519350.08000001</v>
      </c>
      <c r="K66" s="44">
        <v>504418.46</v>
      </c>
      <c r="L66" s="44">
        <v>492455.48</v>
      </c>
      <c r="M66" s="193">
        <v>2627591.7400000002</v>
      </c>
      <c r="N66" s="44">
        <v>247987653.87</v>
      </c>
      <c r="O66" s="44">
        <v>2735044.14</v>
      </c>
      <c r="P66" s="225">
        <v>242335599.28999999</v>
      </c>
      <c r="Q66" s="47">
        <f t="shared" si="14"/>
        <v>6.4082385625892488E-4</v>
      </c>
      <c r="R66" s="54">
        <v>245252609.72999999</v>
      </c>
      <c r="S66" s="47">
        <f t="shared" si="15"/>
        <v>6.365238672526312E-4</v>
      </c>
      <c r="T66" s="48">
        <f t="shared" si="25"/>
        <v>1.2037069454699669E-2</v>
      </c>
      <c r="U66" s="84">
        <f t="shared" si="21"/>
        <v>2.0079520480623921E-3</v>
      </c>
      <c r="V66" s="49">
        <f t="shared" si="22"/>
        <v>1.0713817654754952E-2</v>
      </c>
      <c r="W66" s="50">
        <f t="shared" si="23"/>
        <v>3878.2786876898499</v>
      </c>
      <c r="X66" s="50">
        <f t="shared" si="24"/>
        <v>41.551170674231379</v>
      </c>
      <c r="Y66" s="101">
        <v>3864.18</v>
      </c>
      <c r="Z66" s="101">
        <v>3886.08</v>
      </c>
      <c r="AA66" s="189">
        <v>15</v>
      </c>
      <c r="AB66" s="190">
        <v>63237.49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257" ht="16.5" customHeight="1" x14ac:dyDescent="0.3">
      <c r="A67" s="143">
        <v>60</v>
      </c>
      <c r="B67" s="117" t="s">
        <v>47</v>
      </c>
      <c r="C67" s="82" t="s">
        <v>111</v>
      </c>
      <c r="D67" s="44"/>
      <c r="E67" s="44"/>
      <c r="F67" s="44">
        <v>7800783.5599999996</v>
      </c>
      <c r="G67" s="44">
        <v>45185636.530000001</v>
      </c>
      <c r="H67" s="44"/>
      <c r="I67" s="44"/>
      <c r="J67" s="44">
        <v>52986420.090000004</v>
      </c>
      <c r="K67" s="44">
        <v>470443.62</v>
      </c>
      <c r="L67" s="44">
        <v>54307.95</v>
      </c>
      <c r="M67" s="193">
        <v>416135.67</v>
      </c>
      <c r="N67" s="44">
        <v>53828543.560000002</v>
      </c>
      <c r="O67" s="44">
        <v>93207.37</v>
      </c>
      <c r="P67" s="225">
        <v>52143699.979999997</v>
      </c>
      <c r="Q67" s="47">
        <f t="shared" si="14"/>
        <v>1.3788699224831922E-4</v>
      </c>
      <c r="R67" s="54">
        <v>53610396</v>
      </c>
      <c r="S67" s="47">
        <f t="shared" si="15"/>
        <v>1.3913938214330369E-4</v>
      </c>
      <c r="T67" s="48">
        <f>((R67-P67)/P67)</f>
        <v>2.8127962161537495E-2</v>
      </c>
      <c r="U67" s="84">
        <f>(L67/R67)</f>
        <v>1.0130115435073451E-3</v>
      </c>
      <c r="V67" s="49">
        <f>M67/R67</f>
        <v>7.7622196635145167E-3</v>
      </c>
      <c r="W67" s="50">
        <f>R67/AB67</f>
        <v>11.475405119906503</v>
      </c>
      <c r="X67" s="50">
        <f>M67/AB67</f>
        <v>8.9074615268533414E-2</v>
      </c>
      <c r="Y67" s="101">
        <v>11.542</v>
      </c>
      <c r="Z67" s="101">
        <v>11.5221</v>
      </c>
      <c r="AA67" s="189">
        <v>47</v>
      </c>
      <c r="AB67" s="190">
        <v>4671765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</row>
    <row r="68" spans="1:257" ht="16.5" customHeight="1" x14ac:dyDescent="0.3">
      <c r="A68" s="143">
        <v>61</v>
      </c>
      <c r="B68" s="116" t="s">
        <v>109</v>
      </c>
      <c r="C68" s="82" t="s">
        <v>110</v>
      </c>
      <c r="D68" s="44"/>
      <c r="E68" s="44"/>
      <c r="F68" s="44"/>
      <c r="G68" s="44">
        <v>4353933978.6700001</v>
      </c>
      <c r="H68" s="44"/>
      <c r="I68" s="44">
        <f>SUM(J68-G68)</f>
        <v>6946199542.2199993</v>
      </c>
      <c r="J68" s="44">
        <v>11300133520.889999</v>
      </c>
      <c r="K68" s="44">
        <v>142713199.81</v>
      </c>
      <c r="L68" s="44">
        <v>29452908.370000001</v>
      </c>
      <c r="M68" s="193">
        <v>113260291.44</v>
      </c>
      <c r="N68" s="44">
        <v>14187757894.870001</v>
      </c>
      <c r="O68" s="44">
        <v>299112572.87</v>
      </c>
      <c r="P68" s="225">
        <v>13537580022.01</v>
      </c>
      <c r="Q68" s="47">
        <f t="shared" si="14"/>
        <v>3.5798307221617573E-2</v>
      </c>
      <c r="R68" s="54">
        <v>13888645322</v>
      </c>
      <c r="S68" s="47">
        <f t="shared" si="15"/>
        <v>3.6046320734332296E-2</v>
      </c>
      <c r="T68" s="48">
        <f t="shared" si="25"/>
        <v>2.5932648185216425E-2</v>
      </c>
      <c r="U68" s="84">
        <f t="shared" si="21"/>
        <v>2.1206465920290854E-3</v>
      </c>
      <c r="V68" s="49">
        <f t="shared" si="22"/>
        <v>8.1548839943801112E-3</v>
      </c>
      <c r="W68" s="50">
        <f t="shared" si="23"/>
        <v>1146.0342645798571</v>
      </c>
      <c r="X68" s="50">
        <f t="shared" si="24"/>
        <v>9.3457764812334574</v>
      </c>
      <c r="Y68" s="101">
        <v>1146.03</v>
      </c>
      <c r="Z68" s="101">
        <v>1146.03</v>
      </c>
      <c r="AA68" s="189">
        <v>5469</v>
      </c>
      <c r="AB68" s="190">
        <v>12118874.41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257" ht="18.75" customHeight="1" x14ac:dyDescent="0.35">
      <c r="A69" s="143">
        <v>62</v>
      </c>
      <c r="B69" s="116" t="s">
        <v>79</v>
      </c>
      <c r="C69" s="83" t="s">
        <v>153</v>
      </c>
      <c r="D69" s="44"/>
      <c r="E69" s="44"/>
      <c r="F69" s="44"/>
      <c r="G69" s="44">
        <v>15000000</v>
      </c>
      <c r="H69" s="44"/>
      <c r="I69" s="44"/>
      <c r="J69" s="44">
        <v>21925388.73</v>
      </c>
      <c r="K69" s="44">
        <v>193928.42</v>
      </c>
      <c r="L69" s="44">
        <v>170184.58</v>
      </c>
      <c r="M69" s="193">
        <v>23743.84</v>
      </c>
      <c r="N69" s="44">
        <v>22247584.77</v>
      </c>
      <c r="O69" s="44">
        <v>1634867.77</v>
      </c>
      <c r="P69" s="225">
        <v>20355966.210000001</v>
      </c>
      <c r="Q69" s="47">
        <f t="shared" si="14"/>
        <v>5.3828611243196981E-5</v>
      </c>
      <c r="R69" s="54">
        <v>20612717.149999999</v>
      </c>
      <c r="S69" s="47">
        <f t="shared" si="15"/>
        <v>5.3497846360726003E-5</v>
      </c>
      <c r="T69" s="48">
        <f t="shared" si="25"/>
        <v>1.2613055914480103E-2</v>
      </c>
      <c r="U69" s="84">
        <f t="shared" si="21"/>
        <v>8.2562904619297127E-3</v>
      </c>
      <c r="V69" s="49">
        <f t="shared" si="22"/>
        <v>1.1519024797756953E-3</v>
      </c>
      <c r="W69" s="50">
        <f t="shared" si="23"/>
        <v>0.77254528173291181</v>
      </c>
      <c r="X69" s="50">
        <f t="shared" si="24"/>
        <v>8.8989682576715425E-4</v>
      </c>
      <c r="Y69" s="101">
        <v>0.76249999999999996</v>
      </c>
      <c r="Z69" s="101">
        <v>0.78249999999999997</v>
      </c>
      <c r="AA69" s="189">
        <v>751</v>
      </c>
      <c r="AB69" s="190">
        <v>26681565</v>
      </c>
      <c r="AC69" s="37"/>
      <c r="AD69" s="33"/>
      <c r="AE69" s="3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257" ht="16.5" customHeight="1" x14ac:dyDescent="0.3">
      <c r="A70" s="143">
        <v>63</v>
      </c>
      <c r="B70" s="116" t="s">
        <v>71</v>
      </c>
      <c r="C70" s="116" t="s">
        <v>220</v>
      </c>
      <c r="D70" s="44"/>
      <c r="E70" s="44"/>
      <c r="F70" s="44">
        <v>128065498.94</v>
      </c>
      <c r="G70" s="44">
        <v>245742084.74000001</v>
      </c>
      <c r="H70" s="44"/>
      <c r="I70" s="44"/>
      <c r="J70" s="44">
        <v>373807583.69</v>
      </c>
      <c r="K70" s="44">
        <v>4467906.0599999996</v>
      </c>
      <c r="L70" s="44">
        <v>1094881.8400000001</v>
      </c>
      <c r="M70" s="193">
        <v>3373024.22</v>
      </c>
      <c r="N70" s="44">
        <v>432443210.32999998</v>
      </c>
      <c r="O70" s="44">
        <v>1094881.8400000001</v>
      </c>
      <c r="P70" s="225">
        <v>841261854.88</v>
      </c>
      <c r="Q70" s="47">
        <f t="shared" si="14"/>
        <v>2.2246036799678059E-3</v>
      </c>
      <c r="R70" s="54">
        <v>431348328.49000001</v>
      </c>
      <c r="S70" s="47">
        <f t="shared" si="15"/>
        <v>1.1195130868767581E-3</v>
      </c>
      <c r="T70" s="48">
        <f>((R70-P70)/P70)</f>
        <v>-0.48726032686751408</v>
      </c>
      <c r="U70" s="84">
        <f t="shared" si="21"/>
        <v>2.5382776927241131E-3</v>
      </c>
      <c r="V70" s="49">
        <f t="shared" si="22"/>
        <v>7.8197224776731626E-3</v>
      </c>
      <c r="W70" s="50">
        <f t="shared" si="23"/>
        <v>1140.9792025150045</v>
      </c>
      <c r="X70" s="50">
        <f t="shared" si="24"/>
        <v>8.9221407164641811</v>
      </c>
      <c r="Y70" s="101">
        <v>1140.98</v>
      </c>
      <c r="Z70" s="101">
        <v>1413.88</v>
      </c>
      <c r="AA70" s="189">
        <v>104</v>
      </c>
      <c r="AB70" s="190">
        <v>378051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257" ht="16.5" customHeight="1" x14ac:dyDescent="0.3">
      <c r="A71" s="143">
        <v>64</v>
      </c>
      <c r="B71" s="116" t="s">
        <v>45</v>
      </c>
      <c r="C71" s="83" t="s">
        <v>113</v>
      </c>
      <c r="D71" s="44"/>
      <c r="E71" s="44"/>
      <c r="F71" s="44">
        <v>7725177.1600000001</v>
      </c>
      <c r="G71" s="44">
        <v>174849892.81</v>
      </c>
      <c r="H71" s="44"/>
      <c r="I71" s="44"/>
      <c r="J71" s="44">
        <v>182575069.97999999</v>
      </c>
      <c r="K71" s="44">
        <v>1333306.6599999999</v>
      </c>
      <c r="L71" s="44">
        <v>502372.58</v>
      </c>
      <c r="M71" s="193">
        <v>830934.08</v>
      </c>
      <c r="N71" s="44">
        <v>188703830.55000001</v>
      </c>
      <c r="O71" s="44">
        <v>5662607.4100000001</v>
      </c>
      <c r="P71" s="225">
        <v>176222952.28</v>
      </c>
      <c r="Q71" s="47">
        <f t="shared" si="14"/>
        <v>4.6599786482984994E-4</v>
      </c>
      <c r="R71" s="54">
        <v>183041223.13999999</v>
      </c>
      <c r="S71" s="47">
        <f t="shared" si="15"/>
        <v>4.7506164092602827E-4</v>
      </c>
      <c r="T71" s="48">
        <f t="shared" si="25"/>
        <v>3.8691162370077983E-2</v>
      </c>
      <c r="U71" s="84">
        <f t="shared" si="21"/>
        <v>2.7445871011021264E-3</v>
      </c>
      <c r="V71" s="49">
        <f t="shared" si="22"/>
        <v>4.539600783613951E-3</v>
      </c>
      <c r="W71" s="50">
        <f t="shared" si="23"/>
        <v>151.70235872882691</v>
      </c>
      <c r="X71" s="50">
        <f t="shared" si="24"/>
        <v>0.68866814656146735</v>
      </c>
      <c r="Y71" s="188">
        <v>142.33000000000001</v>
      </c>
      <c r="Z71" s="188">
        <v>142.38999999999999</v>
      </c>
      <c r="AA71" s="189">
        <v>16</v>
      </c>
      <c r="AB71" s="190">
        <v>1206581.26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257" ht="16.5" customHeight="1" x14ac:dyDescent="0.3">
      <c r="A72" s="143">
        <v>65</v>
      </c>
      <c r="B72" s="117" t="s">
        <v>116</v>
      </c>
      <c r="C72" s="82" t="s">
        <v>117</v>
      </c>
      <c r="D72" s="44"/>
      <c r="E72" s="44"/>
      <c r="F72" s="44">
        <v>350737072.66000003</v>
      </c>
      <c r="G72" s="44">
        <v>321212151.27999997</v>
      </c>
      <c r="H72" s="44"/>
      <c r="I72" s="44"/>
      <c r="J72" s="44">
        <v>678227722.65999997</v>
      </c>
      <c r="K72" s="44">
        <v>9215506.4000000004</v>
      </c>
      <c r="L72" s="44">
        <v>1249390.68</v>
      </c>
      <c r="M72" s="193">
        <v>7966115.7199999997</v>
      </c>
      <c r="N72" s="44">
        <v>678227722.65999997</v>
      </c>
      <c r="O72" s="44">
        <v>6826534.3700000001</v>
      </c>
      <c r="P72" s="225">
        <v>750896011.75999999</v>
      </c>
      <c r="Q72" s="47">
        <f t="shared" si="14"/>
        <v>1.9856433776766474E-3</v>
      </c>
      <c r="R72" s="54">
        <v>671401188.27999997</v>
      </c>
      <c r="S72" s="47">
        <f t="shared" si="15"/>
        <v>1.7425416239708268E-3</v>
      </c>
      <c r="T72" s="48">
        <f t="shared" si="25"/>
        <v>-0.10586662099013519</v>
      </c>
      <c r="U72" s="84">
        <f t="shared" si="21"/>
        <v>1.8608705224378546E-3</v>
      </c>
      <c r="V72" s="49">
        <f t="shared" si="22"/>
        <v>1.1864911559670677E-2</v>
      </c>
      <c r="W72" s="50">
        <f t="shared" si="23"/>
        <v>185.53775248713481</v>
      </c>
      <c r="X72" s="50">
        <f t="shared" si="24"/>
        <v>2.2013890242399228</v>
      </c>
      <c r="Y72" s="188">
        <v>185.5378</v>
      </c>
      <c r="Z72" s="188">
        <v>187.42420000000001</v>
      </c>
      <c r="AA72" s="189">
        <v>437</v>
      </c>
      <c r="AB72" s="190">
        <v>3618676.95</v>
      </c>
      <c r="AC72" s="10"/>
      <c r="AD72" s="10"/>
      <c r="AE72" s="10"/>
      <c r="AF72" s="11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257" ht="16.5" customHeight="1" x14ac:dyDescent="0.3">
      <c r="A73" s="143">
        <v>66</v>
      </c>
      <c r="B73" s="117" t="s">
        <v>73</v>
      </c>
      <c r="C73" s="82" t="s">
        <v>118</v>
      </c>
      <c r="D73" s="44"/>
      <c r="E73" s="44"/>
      <c r="F73" s="44">
        <v>44366814.520000003</v>
      </c>
      <c r="G73" s="44">
        <v>1004121781.4299999</v>
      </c>
      <c r="H73" s="44"/>
      <c r="I73" s="44"/>
      <c r="J73" s="44">
        <v>1048488595.95</v>
      </c>
      <c r="K73" s="44">
        <v>7114826.0300000003</v>
      </c>
      <c r="L73" s="44">
        <v>1692863.9</v>
      </c>
      <c r="M73" s="193">
        <v>20510857.5</v>
      </c>
      <c r="N73" s="44">
        <v>1090034140.47</v>
      </c>
      <c r="O73" s="44">
        <v>3294077.76</v>
      </c>
      <c r="P73" s="225">
        <v>1065457574.92</v>
      </c>
      <c r="Q73" s="47">
        <f t="shared" si="14"/>
        <v>2.8174590685021627E-3</v>
      </c>
      <c r="R73" s="54">
        <v>1086740062.71</v>
      </c>
      <c r="S73" s="47">
        <f t="shared" si="15"/>
        <v>2.8205040842422527E-3</v>
      </c>
      <c r="T73" s="48">
        <f t="shared" si="25"/>
        <v>1.9974974406276175E-2</v>
      </c>
      <c r="U73" s="84">
        <f t="shared" si="21"/>
        <v>1.5577450009328917E-3</v>
      </c>
      <c r="V73" s="49">
        <f t="shared" si="22"/>
        <v>1.8873747461607464E-2</v>
      </c>
      <c r="W73" s="50">
        <f t="shared" si="23"/>
        <v>1.4323051176825108</v>
      </c>
      <c r="X73" s="50">
        <f t="shared" si="24"/>
        <v>2.7032965079107671E-2</v>
      </c>
      <c r="Y73" s="188">
        <v>1.4322999999999999</v>
      </c>
      <c r="Z73" s="188">
        <v>1.4322999999999999</v>
      </c>
      <c r="AA73" s="189">
        <v>133</v>
      </c>
      <c r="AB73" s="190">
        <v>758735027.39999998</v>
      </c>
      <c r="AC73" s="25"/>
      <c r="AD73" s="12"/>
      <c r="AE73" s="12"/>
      <c r="AF73" s="12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257" ht="16.5" customHeight="1" x14ac:dyDescent="0.3">
      <c r="A74" s="143">
        <v>67</v>
      </c>
      <c r="B74" s="116" t="s">
        <v>51</v>
      </c>
      <c r="C74" s="83" t="s">
        <v>120</v>
      </c>
      <c r="D74" s="44"/>
      <c r="E74" s="44"/>
      <c r="F74" s="44">
        <v>24253475.59</v>
      </c>
      <c r="G74" s="44">
        <v>472064842.06</v>
      </c>
      <c r="H74" s="44"/>
      <c r="I74" s="44"/>
      <c r="J74" s="44">
        <v>496318317.64999998</v>
      </c>
      <c r="K74" s="44">
        <v>5194757.42</v>
      </c>
      <c r="L74" s="44">
        <v>618047.23</v>
      </c>
      <c r="M74" s="193">
        <v>4576710.1900000004</v>
      </c>
      <c r="N74" s="44">
        <v>503394433.42000002</v>
      </c>
      <c r="O74" s="44">
        <v>618047.23</v>
      </c>
      <c r="P74" s="225">
        <v>489545507.29000002</v>
      </c>
      <c r="Q74" s="47">
        <f t="shared" si="14"/>
        <v>1.2945371654636414E-3</v>
      </c>
      <c r="R74" s="54">
        <v>502776386.19</v>
      </c>
      <c r="S74" s="47">
        <f t="shared" si="15"/>
        <v>1.3048960826687356E-3</v>
      </c>
      <c r="T74" s="48">
        <f t="shared" si="25"/>
        <v>2.7026862064862513E-2</v>
      </c>
      <c r="U74" s="84">
        <f t="shared" si="21"/>
        <v>1.2292686112080828E-3</v>
      </c>
      <c r="V74" s="49">
        <f t="shared" si="22"/>
        <v>9.1028741916102125E-3</v>
      </c>
      <c r="W74" s="50">
        <f t="shared" si="23"/>
        <v>1.181188580262899</v>
      </c>
      <c r="X74" s="50">
        <f t="shared" si="24"/>
        <v>1.0752211042699852E-2</v>
      </c>
      <c r="Y74" s="188">
        <v>1.17</v>
      </c>
      <c r="Z74" s="188">
        <v>1.17</v>
      </c>
      <c r="AA74" s="189">
        <v>224</v>
      </c>
      <c r="AB74" s="190">
        <v>425652935.18000001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257" ht="16.5" customHeight="1" x14ac:dyDescent="0.3">
      <c r="A75" s="143">
        <v>68</v>
      </c>
      <c r="B75" s="117" t="s">
        <v>36</v>
      </c>
      <c r="C75" s="83" t="s">
        <v>122</v>
      </c>
      <c r="D75" s="44"/>
      <c r="E75" s="44"/>
      <c r="F75" s="44"/>
      <c r="G75" s="44">
        <v>578965505.21000004</v>
      </c>
      <c r="H75" s="44"/>
      <c r="I75" s="44"/>
      <c r="J75" s="44">
        <v>578965505.21000004</v>
      </c>
      <c r="K75" s="44">
        <v>18071943.84</v>
      </c>
      <c r="L75" s="44">
        <v>3053760.3</v>
      </c>
      <c r="M75" s="193">
        <v>15018183.539999999</v>
      </c>
      <c r="N75" s="44">
        <v>1428671725</v>
      </c>
      <c r="O75" s="44">
        <v>2677199</v>
      </c>
      <c r="P75" s="225">
        <v>1453122663</v>
      </c>
      <c r="Q75" s="47">
        <f t="shared" si="14"/>
        <v>3.8425871859072091E-3</v>
      </c>
      <c r="R75" s="54">
        <v>1425994526</v>
      </c>
      <c r="S75" s="47">
        <f t="shared" si="15"/>
        <v>3.7009985393014672E-3</v>
      </c>
      <c r="T75" s="48">
        <f t="shared" si="25"/>
        <v>-1.8668855486702982E-2</v>
      </c>
      <c r="U75" s="84">
        <f t="shared" si="21"/>
        <v>2.1414951069735032E-3</v>
      </c>
      <c r="V75" s="49">
        <f t="shared" si="22"/>
        <v>1.0531725940159744E-2</v>
      </c>
      <c r="W75" s="50">
        <f t="shared" si="23"/>
        <v>1.1498101860095071</v>
      </c>
      <c r="X75" s="50">
        <f t="shared" si="24"/>
        <v>1.2109485762256228E-2</v>
      </c>
      <c r="Y75" s="188">
        <v>1.0167999999999999</v>
      </c>
      <c r="Z75" s="188">
        <v>1.0219</v>
      </c>
      <c r="AA75" s="189">
        <v>539</v>
      </c>
      <c r="AB75" s="190">
        <v>1240199942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257" ht="16.5" customHeight="1" x14ac:dyDescent="0.3">
      <c r="A76" s="143">
        <v>69</v>
      </c>
      <c r="B76" s="116" t="s">
        <v>24</v>
      </c>
      <c r="C76" s="83" t="s">
        <v>166</v>
      </c>
      <c r="D76" s="44"/>
      <c r="E76" s="44"/>
      <c r="F76" s="44">
        <v>6687420677.0600004</v>
      </c>
      <c r="G76" s="44">
        <v>12360428251.790001</v>
      </c>
      <c r="H76" s="44"/>
      <c r="I76" s="44"/>
      <c r="J76" s="44">
        <v>19047848928.849998</v>
      </c>
      <c r="K76" s="44">
        <v>161269135.66</v>
      </c>
      <c r="L76" s="44">
        <v>24138704.43</v>
      </c>
      <c r="M76" s="193">
        <v>137130431.22999999</v>
      </c>
      <c r="N76" s="44">
        <v>19810299318.830002</v>
      </c>
      <c r="O76" s="44">
        <v>29936821.77</v>
      </c>
      <c r="P76" s="225">
        <v>17651738510.950001</v>
      </c>
      <c r="Q76" s="47">
        <f t="shared" si="14"/>
        <v>4.6677645279530867E-2</v>
      </c>
      <c r="R76" s="54">
        <v>19780362497.060001</v>
      </c>
      <c r="S76" s="47">
        <f t="shared" si="15"/>
        <v>5.1337569235853149E-2</v>
      </c>
      <c r="T76" s="48">
        <f>((R76-P76)/P76)</f>
        <v>0.12059004753495184</v>
      </c>
      <c r="U76" s="84">
        <f>(L76/R76)</f>
        <v>1.2203368079623308E-3</v>
      </c>
      <c r="V76" s="49">
        <f>M76/R76</f>
        <v>6.9326551144035901E-3</v>
      </c>
      <c r="W76" s="50">
        <f>R76/AB76</f>
        <v>107.16602551756752</v>
      </c>
      <c r="X76" s="50">
        <f>M76/AB76</f>
        <v>0.74294509489467009</v>
      </c>
      <c r="Y76" s="188">
        <v>107.17</v>
      </c>
      <c r="Z76" s="188">
        <v>107.17</v>
      </c>
      <c r="AA76" s="189">
        <v>1488</v>
      </c>
      <c r="AB76" s="190">
        <v>184576804.09</v>
      </c>
      <c r="AC76" s="41"/>
      <c r="AD76" s="6"/>
      <c r="AE76" s="6"/>
      <c r="AF76" s="6"/>
      <c r="AG76" s="32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</row>
    <row r="77" spans="1:257" ht="16.5" customHeight="1" x14ac:dyDescent="0.3">
      <c r="A77" s="143">
        <v>70</v>
      </c>
      <c r="B77" s="117" t="s">
        <v>123</v>
      </c>
      <c r="C77" s="83" t="s">
        <v>155</v>
      </c>
      <c r="D77" s="44"/>
      <c r="E77" s="44"/>
      <c r="F77" s="44"/>
      <c r="G77" s="44">
        <v>303991542.56999999</v>
      </c>
      <c r="H77" s="44"/>
      <c r="I77" s="44"/>
      <c r="J77" s="44">
        <v>309997390.33999997</v>
      </c>
      <c r="K77" s="44">
        <v>3151586.07</v>
      </c>
      <c r="L77" s="44">
        <v>470740.12</v>
      </c>
      <c r="M77" s="193">
        <v>2680845.9500000002</v>
      </c>
      <c r="N77" s="44">
        <v>310678110.19</v>
      </c>
      <c r="O77" s="78">
        <v>5917829.7599999998</v>
      </c>
      <c r="P77" s="225">
        <v>296074759.25</v>
      </c>
      <c r="Q77" s="47">
        <f t="shared" si="14"/>
        <v>7.8292982755896355E-4</v>
      </c>
      <c r="R77" s="54">
        <v>304760280.43000001</v>
      </c>
      <c r="S77" s="47">
        <f t="shared" si="15"/>
        <v>7.9096892178991129E-4</v>
      </c>
      <c r="T77" s="48">
        <f>((R77-P77)/P77)</f>
        <v>2.9335567820781762E-2</v>
      </c>
      <c r="U77" s="84">
        <f>(L77/R77)</f>
        <v>1.5446242513486718E-3</v>
      </c>
      <c r="V77" s="49">
        <f>M77/R77</f>
        <v>8.7965726577540673E-3</v>
      </c>
      <c r="W77" s="50">
        <f>R77/AB77</f>
        <v>1077.2340335442368</v>
      </c>
      <c r="X77" s="50">
        <f>M77/AB77</f>
        <v>9.4759674454773606</v>
      </c>
      <c r="Y77" s="101">
        <v>1077.23</v>
      </c>
      <c r="Z77" s="101">
        <v>1077.23</v>
      </c>
      <c r="AA77" s="189">
        <v>120</v>
      </c>
      <c r="AB77" s="190">
        <v>282910</v>
      </c>
      <c r="AC77" s="41"/>
      <c r="AD77" s="6"/>
      <c r="AE77" s="6"/>
      <c r="AF77" s="6"/>
      <c r="AG77" s="32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</row>
    <row r="78" spans="1:257" ht="16.5" customHeight="1" x14ac:dyDescent="0.3">
      <c r="A78" s="143">
        <v>71</v>
      </c>
      <c r="B78" s="117" t="s">
        <v>151</v>
      </c>
      <c r="C78" s="83" t="s">
        <v>152</v>
      </c>
      <c r="D78" s="44"/>
      <c r="E78" s="44"/>
      <c r="F78" s="44">
        <v>203232112.31</v>
      </c>
      <c r="G78" s="44">
        <v>1111304365.7</v>
      </c>
      <c r="H78" s="44"/>
      <c r="I78" s="44"/>
      <c r="J78" s="44">
        <v>1314536478.01</v>
      </c>
      <c r="K78" s="44">
        <v>15604928.470000001</v>
      </c>
      <c r="L78" s="44">
        <v>2278832.0699999998</v>
      </c>
      <c r="M78" s="193">
        <v>13326096.390000001</v>
      </c>
      <c r="N78" s="44">
        <v>1625448733.4300001</v>
      </c>
      <c r="O78" s="44">
        <v>7815698.2300000004</v>
      </c>
      <c r="P78" s="225">
        <v>1595358288.5599999</v>
      </c>
      <c r="Q78" s="47">
        <f t="shared" si="14"/>
        <v>4.2187101424014549E-3</v>
      </c>
      <c r="R78" s="54">
        <v>1617633035.2</v>
      </c>
      <c r="S78" s="47">
        <f t="shared" si="15"/>
        <v>4.1983734097454728E-3</v>
      </c>
      <c r="T78" s="48">
        <f t="shared" ref="T78" si="26">((R78-P78)/P78)</f>
        <v>1.3962222028573723E-2</v>
      </c>
      <c r="U78" s="84">
        <f t="shared" ref="U78" si="27">(L78/R78)</f>
        <v>1.4087447649820349E-3</v>
      </c>
      <c r="V78" s="49">
        <f t="shared" ref="V78" si="28">M78/R78</f>
        <v>8.2380219122765354E-3</v>
      </c>
      <c r="W78" s="50" t="e">
        <f>R78/#REF!</f>
        <v>#REF!</v>
      </c>
      <c r="X78" s="50" t="e">
        <f>M78/#REF!</f>
        <v>#REF!</v>
      </c>
      <c r="Y78" s="188">
        <v>1.0150999999999999</v>
      </c>
      <c r="Z78" s="188">
        <v>1.0150999999999999</v>
      </c>
      <c r="AA78" s="189">
        <v>582</v>
      </c>
      <c r="AB78" s="189">
        <v>1593311335.48</v>
      </c>
      <c r="AC78" s="41"/>
      <c r="AD78" s="6"/>
      <c r="AE78" s="6"/>
      <c r="AF78" s="6"/>
      <c r="AG78" s="32"/>
      <c r="AH78" s="6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</row>
    <row r="79" spans="1:257" ht="16.5" customHeight="1" x14ac:dyDescent="0.3">
      <c r="A79" s="143">
        <v>72</v>
      </c>
      <c r="B79" s="116" t="s">
        <v>30</v>
      </c>
      <c r="C79" s="83" t="s">
        <v>205</v>
      </c>
      <c r="D79" s="44"/>
      <c r="E79" s="44"/>
      <c r="F79" s="44">
        <v>7040273.9699999997</v>
      </c>
      <c r="G79" s="44">
        <v>101230000</v>
      </c>
      <c r="H79" s="44"/>
      <c r="I79" s="209">
        <f>J79-(F79+G79)</f>
        <v>91526.489999994636</v>
      </c>
      <c r="J79" s="44">
        <v>108361800.45999999</v>
      </c>
      <c r="K79" s="44">
        <v>1102416.83</v>
      </c>
      <c r="L79" s="44">
        <v>247876.64</v>
      </c>
      <c r="M79" s="193">
        <v>854540.19</v>
      </c>
      <c r="N79" s="44">
        <v>108361800.45999999</v>
      </c>
      <c r="O79" s="44">
        <v>325497.38</v>
      </c>
      <c r="P79" s="225"/>
      <c r="Q79" s="47">
        <f t="shared" si="14"/>
        <v>0</v>
      </c>
      <c r="R79" s="54">
        <v>108035565.66</v>
      </c>
      <c r="S79" s="47">
        <f t="shared" si="15"/>
        <v>2.803934120433417E-4</v>
      </c>
      <c r="T79" s="48" t="e">
        <f t="shared" ref="T79" si="29">((R79-P79)/P79)</f>
        <v>#DIV/0!</v>
      </c>
      <c r="U79" s="84">
        <f t="shared" ref="U79" si="30">(L79/R79)</f>
        <v>2.294398501879423E-3</v>
      </c>
      <c r="V79" s="49">
        <f t="shared" ref="V79" si="31">M79/R79</f>
        <v>7.9098043758046629E-3</v>
      </c>
      <c r="W79" s="50">
        <f t="shared" ref="W79" si="32">R79/AB79</f>
        <v>101.88824055439134</v>
      </c>
      <c r="X79" s="50">
        <f t="shared" ref="X79" si="33">M79/AB79</f>
        <v>0.80591605098016283</v>
      </c>
      <c r="Y79" s="188">
        <v>101.89</v>
      </c>
      <c r="Z79" s="188">
        <v>101.89</v>
      </c>
      <c r="AA79" s="189">
        <v>46</v>
      </c>
      <c r="AB79" s="190">
        <v>1060334</v>
      </c>
      <c r="AC79" s="42"/>
      <c r="AD79" s="17"/>
      <c r="AE79" s="17"/>
      <c r="AF79" s="18"/>
      <c r="AG79" s="8"/>
      <c r="AH79" s="19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</row>
    <row r="80" spans="1:257" ht="16.5" customHeight="1" x14ac:dyDescent="0.3">
      <c r="A80" s="149" t="s">
        <v>92</v>
      </c>
      <c r="B80" s="119"/>
      <c r="C80" s="59" t="s">
        <v>53</v>
      </c>
      <c r="D80" s="60"/>
      <c r="E80" s="60"/>
      <c r="F80" s="60"/>
      <c r="G80" s="60"/>
      <c r="H80" s="60"/>
      <c r="I80" s="60"/>
      <c r="J80" s="60"/>
      <c r="K80" s="60"/>
      <c r="L80" s="60"/>
      <c r="M80" s="215"/>
      <c r="N80" s="60"/>
      <c r="O80" s="60"/>
      <c r="P80" s="226">
        <f>SUM(P53:P79)</f>
        <v>378162574509.52997</v>
      </c>
      <c r="Q80" s="118">
        <f>(P80/$P$148)</f>
        <v>0.29051034943678616</v>
      </c>
      <c r="R80" s="61">
        <f>SUM(R53:R79)</f>
        <v>385299942936.25</v>
      </c>
      <c r="S80" s="118">
        <f>(R80/$R$148)</f>
        <v>0.28996062504693437</v>
      </c>
      <c r="T80" s="62">
        <f t="shared" si="25"/>
        <v>1.8873809593604206E-2</v>
      </c>
      <c r="U80" s="76"/>
      <c r="V80" s="63"/>
      <c r="W80" s="64"/>
      <c r="X80" s="64"/>
      <c r="Y80" s="60"/>
      <c r="Z80" s="60"/>
      <c r="AA80" s="65">
        <f>SUM(AA53:AA79)</f>
        <v>43312</v>
      </c>
      <c r="AB80" s="145">
        <v>0</v>
      </c>
      <c r="AC80" s="41"/>
      <c r="AD80" s="120"/>
      <c r="AE80" s="120"/>
      <c r="AF80" s="121"/>
      <c r="AG80" s="122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</row>
    <row r="81" spans="1:257" ht="16.5" customHeight="1" x14ac:dyDescent="0.3">
      <c r="A81" s="240" t="s">
        <v>180</v>
      </c>
      <c r="B81" s="238"/>
      <c r="C81" s="238"/>
      <c r="D81" s="70"/>
      <c r="E81" s="70"/>
      <c r="F81" s="70"/>
      <c r="G81" s="70"/>
      <c r="H81" s="70"/>
      <c r="I81" s="70"/>
      <c r="J81" s="70"/>
      <c r="K81" s="70"/>
      <c r="L81" s="70"/>
      <c r="M81" s="214"/>
      <c r="N81" s="70"/>
      <c r="O81" s="70"/>
      <c r="P81" s="70">
        <v>0</v>
      </c>
      <c r="Q81" s="48"/>
      <c r="R81" s="70">
        <v>0</v>
      </c>
      <c r="S81" s="48"/>
      <c r="T81" s="48"/>
      <c r="U81" s="48"/>
      <c r="V81" s="71"/>
      <c r="W81" s="72"/>
      <c r="X81" s="72"/>
      <c r="Y81" s="70"/>
      <c r="Z81" s="70"/>
      <c r="AA81" s="70"/>
      <c r="AB81" s="150"/>
      <c r="AC81" s="41"/>
      <c r="AD81" s="120"/>
      <c r="AE81" s="120"/>
      <c r="AF81" s="121"/>
      <c r="AG81" s="122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</row>
    <row r="82" spans="1:257" ht="16.5" customHeight="1" x14ac:dyDescent="0.3">
      <c r="A82" s="244" t="s">
        <v>179</v>
      </c>
      <c r="B82" s="245"/>
      <c r="C82" s="245"/>
      <c r="D82" s="123"/>
      <c r="E82" s="123"/>
      <c r="F82" s="123"/>
      <c r="G82" s="123"/>
      <c r="H82" s="123"/>
      <c r="I82" s="123"/>
      <c r="J82" s="123"/>
      <c r="K82" s="123"/>
      <c r="L82" s="123"/>
      <c r="M82" s="216"/>
      <c r="N82" s="123"/>
      <c r="O82" s="123"/>
      <c r="P82" s="123"/>
      <c r="Q82" s="124"/>
      <c r="R82" s="123"/>
      <c r="S82" s="124"/>
      <c r="T82" s="124"/>
      <c r="U82" s="125"/>
      <c r="V82" s="126"/>
      <c r="W82" s="127"/>
      <c r="X82" s="127"/>
      <c r="Y82" s="123"/>
      <c r="Z82" s="123"/>
      <c r="AA82" s="123"/>
      <c r="AB82" s="153"/>
      <c r="AC82" s="41"/>
      <c r="AD82" s="120"/>
      <c r="AE82" s="120"/>
      <c r="AF82" s="121"/>
      <c r="AG82" s="122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</row>
    <row r="83" spans="1:257" ht="16.5" customHeight="1" x14ac:dyDescent="0.3">
      <c r="A83" s="234" t="s">
        <v>206</v>
      </c>
      <c r="B83" s="116" t="s">
        <v>182</v>
      </c>
      <c r="C83" s="83" t="s">
        <v>209</v>
      </c>
      <c r="D83" s="44"/>
      <c r="E83" s="44"/>
      <c r="F83" s="192"/>
      <c r="G83" s="44"/>
      <c r="H83" s="53"/>
      <c r="I83" s="73"/>
      <c r="J83" s="52"/>
      <c r="K83" s="52"/>
      <c r="L83" s="52"/>
      <c r="M83" s="217"/>
      <c r="N83" s="44"/>
      <c r="O83" s="104"/>
      <c r="P83" s="225"/>
      <c r="Q83" s="187">
        <f t="shared" ref="Q83:Q90" si="34">(P83/$P$100)</f>
        <v>0</v>
      </c>
      <c r="R83" s="46"/>
      <c r="S83" s="47">
        <f t="shared" ref="S83:S90" si="35">(R83/$R$100)</f>
        <v>0</v>
      </c>
      <c r="T83" s="48" t="e">
        <f t="shared" ref="T83:T88" si="36">((R83-P83)/P83)</f>
        <v>#DIV/0!</v>
      </c>
      <c r="U83" s="84" t="e">
        <f t="shared" ref="U83:U88" si="37">(L83/R83)</f>
        <v>#DIV/0!</v>
      </c>
      <c r="V83" s="49" t="e">
        <f t="shared" ref="V83:V88" si="38">M83/R83</f>
        <v>#DIV/0!</v>
      </c>
      <c r="W83" s="50" t="e">
        <f t="shared" ref="W83:W88" si="39">R83/AB83</f>
        <v>#DIV/0!</v>
      </c>
      <c r="X83" s="50" t="e">
        <f>M83/AB83</f>
        <v>#DIV/0!</v>
      </c>
      <c r="Y83" s="44"/>
      <c r="Z83" s="52"/>
      <c r="AA83" s="51">
        <v>0</v>
      </c>
      <c r="AB83" s="145">
        <v>0</v>
      </c>
      <c r="AC83" s="10"/>
      <c r="AD83" s="10"/>
      <c r="AE83" s="10"/>
      <c r="AF83" s="11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 x14ac:dyDescent="0.3">
      <c r="A84" s="234" t="s">
        <v>207</v>
      </c>
      <c r="B84" s="116" t="s">
        <v>182</v>
      </c>
      <c r="C84" s="83" t="s">
        <v>208</v>
      </c>
      <c r="D84" s="53"/>
      <c r="E84" s="44"/>
      <c r="F84" s="192">
        <v>2360551989.5300002</v>
      </c>
      <c r="G84" s="44">
        <v>6307704457.8199997</v>
      </c>
      <c r="H84" s="53"/>
      <c r="I84" s="73"/>
      <c r="J84" s="52">
        <v>8666061633.5499992</v>
      </c>
      <c r="K84" s="52">
        <v>150467731.63999999</v>
      </c>
      <c r="L84" s="52">
        <v>12078565.23</v>
      </c>
      <c r="M84" s="217">
        <v>138389166.40000001</v>
      </c>
      <c r="N84" s="44">
        <v>8721874017.5599995</v>
      </c>
      <c r="O84" s="104">
        <v>55812384.009999998</v>
      </c>
      <c r="P84" s="225">
        <v>8425958788.29</v>
      </c>
      <c r="Q84" s="47">
        <f t="shared" si="34"/>
        <v>3.2464544751070384E-2</v>
      </c>
      <c r="R84" s="46">
        <v>8666061633.5499992</v>
      </c>
      <c r="S84" s="47">
        <f t="shared" si="35"/>
        <v>3.3684703219921577E-2</v>
      </c>
      <c r="T84" s="48">
        <f t="shared" si="36"/>
        <v>2.8495611157472414E-2</v>
      </c>
      <c r="U84" s="84">
        <f t="shared" si="37"/>
        <v>1.3937779052065303E-3</v>
      </c>
      <c r="V84" s="49">
        <f t="shared" si="38"/>
        <v>1.5969095565191559E-2</v>
      </c>
      <c r="W84" s="50">
        <f t="shared" si="39"/>
        <v>51000.089179195114</v>
      </c>
      <c r="X84" s="50">
        <f t="shared" ref="X84:X88" si="40">M84/AB84</f>
        <v>814.42529793585868</v>
      </c>
      <c r="Y84" s="52">
        <v>122.6</v>
      </c>
      <c r="Z84" s="44">
        <v>122.6</v>
      </c>
      <c r="AA84" s="51">
        <v>1688</v>
      </c>
      <c r="AB84" s="145">
        <v>169922.48</v>
      </c>
      <c r="AC84" s="25"/>
      <c r="AD84" s="20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</row>
    <row r="85" spans="1:257" ht="16.5" customHeight="1" x14ac:dyDescent="0.3">
      <c r="A85" s="143">
        <v>74</v>
      </c>
      <c r="B85" s="116" t="s">
        <v>34</v>
      </c>
      <c r="C85" s="83" t="s">
        <v>200</v>
      </c>
      <c r="D85" s="53"/>
      <c r="E85" s="44"/>
      <c r="F85" s="52"/>
      <c r="G85" s="44">
        <f>416.26*124806719</f>
        <v>51952044850.940002</v>
      </c>
      <c r="H85" s="44"/>
      <c r="I85" s="52"/>
      <c r="J85" s="44">
        <f>416.26*124806719</f>
        <v>51952044850.940002</v>
      </c>
      <c r="K85" s="52">
        <f>416.26*897020</f>
        <v>373393545.19999999</v>
      </c>
      <c r="L85" s="52">
        <f>416.26*256634</f>
        <v>106826468.84</v>
      </c>
      <c r="M85" s="217">
        <f>416.26*640386</f>
        <v>266567076.35999998</v>
      </c>
      <c r="N85" s="52">
        <f>416.26*133231469</f>
        <v>55458931285.940002</v>
      </c>
      <c r="O85" s="52">
        <f>416.26*565089</f>
        <v>235223947.13999999</v>
      </c>
      <c r="P85" s="225">
        <f>413.49*153165687</f>
        <v>63332479917.630005</v>
      </c>
      <c r="Q85" s="187">
        <f t="shared" si="34"/>
        <v>0.24401497564165409</v>
      </c>
      <c r="R85" s="46">
        <f>416.26*132666380</f>
        <v>55223707338.799995</v>
      </c>
      <c r="S85" s="47">
        <f t="shared" si="35"/>
        <v>0.214652776667279</v>
      </c>
      <c r="T85" s="48">
        <f>((R85-P85)/P85)</f>
        <v>-0.12803497651404538</v>
      </c>
      <c r="U85" s="84">
        <f>(L85/R85)</f>
        <v>1.9344313156053556E-3</v>
      </c>
      <c r="V85" s="49">
        <f>M85/R85</f>
        <v>4.8270405810424619E-3</v>
      </c>
      <c r="W85" s="50">
        <f>R85/AB85</f>
        <v>51436.202563068451</v>
      </c>
      <c r="X85" s="50">
        <f>M85/AB85</f>
        <v>248.2846371066517</v>
      </c>
      <c r="Y85" s="52">
        <f>416.26*123.57</f>
        <v>51437.248199999995</v>
      </c>
      <c r="Z85" s="52">
        <f>416.26*123.57</f>
        <v>51437.248199999995</v>
      </c>
      <c r="AA85" s="51">
        <v>1022</v>
      </c>
      <c r="AB85" s="145">
        <v>1073635</v>
      </c>
      <c r="AC85" s="25"/>
      <c r="AD85" s="20"/>
      <c r="AE85" s="12"/>
      <c r="AF85" s="12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</row>
    <row r="86" spans="1:257" ht="16.5" customHeight="1" x14ac:dyDescent="0.3">
      <c r="A86" s="143">
        <v>75</v>
      </c>
      <c r="B86" s="116" t="s">
        <v>183</v>
      </c>
      <c r="C86" s="83" t="s">
        <v>95</v>
      </c>
      <c r="D86" s="53"/>
      <c r="E86" s="44"/>
      <c r="F86" s="44">
        <f>416.26*1792815.59</f>
        <v>746277417.49339998</v>
      </c>
      <c r="G86" s="44">
        <f>416.26*11730433.19</f>
        <v>4882910119.6693993</v>
      </c>
      <c r="H86" s="44"/>
      <c r="I86" s="52"/>
      <c r="J86" s="44">
        <f>416.26*13550060.54</f>
        <v>5640348200.3803997</v>
      </c>
      <c r="K86" s="44">
        <f>416.26*76846.28</f>
        <v>31988032.512800001</v>
      </c>
      <c r="L86" s="44">
        <f>416.26*21351.67</f>
        <v>8887846.1541999988</v>
      </c>
      <c r="M86" s="194">
        <v>23100186.359999999</v>
      </c>
      <c r="N86" s="44">
        <f>416.26*13551924.43</f>
        <v>5641124063.2318001</v>
      </c>
      <c r="O86" s="44">
        <f>416.26*21352</f>
        <v>8887983.5199999996</v>
      </c>
      <c r="P86" s="225">
        <v>5504939178.1700001</v>
      </c>
      <c r="Q86" s="47">
        <f t="shared" si="34"/>
        <v>2.121009000779718E-2</v>
      </c>
      <c r="R86" s="46">
        <f>416.26*13530572.71</f>
        <v>5632236196.2645998</v>
      </c>
      <c r="S86" s="47">
        <f t="shared" si="35"/>
        <v>2.1892321190191594E-2</v>
      </c>
      <c r="T86" s="48">
        <f t="shared" si="36"/>
        <v>2.3124146148498757E-2</v>
      </c>
      <c r="U86" s="84">
        <f t="shared" si="37"/>
        <v>1.5780315037381739E-3</v>
      </c>
      <c r="V86" s="49">
        <f t="shared" si="38"/>
        <v>4.1014235829314929E-3</v>
      </c>
      <c r="W86" s="50">
        <f t="shared" si="39"/>
        <v>4406.9154030293139</v>
      </c>
      <c r="X86" s="50">
        <f t="shared" si="40"/>
        <v>18.074626761968474</v>
      </c>
      <c r="Y86" s="207">
        <f>416.26*1.21</f>
        <v>503.6746</v>
      </c>
      <c r="Z86" s="207">
        <f>416.26*1.21</f>
        <v>503.6746</v>
      </c>
      <c r="AA86" s="198">
        <v>120</v>
      </c>
      <c r="AB86" s="197">
        <v>1278045</v>
      </c>
      <c r="AC86" s="13"/>
      <c r="AD86" s="21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 x14ac:dyDescent="0.3">
      <c r="A87" s="143">
        <v>76</v>
      </c>
      <c r="B87" s="116" t="s">
        <v>47</v>
      </c>
      <c r="C87" s="83" t="s">
        <v>96</v>
      </c>
      <c r="D87" s="53"/>
      <c r="E87" s="44"/>
      <c r="F87" s="52"/>
      <c r="G87" s="44">
        <v>661908402.10000002</v>
      </c>
      <c r="H87" s="44"/>
      <c r="I87" s="52"/>
      <c r="J87" s="52">
        <v>661908402.10000002</v>
      </c>
      <c r="K87" s="52">
        <v>2720067.87</v>
      </c>
      <c r="L87" s="52">
        <v>757916.88</v>
      </c>
      <c r="M87" s="217">
        <v>1962150.99</v>
      </c>
      <c r="N87" s="44">
        <v>669847405.39999998</v>
      </c>
      <c r="O87" s="52">
        <v>13373746.83</v>
      </c>
      <c r="P87" s="225">
        <v>651829461.36000001</v>
      </c>
      <c r="Q87" s="47">
        <f t="shared" si="34"/>
        <v>2.5114467385951213E-3</v>
      </c>
      <c r="R87" s="46">
        <v>656473658.60000002</v>
      </c>
      <c r="S87" s="47">
        <f t="shared" si="35"/>
        <v>2.5516920253633845E-3</v>
      </c>
      <c r="T87" s="48">
        <f t="shared" si="36"/>
        <v>7.1248654982703488E-3</v>
      </c>
      <c r="U87" s="84">
        <f t="shared" si="37"/>
        <v>1.1545274819043591E-3</v>
      </c>
      <c r="V87" s="49">
        <f t="shared" si="38"/>
        <v>2.9889257006663387E-3</v>
      </c>
      <c r="W87" s="50">
        <f t="shared" si="39"/>
        <v>47153.689024565436</v>
      </c>
      <c r="X87" s="50">
        <f t="shared" si="40"/>
        <v>140.93887300675189</v>
      </c>
      <c r="Y87" s="52">
        <v>114.7255</v>
      </c>
      <c r="Z87" s="52">
        <v>117.06270000000001</v>
      </c>
      <c r="AA87" s="51">
        <v>30</v>
      </c>
      <c r="AB87" s="145">
        <v>13922</v>
      </c>
      <c r="AC87" s="13"/>
      <c r="AD87" s="4"/>
      <c r="AE87" s="4"/>
      <c r="AF87" s="4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 x14ac:dyDescent="0.3">
      <c r="A88" s="143">
        <v>77</v>
      </c>
      <c r="B88" s="116" t="s">
        <v>32</v>
      </c>
      <c r="C88" s="83" t="s">
        <v>97</v>
      </c>
      <c r="D88" s="53"/>
      <c r="E88" s="53"/>
      <c r="F88" s="53"/>
      <c r="G88" s="45">
        <v>740772995.57000005</v>
      </c>
      <c r="H88" s="53"/>
      <c r="I88" s="53"/>
      <c r="J88" s="45">
        <v>740772995.57000005</v>
      </c>
      <c r="K88" s="45">
        <v>5371940.4000000004</v>
      </c>
      <c r="L88" s="45">
        <v>1464813.04</v>
      </c>
      <c r="M88" s="217">
        <v>3907127.36</v>
      </c>
      <c r="N88" s="44">
        <v>741039962.07000005</v>
      </c>
      <c r="O88" s="52">
        <v>14835620.289999999</v>
      </c>
      <c r="P88" s="225">
        <v>753188974.54999995</v>
      </c>
      <c r="Q88" s="47">
        <f t="shared" si="34"/>
        <v>2.9019768295417531E-3</v>
      </c>
      <c r="R88" s="46">
        <v>726204341.77999997</v>
      </c>
      <c r="S88" s="47">
        <f t="shared" si="35"/>
        <v>2.8227329511683955E-3</v>
      </c>
      <c r="T88" s="48">
        <f t="shared" si="36"/>
        <v>-3.5827174430058818E-2</v>
      </c>
      <c r="U88" s="84">
        <f t="shared" si="37"/>
        <v>2.017081082728858E-3</v>
      </c>
      <c r="V88" s="49">
        <f t="shared" si="38"/>
        <v>5.38020380107235E-3</v>
      </c>
      <c r="W88" s="50">
        <f t="shared" si="39"/>
        <v>42105.710199412431</v>
      </c>
      <c r="X88" s="50">
        <f t="shared" si="40"/>
        <v>226.53730206172958</v>
      </c>
      <c r="Y88" s="52">
        <v>101.396</v>
      </c>
      <c r="Z88" s="52">
        <v>101.396</v>
      </c>
      <c r="AA88" s="51">
        <v>180</v>
      </c>
      <c r="AB88" s="145">
        <v>17247.169999999998</v>
      </c>
      <c r="AC88" s="3"/>
      <c r="AD88" s="9"/>
      <c r="AE88" s="9"/>
      <c r="AF88" s="9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 x14ac:dyDescent="0.3">
      <c r="A89" s="143">
        <v>78</v>
      </c>
      <c r="B89" s="117" t="s">
        <v>36</v>
      </c>
      <c r="C89" s="83" t="s">
        <v>98</v>
      </c>
      <c r="D89" s="53"/>
      <c r="E89" s="44"/>
      <c r="F89" s="52"/>
      <c r="G89" s="44">
        <f>1119457.25*416.26</f>
        <v>465985274.88499999</v>
      </c>
      <c r="H89" s="44"/>
      <c r="I89" s="52"/>
      <c r="J89" s="52">
        <v>465985274.88999999</v>
      </c>
      <c r="K89" s="52">
        <f>45889.36*416.27</f>
        <v>19102363.887199998</v>
      </c>
      <c r="L89" s="52">
        <f>35044.06*416.28</f>
        <v>14588141.296799999</v>
      </c>
      <c r="M89" s="218">
        <v>-7189328.2999999998</v>
      </c>
      <c r="N89" s="52">
        <f>15258418*416.3</f>
        <v>6352079413.4000006</v>
      </c>
      <c r="O89" s="52">
        <f>26429*416.31</f>
        <v>11002656.99</v>
      </c>
      <c r="P89" s="225">
        <f>413.49*15572439</f>
        <v>6439047802.1100006</v>
      </c>
      <c r="Q89" s="187">
        <f t="shared" si="34"/>
        <v>2.480913576463209E-2</v>
      </c>
      <c r="R89" s="46">
        <v>6341228924.2799997</v>
      </c>
      <c r="S89" s="47">
        <f t="shared" si="35"/>
        <v>2.4648153151485656E-2</v>
      </c>
      <c r="T89" s="48">
        <f>((R89-P89)/P89)</f>
        <v>-1.5191512912506531E-2</v>
      </c>
      <c r="U89" s="84">
        <f>(L89/R89)</f>
        <v>2.3005227332107987E-3</v>
      </c>
      <c r="V89" s="49">
        <f>M89/R89</f>
        <v>-1.1337436931937125E-3</v>
      </c>
      <c r="W89" s="50">
        <f>R89/AB89</f>
        <v>705.45850358084306</v>
      </c>
      <c r="X89" s="50">
        <f>M89/AB89</f>
        <v>-0.79980912924465486</v>
      </c>
      <c r="Y89" s="52">
        <f>1.0776*416.26</f>
        <v>448.56177599999995</v>
      </c>
      <c r="Z89" s="44">
        <f>1.083*416.26</f>
        <v>450.80957999999998</v>
      </c>
      <c r="AA89" s="51">
        <v>456</v>
      </c>
      <c r="AB89" s="145">
        <v>8988805</v>
      </c>
      <c r="AC89" s="10"/>
      <c r="AD89" s="10"/>
      <c r="AE89" s="10"/>
      <c r="AF89" s="11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16.5" customHeight="1" x14ac:dyDescent="0.3">
      <c r="A90" s="143">
        <v>79</v>
      </c>
      <c r="B90" s="117" t="s">
        <v>162</v>
      </c>
      <c r="C90" s="116" t="s">
        <v>165</v>
      </c>
      <c r="D90" s="53"/>
      <c r="E90" s="44"/>
      <c r="F90" s="52"/>
      <c r="G90" s="44">
        <v>732283434.79999995</v>
      </c>
      <c r="H90" s="44"/>
      <c r="I90" s="52">
        <f>SUM(J90-G90)</f>
        <v>62576719.620000005</v>
      </c>
      <c r="J90" s="52">
        <v>794860154.41999996</v>
      </c>
      <c r="K90" s="52">
        <v>4013150.17</v>
      </c>
      <c r="L90" s="52">
        <v>1496821.01</v>
      </c>
      <c r="M90" s="217">
        <v>2516329.16</v>
      </c>
      <c r="N90" s="44">
        <v>794860154.41999996</v>
      </c>
      <c r="O90" s="52">
        <v>777199920.14999998</v>
      </c>
      <c r="P90" s="225">
        <v>776951026.19000006</v>
      </c>
      <c r="Q90" s="47">
        <f t="shared" si="34"/>
        <v>2.9935301124650112E-3</v>
      </c>
      <c r="R90" s="46">
        <v>793363333.40999997</v>
      </c>
      <c r="S90" s="47">
        <f t="shared" si="35"/>
        <v>3.083777794520039E-3</v>
      </c>
      <c r="T90" s="48">
        <f t="shared" ref="T90" si="41">((R90-P90)/P90)</f>
        <v>2.1123991946419476E-2</v>
      </c>
      <c r="U90" s="84">
        <f t="shared" ref="U90" si="42">(L90/R90)</f>
        <v>1.8866778271267324E-3</v>
      </c>
      <c r="V90" s="49">
        <f t="shared" ref="V90" si="43">M90/R90</f>
        <v>3.1717235395596404E-3</v>
      </c>
      <c r="W90" s="50">
        <f t="shared" ref="W90" si="44">R90/AB90</f>
        <v>42829.983097732344</v>
      </c>
      <c r="X90" s="50">
        <f t="shared" ref="X90" si="45">M90/AB90</f>
        <v>135.8448655900192</v>
      </c>
      <c r="Y90" s="52">
        <v>101.12</v>
      </c>
      <c r="Z90" s="52">
        <v>101.12</v>
      </c>
      <c r="AA90" s="51">
        <v>34</v>
      </c>
      <c r="AB90" s="145">
        <v>18523.55</v>
      </c>
      <c r="AC90" s="13"/>
      <c r="AD90" s="4"/>
      <c r="AE90" s="4"/>
      <c r="AF90" s="4"/>
      <c r="AG90" s="5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6" customHeight="1" x14ac:dyDescent="0.3">
      <c r="A91" s="143"/>
      <c r="B91" s="117"/>
      <c r="C91" s="83"/>
      <c r="D91" s="101"/>
      <c r="E91" s="101"/>
      <c r="F91" s="101"/>
      <c r="G91" s="101"/>
      <c r="H91" s="101"/>
      <c r="I91" s="78"/>
      <c r="J91" s="80"/>
      <c r="K91" s="80"/>
      <c r="L91" s="80"/>
      <c r="M91" s="217"/>
      <c r="N91" s="44"/>
      <c r="O91" s="44"/>
      <c r="P91" s="225"/>
      <c r="Q91" s="47"/>
      <c r="R91" s="54"/>
      <c r="S91" s="47"/>
      <c r="T91" s="48"/>
      <c r="U91" s="84"/>
      <c r="V91" s="49"/>
      <c r="W91" s="50"/>
      <c r="X91" s="50"/>
      <c r="Y91" s="44"/>
      <c r="Z91" s="44"/>
      <c r="AA91" s="51"/>
      <c r="AB91" s="144"/>
      <c r="AC91" s="13"/>
      <c r="AD91" s="4"/>
      <c r="AE91" s="4"/>
      <c r="AF91" s="4"/>
      <c r="AG91" s="5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</row>
    <row r="92" spans="1:257" ht="16.5" customHeight="1" x14ac:dyDescent="0.3">
      <c r="A92" s="244" t="s">
        <v>181</v>
      </c>
      <c r="B92" s="245"/>
      <c r="C92" s="245"/>
      <c r="D92" s="123"/>
      <c r="E92" s="123"/>
      <c r="F92" s="123"/>
      <c r="G92" s="123"/>
      <c r="H92" s="123"/>
      <c r="I92" s="123"/>
      <c r="J92" s="123"/>
      <c r="K92" s="123"/>
      <c r="L92" s="123"/>
      <c r="M92" s="216"/>
      <c r="N92" s="123"/>
      <c r="O92" s="123"/>
      <c r="P92" s="123"/>
      <c r="Q92" s="124"/>
      <c r="R92" s="123"/>
      <c r="S92" s="124"/>
      <c r="T92" s="124"/>
      <c r="U92" s="125"/>
      <c r="V92" s="126"/>
      <c r="W92" s="127"/>
      <c r="X92" s="127"/>
      <c r="Y92" s="123"/>
      <c r="Z92" s="123"/>
      <c r="AA92" s="123"/>
      <c r="AB92" s="153"/>
      <c r="AC92" s="13"/>
      <c r="AD92" s="4"/>
      <c r="AE92" s="4"/>
      <c r="AF92" s="4"/>
      <c r="AG92" s="5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</row>
    <row r="93" spans="1:257" ht="16.5" customHeight="1" x14ac:dyDescent="0.3">
      <c r="A93" s="143">
        <v>80</v>
      </c>
      <c r="B93" s="116" t="s">
        <v>24</v>
      </c>
      <c r="C93" s="116" t="s">
        <v>112</v>
      </c>
      <c r="D93" s="78"/>
      <c r="E93" s="78"/>
      <c r="F93" s="78">
        <f>120235199.47*416.3</f>
        <v>50053913539.361</v>
      </c>
      <c r="G93" s="78">
        <f>279128563.62*416.29</f>
        <v>116198429749.36981</v>
      </c>
      <c r="H93" s="78"/>
      <c r="I93" s="78"/>
      <c r="J93" s="78">
        <f>399363763.09*416.29</f>
        <v>166251140936.73608</v>
      </c>
      <c r="K93" s="78">
        <f>2343082.98*416.3</f>
        <v>975425444.574</v>
      </c>
      <c r="L93" s="78">
        <f>603291.21*416.31</f>
        <v>251156163.63509998</v>
      </c>
      <c r="M93" s="218">
        <v>724310109.69000006</v>
      </c>
      <c r="N93" s="78">
        <f>406090417.68*416.33</f>
        <v>169067623592.71439</v>
      </c>
      <c r="O93" s="78">
        <f>801559.67*416.34</f>
        <v>333721353.00779998</v>
      </c>
      <c r="P93" s="225">
        <f>413.49*395269967.63</f>
        <v>163440178915.3287</v>
      </c>
      <c r="Q93" s="47">
        <f t="shared" ref="Q93:Q99" si="46">(P93/$P$100)</f>
        <v>0.62972192670746052</v>
      </c>
      <c r="R93" s="54">
        <f>405288858.01*416.34</f>
        <v>168737963143.88339</v>
      </c>
      <c r="S93" s="47">
        <f t="shared" ref="S93:S99" si="47">(R93/$R$100)</f>
        <v>0.65587904295891875</v>
      </c>
      <c r="T93" s="48">
        <f>((R93-P93)/P93)</f>
        <v>3.2414209674227291E-2</v>
      </c>
      <c r="U93" s="84">
        <f>(L93/R93)</f>
        <v>1.4884389911767415E-3</v>
      </c>
      <c r="V93" s="49">
        <f>M93/R93</f>
        <v>4.2925142403928305E-3</v>
      </c>
      <c r="W93" s="50">
        <f>R93/AB93</f>
        <v>540.05967439700066</v>
      </c>
      <c r="X93" s="50">
        <f>M93/AB93</f>
        <v>2.3182138430110406</v>
      </c>
      <c r="Y93" s="44">
        <f>1.2972*416.34</f>
        <v>540.07624799999996</v>
      </c>
      <c r="Z93" s="44">
        <f>1.2972*416.34</f>
        <v>540.07624799999996</v>
      </c>
      <c r="AA93" s="68">
        <v>3803</v>
      </c>
      <c r="AB93" s="151">
        <v>312443182.00999999</v>
      </c>
      <c r="AC93" s="13"/>
      <c r="AD93" s="4"/>
      <c r="AE93" s="4"/>
      <c r="AF93" s="4"/>
      <c r="AG93" s="5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</row>
    <row r="94" spans="1:257" ht="16.5" customHeight="1" x14ac:dyDescent="0.3">
      <c r="A94" s="143">
        <v>81</v>
      </c>
      <c r="B94" s="117" t="s">
        <v>45</v>
      </c>
      <c r="C94" s="82" t="s">
        <v>115</v>
      </c>
      <c r="D94" s="78"/>
      <c r="E94" s="78"/>
      <c r="F94" s="78">
        <f>416.26*3543101.33</f>
        <v>1474851359.6257999</v>
      </c>
      <c r="G94" s="78">
        <f>416.26*485133.64</f>
        <v>201941728.98640001</v>
      </c>
      <c r="H94" s="78"/>
      <c r="I94" s="78"/>
      <c r="J94" s="78">
        <f>416.26*4028234.97</f>
        <v>1676793088.6122</v>
      </c>
      <c r="K94" s="78">
        <f>416.26*22929.69</f>
        <v>9544712.7593999989</v>
      </c>
      <c r="L94" s="78">
        <f>416.26*197.1</f>
        <v>82044.84599999999</v>
      </c>
      <c r="M94" s="218">
        <f>416.26*14732.59</f>
        <v>6132587.9134</v>
      </c>
      <c r="N94" s="78">
        <f>416.26*4143819.75</f>
        <v>1724906409.135</v>
      </c>
      <c r="O94" s="78">
        <f>416.26*43113.21</f>
        <v>17946304.794599999</v>
      </c>
      <c r="P94" s="225">
        <f>413.49*3944856.81</f>
        <v>1631158842.3669</v>
      </c>
      <c r="Q94" s="47">
        <f t="shared" si="46"/>
        <v>6.284724452690002E-3</v>
      </c>
      <c r="R94" s="54">
        <f>416.26*4100706.54</f>
        <v>1706960104.3404</v>
      </c>
      <c r="S94" s="47">
        <f t="shared" si="47"/>
        <v>6.6348990988423029E-3</v>
      </c>
      <c r="T94" s="48">
        <f>((R94-P94)/P94)</f>
        <v>4.6470803458667623E-2</v>
      </c>
      <c r="U94" s="84">
        <f>(L94/R94)</f>
        <v>4.8064887861982922E-5</v>
      </c>
      <c r="V94" s="49">
        <f>M94/R94</f>
        <v>3.5926955163194879E-3</v>
      </c>
      <c r="W94" s="50">
        <f>R94/AB94</f>
        <v>450.5182426504208</v>
      </c>
      <c r="X94" s="50">
        <f>M94/AB94</f>
        <v>1.6185748703903018</v>
      </c>
      <c r="Y94" s="44">
        <f>416.26*1.07</f>
        <v>445.39820000000003</v>
      </c>
      <c r="Z94" s="44">
        <f>416.26*1.07</f>
        <v>445.39820000000003</v>
      </c>
      <c r="AA94" s="68">
        <v>256</v>
      </c>
      <c r="AB94" s="151">
        <v>3788881.21</v>
      </c>
      <c r="AC94" s="13"/>
      <c r="AD94" s="4"/>
      <c r="AE94" s="4"/>
      <c r="AF94" s="4"/>
      <c r="AG94" s="5"/>
      <c r="AH94" s="6"/>
      <c r="AI94" s="6"/>
      <c r="AJ94" s="6"/>
      <c r="AK94" s="7"/>
      <c r="AL94" s="5"/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 x14ac:dyDescent="0.3">
      <c r="A95" s="143">
        <v>82</v>
      </c>
      <c r="B95" s="116" t="s">
        <v>66</v>
      </c>
      <c r="C95" s="83" t="s">
        <v>121</v>
      </c>
      <c r="D95" s="78"/>
      <c r="E95" s="78"/>
      <c r="F95" s="78"/>
      <c r="G95" s="78">
        <f>416.26*9612159.69</f>
        <v>4001157592.5593996</v>
      </c>
      <c r="H95" s="78"/>
      <c r="I95" s="78"/>
      <c r="J95" s="78">
        <v>4001157592.5599999</v>
      </c>
      <c r="K95" s="78">
        <f>416.26*60673.08</f>
        <v>25255776.2808</v>
      </c>
      <c r="L95" s="78">
        <f>416.26*17225.31</f>
        <v>7170207.5405999999</v>
      </c>
      <c r="M95" s="193">
        <f>416.26*43447.77</f>
        <v>18085568.740199998</v>
      </c>
      <c r="N95" s="78">
        <f>416.26*11065887.58</f>
        <v>4606286364.0508003</v>
      </c>
      <c r="O95" s="78">
        <f>416.26*324185.1</f>
        <v>134945289.72599998</v>
      </c>
      <c r="P95" s="225">
        <f>413.49*10714924.72</f>
        <v>4430514222.4728003</v>
      </c>
      <c r="Q95" s="47">
        <f t="shared" si="46"/>
        <v>1.7070416656394832E-2</v>
      </c>
      <c r="R95" s="54">
        <f>416.26*10741702.48</f>
        <v>4471341074.3248005</v>
      </c>
      <c r="S95" s="47">
        <f t="shared" si="47"/>
        <v>1.7379959138598623E-2</v>
      </c>
      <c r="T95" s="48">
        <f t="shared" ref="T95:T97" si="48">((R95-P95)/P95)</f>
        <v>9.2149240024814935E-3</v>
      </c>
      <c r="U95" s="84">
        <f t="shared" ref="U95:U97" si="49">(L95/R95)</f>
        <v>1.6035921709870332E-3</v>
      </c>
      <c r="V95" s="49">
        <f t="shared" ref="V95:V97" si="50">M95/R95</f>
        <v>4.0447750327190215E-3</v>
      </c>
      <c r="W95" s="50">
        <f>R95/AB95</f>
        <v>45948.034428337429</v>
      </c>
      <c r="X95" s="50">
        <f>M95/AB95</f>
        <v>185.84946245825324</v>
      </c>
      <c r="Y95" s="44">
        <f>110.91*416.26</f>
        <v>46167.3966</v>
      </c>
      <c r="Z95" s="44">
        <f>110.91*416.26</f>
        <v>46167.3966</v>
      </c>
      <c r="AA95" s="68">
        <f>SUM(507,48,31)</f>
        <v>586</v>
      </c>
      <c r="AB95" s="151">
        <v>97313</v>
      </c>
      <c r="AC95" s="13"/>
      <c r="AD95" s="4"/>
      <c r="AE95" s="4"/>
      <c r="AF95" s="4"/>
      <c r="AG95" s="5"/>
      <c r="AH95" s="6"/>
      <c r="AI95" s="6"/>
      <c r="AJ95" s="6"/>
      <c r="AK95" s="7"/>
      <c r="AL95" s="5">
        <v>413.49</v>
      </c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6.5" customHeight="1" x14ac:dyDescent="0.3">
      <c r="A96" s="143">
        <v>83</v>
      </c>
      <c r="B96" s="117" t="s">
        <v>123</v>
      </c>
      <c r="C96" s="83" t="s">
        <v>124</v>
      </c>
      <c r="D96" s="78"/>
      <c r="E96" s="78"/>
      <c r="F96" s="78"/>
      <c r="G96" s="78">
        <f>416.26*889774.46</f>
        <v>370377516.71959996</v>
      </c>
      <c r="H96" s="78"/>
      <c r="I96" s="78"/>
      <c r="J96" s="78">
        <f>416.26*889774.46</f>
        <v>370377516.71959996</v>
      </c>
      <c r="K96" s="78">
        <f>416.26*7208.12</f>
        <v>3000452.0312000001</v>
      </c>
      <c r="L96" s="78">
        <f>416.26*1716.35</f>
        <v>714447.85099999991</v>
      </c>
      <c r="M96" s="218">
        <f>416.26*5491.77</f>
        <v>2286004.1802000003</v>
      </c>
      <c r="N96" s="78">
        <f>416.26*1135553.18</f>
        <v>472685366.70679998</v>
      </c>
      <c r="O96" s="78">
        <f>416.26*39537.37</f>
        <v>16457825.636200001</v>
      </c>
      <c r="P96" s="225">
        <f>413.49*1093976.14</f>
        <v>452348194.12859994</v>
      </c>
      <c r="Q96" s="47">
        <f t="shared" si="46"/>
        <v>1.7428613835333152E-3</v>
      </c>
      <c r="R96" s="54">
        <f>416.26*1096015.81</f>
        <v>456227541.07060003</v>
      </c>
      <c r="S96" s="47">
        <f t="shared" si="47"/>
        <v>1.7733417983345663E-3</v>
      </c>
      <c r="T96" s="48">
        <f t="shared" si="48"/>
        <v>8.5760195184889261E-3</v>
      </c>
      <c r="U96" s="84">
        <f t="shared" si="49"/>
        <v>1.5659901840284582E-3</v>
      </c>
      <c r="V96" s="49">
        <f t="shared" si="50"/>
        <v>5.010666771312359E-3</v>
      </c>
      <c r="W96" s="50">
        <f>R96/AB96</f>
        <v>45171.043670356441</v>
      </c>
      <c r="X96" s="50">
        <f>M96/AB96</f>
        <v>226.33704754455448</v>
      </c>
      <c r="Y96" s="44">
        <f>416.26*108.52</f>
        <v>45172.535199999998</v>
      </c>
      <c r="Z96" s="44">
        <f>108.52*416.26</f>
        <v>45172.535199999998</v>
      </c>
      <c r="AA96" s="68">
        <v>27</v>
      </c>
      <c r="AB96" s="151">
        <v>10100</v>
      </c>
      <c r="AC96" s="3"/>
      <c r="AD96" s="9"/>
      <c r="AE96" s="4"/>
      <c r="AF96" s="4"/>
      <c r="AG96" s="5"/>
      <c r="AH96" s="6"/>
      <c r="AI96" s="6"/>
      <c r="AJ96" s="6"/>
      <c r="AK96" s="7"/>
      <c r="AL96" s="5"/>
      <c r="AM96" s="6"/>
      <c r="AN96" s="6"/>
      <c r="AO96" s="6"/>
      <c r="AP96" s="7"/>
      <c r="AQ96" s="5"/>
      <c r="AR96" s="6"/>
      <c r="AS96" s="6"/>
      <c r="AT96" s="6"/>
      <c r="AU96" s="7"/>
    </row>
    <row r="97" spans="1:257" ht="15.75" customHeight="1" x14ac:dyDescent="0.35">
      <c r="A97" s="143">
        <v>84</v>
      </c>
      <c r="B97" s="117" t="s">
        <v>83</v>
      </c>
      <c r="C97" s="83" t="s">
        <v>125</v>
      </c>
      <c r="D97" s="78"/>
      <c r="E97" s="78"/>
      <c r="F97" s="78">
        <f>416.26*1285509.44</f>
        <v>535106159.49439996</v>
      </c>
      <c r="G97" s="78">
        <f>416.26*3835118.39</f>
        <v>1596406381.0214</v>
      </c>
      <c r="H97" s="78"/>
      <c r="I97" s="78"/>
      <c r="J97" s="78">
        <f>416.26*5120627.82</f>
        <v>2131512536.3532</v>
      </c>
      <c r="K97" s="78">
        <f>416.26*23884.84</f>
        <v>9942303.498399999</v>
      </c>
      <c r="L97" s="78">
        <f>416.26*8200.56</f>
        <v>3413565.1055999999</v>
      </c>
      <c r="M97" s="218">
        <f>416.26*16214.97</f>
        <v>6749643.4121999992</v>
      </c>
      <c r="N97" s="78">
        <f>416.26*5135708.1</f>
        <v>2137789853.7059999</v>
      </c>
      <c r="O97" s="78">
        <f t="shared" ref="O97" si="51">416.26</f>
        <v>416.26</v>
      </c>
      <c r="P97" s="225">
        <f>413.49*5046326.64</f>
        <v>2086605602.3736</v>
      </c>
      <c r="Q97" s="47">
        <f t="shared" si="46"/>
        <v>8.0395243625253354E-3</v>
      </c>
      <c r="R97" s="54">
        <v>2119659424.6300001</v>
      </c>
      <c r="S97" s="47">
        <f t="shared" si="47"/>
        <v>8.2390481011064155E-3</v>
      </c>
      <c r="T97" s="48">
        <f t="shared" si="48"/>
        <v>1.5840953469500908E-2</v>
      </c>
      <c r="U97" s="84">
        <f t="shared" si="49"/>
        <v>1.6104309333542389E-3</v>
      </c>
      <c r="V97" s="49">
        <f t="shared" si="50"/>
        <v>3.1843056171055365E-3</v>
      </c>
      <c r="W97" s="50">
        <f t="shared" ref="W97" si="52">R97/AB97</f>
        <v>452.72578833505554</v>
      </c>
      <c r="X97" s="50">
        <f t="shared" ref="X97" si="53">M97/AB97</f>
        <v>1.4416172708038497</v>
      </c>
      <c r="Y97" s="44">
        <f>1.09*416.26</f>
        <v>453.72340000000003</v>
      </c>
      <c r="Z97" s="44">
        <f>1.09*416.26</f>
        <v>453.72340000000003</v>
      </c>
      <c r="AA97" s="68">
        <v>137</v>
      </c>
      <c r="AB97" s="151">
        <v>4681994</v>
      </c>
      <c r="AC97" s="37"/>
      <c r="AD97" s="10"/>
      <c r="AE97" s="13"/>
      <c r="AF97" s="4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257" ht="16.5" customHeight="1" x14ac:dyDescent="0.3">
      <c r="A98" s="143">
        <v>85</v>
      </c>
      <c r="B98" s="117" t="s">
        <v>90</v>
      </c>
      <c r="C98" s="83" t="s">
        <v>126</v>
      </c>
      <c r="D98" s="78"/>
      <c r="E98" s="78"/>
      <c r="F98" s="78"/>
      <c r="G98" s="78">
        <v>85303585</v>
      </c>
      <c r="H98" s="78"/>
      <c r="I98" s="78"/>
      <c r="J98" s="78">
        <v>85303585</v>
      </c>
      <c r="K98" s="78">
        <v>3636565.25</v>
      </c>
      <c r="L98" s="78">
        <v>39666.71</v>
      </c>
      <c r="M98" s="193">
        <v>255507.48</v>
      </c>
      <c r="N98" s="44">
        <v>103798053.29000001</v>
      </c>
      <c r="O98" s="44">
        <v>820873.43</v>
      </c>
      <c r="P98" s="225">
        <v>105524802.42</v>
      </c>
      <c r="Q98" s="47">
        <f t="shared" si="46"/>
        <v>4.0657861693709987E-4</v>
      </c>
      <c r="R98" s="54">
        <v>102974623</v>
      </c>
      <c r="S98" s="47">
        <f t="shared" si="47"/>
        <v>4.0025905210616317E-4</v>
      </c>
      <c r="T98" s="48">
        <f>((R98-P98)/P98)</f>
        <v>-2.4166635345594063E-2</v>
      </c>
      <c r="U98" s="84">
        <f>(L98/R98)</f>
        <v>3.8520859649080727E-4</v>
      </c>
      <c r="V98" s="49">
        <f>M98/R98</f>
        <v>2.4812664766930004E-3</v>
      </c>
      <c r="W98" s="50">
        <f>R98/AB98</f>
        <v>415.75</v>
      </c>
      <c r="X98" s="50">
        <f>M98/AB98</f>
        <v>1.031586537685115</v>
      </c>
      <c r="Y98" s="44">
        <v>403.34</v>
      </c>
      <c r="Z98" s="44">
        <v>403.34</v>
      </c>
      <c r="AA98" s="68">
        <v>5</v>
      </c>
      <c r="AB98" s="151">
        <v>247684</v>
      </c>
      <c r="AC98" s="25"/>
      <c r="AD98" s="22"/>
      <c r="AE98" s="4"/>
      <c r="AF98" s="4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257" ht="16.5" customHeight="1" x14ac:dyDescent="0.3">
      <c r="A99" s="143">
        <v>86</v>
      </c>
      <c r="B99" s="117" t="s">
        <v>30</v>
      </c>
      <c r="C99" s="117" t="s">
        <v>184</v>
      </c>
      <c r="D99" s="78"/>
      <c r="E99" s="78"/>
      <c r="F99" s="78"/>
      <c r="G99" s="78">
        <f>416.26*3793830.7</f>
        <v>1579219967.1820002</v>
      </c>
      <c r="H99" s="78"/>
      <c r="I99" s="78"/>
      <c r="J99" s="78">
        <f>416.26*3793830.7</f>
        <v>1579219967.1820002</v>
      </c>
      <c r="K99" s="78">
        <f>416.26*24684.2</f>
        <v>10275045.092</v>
      </c>
      <c r="L99" s="78">
        <f>416.26*7641.8</f>
        <v>3180975.6680000001</v>
      </c>
      <c r="M99" s="193">
        <f>416.26*17042.4</f>
        <v>7094069.4240000006</v>
      </c>
      <c r="N99" s="78">
        <f>416.26*3955261.3</f>
        <v>1646417068.7379999</v>
      </c>
      <c r="O99" s="78">
        <f>416.26*26129.7</f>
        <v>10876748.922</v>
      </c>
      <c r="P99" s="225">
        <f>413.49*3658343.78</f>
        <v>1512688569.5922</v>
      </c>
      <c r="Q99" s="187">
        <f t="shared" si="46"/>
        <v>5.8282679747030854E-3</v>
      </c>
      <c r="R99" s="54">
        <f>416.26*3929131.7</f>
        <v>1635540361.4420002</v>
      </c>
      <c r="S99" s="47">
        <f t="shared" si="47"/>
        <v>6.3572928521636483E-3</v>
      </c>
      <c r="T99" s="48">
        <f t="shared" ref="T99" si="54">((R99-P99)/P99)</f>
        <v>8.1214199881816551E-2</v>
      </c>
      <c r="U99" s="84">
        <f>(L99/R99)</f>
        <v>1.9449080823633373E-3</v>
      </c>
      <c r="V99" s="49">
        <f>M99/R99</f>
        <v>4.3374468715314382E-3</v>
      </c>
      <c r="W99" s="50">
        <f>R99/AB99</f>
        <v>423.37203464187576</v>
      </c>
      <c r="X99" s="50">
        <f>M99/AB99</f>
        <v>1.8363537071513034</v>
      </c>
      <c r="Y99" s="44">
        <f>416.26*1.02</f>
        <v>424.58519999999999</v>
      </c>
      <c r="Z99" s="44">
        <f>416.26*1.02</f>
        <v>424.58519999999999</v>
      </c>
      <c r="AA99" s="68">
        <v>108</v>
      </c>
      <c r="AB99" s="151">
        <v>3863128</v>
      </c>
      <c r="AC99" s="208" t="s">
        <v>204</v>
      </c>
      <c r="AD99" s="4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</row>
    <row r="100" spans="1:257" ht="16.5" customHeight="1" x14ac:dyDescent="0.3">
      <c r="A100" s="154"/>
      <c r="B100" s="105"/>
      <c r="C100" s="106" t="s">
        <v>53</v>
      </c>
      <c r="D100" s="114"/>
      <c r="E100" s="114"/>
      <c r="F100" s="114"/>
      <c r="G100" s="114"/>
      <c r="H100" s="114"/>
      <c r="I100" s="114"/>
      <c r="J100" s="114"/>
      <c r="K100" s="114"/>
      <c r="L100" s="114"/>
      <c r="M100" s="219"/>
      <c r="N100" s="114"/>
      <c r="O100" s="114"/>
      <c r="P100" s="226">
        <f>SUM(P83:P99)</f>
        <v>259543414296.98285</v>
      </c>
      <c r="Q100" s="118">
        <f>(P100/$P$148)</f>
        <v>0.19938527253582816</v>
      </c>
      <c r="R100" s="61">
        <f>SUM(R83:R99)</f>
        <v>257269941699.37576</v>
      </c>
      <c r="S100" s="118">
        <f>(R100/$R$148)</f>
        <v>0.19361059991976701</v>
      </c>
      <c r="T100" s="62">
        <f t="shared" si="25"/>
        <v>-8.7595079372950781E-3</v>
      </c>
      <c r="U100" s="76"/>
      <c r="V100" s="63"/>
      <c r="W100" s="64"/>
      <c r="X100" s="64"/>
      <c r="Y100" s="60"/>
      <c r="Z100" s="60"/>
      <c r="AA100" s="169">
        <f>SUM(AA83:AA99)</f>
        <v>8452</v>
      </c>
      <c r="AB100" s="147"/>
      <c r="AC100" s="13"/>
      <c r="AD100" s="4"/>
      <c r="AE100" s="4"/>
      <c r="AF100" s="4"/>
      <c r="AG100" s="5"/>
      <c r="AH100" s="6"/>
      <c r="AI100" s="6"/>
      <c r="AJ100" s="6"/>
      <c r="AK100" s="7"/>
      <c r="AL100" s="5"/>
      <c r="AM100" s="6"/>
      <c r="AN100" s="6"/>
      <c r="AO100" s="6"/>
      <c r="AP100" s="7"/>
      <c r="AQ100" s="5"/>
      <c r="AR100" s="6"/>
      <c r="AS100" s="6"/>
      <c r="AT100" s="6"/>
      <c r="AU100" s="7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  <c r="IG100" s="31"/>
      <c r="IH100" s="31"/>
      <c r="II100" s="31"/>
      <c r="IJ100" s="31"/>
      <c r="IK100" s="31"/>
      <c r="IL100" s="31"/>
      <c r="IM100" s="31"/>
      <c r="IN100" s="31"/>
      <c r="IO100" s="31"/>
      <c r="IP100" s="31"/>
      <c r="IQ100" s="31"/>
      <c r="IR100" s="31"/>
      <c r="IS100" s="31"/>
      <c r="IT100" s="31"/>
      <c r="IU100" s="31"/>
      <c r="IV100" s="31"/>
      <c r="IW100" s="31"/>
    </row>
    <row r="101" spans="1:257" s="96" customFormat="1" ht="16.5" customHeight="1" x14ac:dyDescent="0.3">
      <c r="A101" s="246" t="s">
        <v>127</v>
      </c>
      <c r="B101" s="247"/>
      <c r="C101" s="247"/>
      <c r="D101" s="107"/>
      <c r="E101" s="70"/>
      <c r="F101" s="70"/>
      <c r="G101" s="70"/>
      <c r="H101" s="70"/>
      <c r="I101" s="70"/>
      <c r="J101" s="70"/>
      <c r="K101" s="70"/>
      <c r="L101" s="70"/>
      <c r="M101" s="214"/>
      <c r="N101" s="70"/>
      <c r="O101" s="70"/>
      <c r="P101" s="70">
        <v>0</v>
      </c>
      <c r="Q101" s="48"/>
      <c r="R101" s="70">
        <v>0</v>
      </c>
      <c r="S101" s="48"/>
      <c r="T101" s="48"/>
      <c r="U101" s="48"/>
      <c r="V101" s="71"/>
      <c r="W101" s="72"/>
      <c r="X101" s="72"/>
      <c r="Y101" s="70"/>
      <c r="Z101" s="70"/>
      <c r="AA101" s="70"/>
      <c r="AB101" s="150"/>
      <c r="AC101" s="90"/>
      <c r="AD101" s="91"/>
      <c r="AE101" s="91"/>
      <c r="AF101" s="91"/>
      <c r="AG101" s="92"/>
      <c r="AH101" s="93"/>
      <c r="AI101" s="93"/>
      <c r="AJ101" s="93"/>
      <c r="AK101" s="94"/>
      <c r="AL101" s="92"/>
      <c r="AM101" s="93"/>
      <c r="AN101" s="93"/>
      <c r="AO101" s="93"/>
      <c r="AP101" s="94"/>
      <c r="AQ101" s="92"/>
      <c r="AR101" s="93"/>
      <c r="AS101" s="93"/>
      <c r="AT101" s="93"/>
      <c r="AU101" s="94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95"/>
      <c r="DH101" s="95"/>
      <c r="DI101" s="95"/>
      <c r="DJ101" s="95"/>
      <c r="DK101" s="95"/>
      <c r="DL101" s="95"/>
      <c r="DM101" s="95"/>
      <c r="DN101" s="95"/>
      <c r="DO101" s="95"/>
      <c r="DP101" s="95"/>
      <c r="DQ101" s="95"/>
      <c r="DR101" s="95"/>
      <c r="DS101" s="95"/>
      <c r="DT101" s="95"/>
      <c r="DU101" s="95"/>
      <c r="DV101" s="95"/>
      <c r="DW101" s="95"/>
      <c r="DX101" s="95"/>
      <c r="DY101" s="95"/>
      <c r="DZ101" s="95"/>
      <c r="EA101" s="95"/>
      <c r="EB101" s="95"/>
      <c r="EC101" s="95"/>
      <c r="ED101" s="95"/>
      <c r="EE101" s="95"/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95"/>
      <c r="ER101" s="95"/>
      <c r="ES101" s="95"/>
      <c r="ET101" s="95"/>
      <c r="EU101" s="95"/>
      <c r="EV101" s="95"/>
      <c r="EW101" s="95"/>
      <c r="EX101" s="95"/>
      <c r="EY101" s="95"/>
      <c r="EZ101" s="95"/>
      <c r="FA101" s="95"/>
      <c r="FB101" s="95"/>
      <c r="FC101" s="95"/>
      <c r="FD101" s="95"/>
      <c r="FE101" s="95"/>
      <c r="FF101" s="95"/>
      <c r="FG101" s="95"/>
      <c r="FH101" s="95"/>
      <c r="FI101" s="95"/>
      <c r="FJ101" s="95"/>
      <c r="FK101" s="95"/>
      <c r="FL101" s="95"/>
      <c r="FM101" s="95"/>
      <c r="FN101" s="95"/>
      <c r="FO101" s="95"/>
      <c r="FP101" s="95"/>
      <c r="FQ101" s="95"/>
      <c r="FR101" s="95"/>
      <c r="FS101" s="95"/>
      <c r="FT101" s="95"/>
      <c r="FU101" s="95"/>
      <c r="FV101" s="95"/>
      <c r="FW101" s="95"/>
      <c r="FX101" s="95"/>
      <c r="FY101" s="95"/>
      <c r="FZ101" s="95"/>
      <c r="GA101" s="95"/>
      <c r="GB101" s="95"/>
      <c r="GC101" s="95"/>
      <c r="GD101" s="95"/>
      <c r="GE101" s="95"/>
      <c r="GF101" s="95"/>
      <c r="GG101" s="95"/>
      <c r="GH101" s="95"/>
      <c r="GI101" s="95"/>
      <c r="GJ101" s="95"/>
      <c r="GK101" s="95"/>
      <c r="GL101" s="95"/>
      <c r="GM101" s="95"/>
      <c r="GN101" s="95"/>
      <c r="GO101" s="95"/>
      <c r="GP101" s="95"/>
      <c r="GQ101" s="95"/>
      <c r="GR101" s="95"/>
      <c r="GS101" s="95"/>
      <c r="GT101" s="95"/>
      <c r="GU101" s="95"/>
      <c r="GV101" s="95"/>
      <c r="GW101" s="95"/>
      <c r="GX101" s="95"/>
      <c r="GY101" s="95"/>
      <c r="GZ101" s="95"/>
      <c r="HA101" s="95"/>
      <c r="HB101" s="95"/>
      <c r="HC101" s="95"/>
      <c r="HD101" s="95"/>
      <c r="HE101" s="95"/>
      <c r="HF101" s="95"/>
      <c r="HG101" s="95"/>
      <c r="HH101" s="95"/>
      <c r="HI101" s="95"/>
      <c r="HJ101" s="95"/>
      <c r="HK101" s="95"/>
      <c r="HL101" s="95"/>
      <c r="HM101" s="95"/>
      <c r="HN101" s="95"/>
      <c r="HO101" s="95"/>
      <c r="HP101" s="95"/>
      <c r="HQ101" s="95"/>
      <c r="HR101" s="95"/>
      <c r="HS101" s="95"/>
      <c r="HT101" s="95"/>
      <c r="HU101" s="95"/>
      <c r="HV101" s="95"/>
      <c r="HW101" s="95"/>
      <c r="HX101" s="95"/>
      <c r="HY101" s="95"/>
      <c r="HZ101" s="95"/>
      <c r="IA101" s="95"/>
      <c r="IB101" s="95"/>
      <c r="IC101" s="95"/>
      <c r="ID101" s="95"/>
      <c r="IE101" s="95"/>
      <c r="IF101" s="95"/>
      <c r="IG101" s="95"/>
      <c r="IH101" s="95"/>
      <c r="II101" s="95"/>
      <c r="IJ101" s="95"/>
      <c r="IK101" s="95"/>
      <c r="IL101" s="95"/>
      <c r="IM101" s="95"/>
      <c r="IN101" s="95"/>
      <c r="IO101" s="95"/>
      <c r="IP101" s="95"/>
      <c r="IQ101" s="95"/>
      <c r="IR101" s="95"/>
      <c r="IS101" s="95"/>
      <c r="IT101" s="95"/>
      <c r="IU101" s="95"/>
      <c r="IV101" s="95"/>
      <c r="IW101" s="95"/>
    </row>
    <row r="102" spans="1:257" ht="16.5" customHeight="1" x14ac:dyDescent="0.3">
      <c r="A102" s="143">
        <v>87</v>
      </c>
      <c r="B102" s="116" t="s">
        <v>105</v>
      </c>
      <c r="C102" s="116" t="s">
        <v>128</v>
      </c>
      <c r="D102" s="44"/>
      <c r="E102" s="44"/>
      <c r="F102" s="74"/>
      <c r="G102" s="74" t="s">
        <v>224</v>
      </c>
      <c r="H102" s="44">
        <v>1820390000</v>
      </c>
      <c r="I102" s="97">
        <f>SUM(J102-(H102+G102))</f>
        <v>1587863.9499998093</v>
      </c>
      <c r="J102" s="74" t="s">
        <v>225</v>
      </c>
      <c r="K102" s="74" t="s">
        <v>226</v>
      </c>
      <c r="L102" s="45">
        <v>1886529.01</v>
      </c>
      <c r="M102" s="75">
        <v>16075947.289999999</v>
      </c>
      <c r="N102" s="44">
        <v>2546637470.8099999</v>
      </c>
      <c r="O102" s="44">
        <v>126979356.92</v>
      </c>
      <c r="P102" s="225">
        <v>2403582164.6999998</v>
      </c>
      <c r="Q102" s="47">
        <f>(P102/$P$106)</f>
        <v>4.7887612405842037E-2</v>
      </c>
      <c r="R102" s="54">
        <v>2419658111.9899998</v>
      </c>
      <c r="S102" s="47">
        <f>(R102/$R$106)</f>
        <v>4.8529084778178723E-2</v>
      </c>
      <c r="T102" s="48">
        <f>((R102-P102)/P102)</f>
        <v>6.6883285814389711E-3</v>
      </c>
      <c r="U102" s="84">
        <f>(L102/R102)</f>
        <v>7.7966759049627129E-4</v>
      </c>
      <c r="V102" s="49">
        <f>M102/R102</f>
        <v>6.6438920483599456E-3</v>
      </c>
      <c r="W102" s="50" t="e">
        <f>R102/AB102</f>
        <v>#VALUE!</v>
      </c>
      <c r="X102" s="50" t="e">
        <f>M102/AB102</f>
        <v>#VALUE!</v>
      </c>
      <c r="Y102" s="44" t="s">
        <v>214</v>
      </c>
      <c r="Z102" s="44" t="s">
        <v>214</v>
      </c>
      <c r="AA102" s="51">
        <v>2648</v>
      </c>
      <c r="AB102" s="145" t="s">
        <v>214</v>
      </c>
      <c r="AC102" s="13"/>
      <c r="AD102" s="4"/>
      <c r="AE102" s="4"/>
      <c r="AF102" s="4"/>
      <c r="AG102" s="5"/>
      <c r="AH102" s="6"/>
      <c r="AI102" s="6"/>
      <c r="AJ102" s="6"/>
      <c r="AK102" s="7"/>
      <c r="AL102" s="5"/>
      <c r="AM102" s="6"/>
      <c r="AN102" s="6"/>
      <c r="AO102" s="6"/>
      <c r="AP102" s="7"/>
      <c r="AQ102" s="5"/>
      <c r="AR102" s="6"/>
      <c r="AS102" s="6"/>
      <c r="AT102" s="6"/>
      <c r="AU102" s="7"/>
    </row>
    <row r="103" spans="1:257" ht="16.5" customHeight="1" x14ac:dyDescent="0.3">
      <c r="A103" s="143">
        <v>88</v>
      </c>
      <c r="B103" s="116" t="s">
        <v>105</v>
      </c>
      <c r="C103" s="83" t="s">
        <v>129</v>
      </c>
      <c r="D103" s="44"/>
      <c r="E103" s="44"/>
      <c r="F103" s="74"/>
      <c r="G103" s="74" t="s">
        <v>221</v>
      </c>
      <c r="H103" s="44">
        <v>9932058627.3999996</v>
      </c>
      <c r="I103" s="97"/>
      <c r="J103" s="74" t="s">
        <v>222</v>
      </c>
      <c r="K103" s="74" t="s">
        <v>223</v>
      </c>
      <c r="L103" s="45">
        <v>17702863.690000001</v>
      </c>
      <c r="M103" s="75">
        <v>27754635.079999998</v>
      </c>
      <c r="N103" s="44">
        <v>11184504094.799999</v>
      </c>
      <c r="O103" s="44">
        <v>1236482659.03</v>
      </c>
      <c r="P103" s="225">
        <v>9901490370</v>
      </c>
      <c r="Q103" s="47">
        <f t="shared" ref="Q103:Q105" si="55">(P103/$P$106)</f>
        <v>0.19727169723691096</v>
      </c>
      <c r="R103" s="54">
        <v>9948021436</v>
      </c>
      <c r="S103" s="47">
        <f t="shared" ref="S103:S105" si="56">(R103/$R$106)</f>
        <v>0.1995192516044095</v>
      </c>
      <c r="T103" s="48">
        <f>((R103-P103)/P103)</f>
        <v>4.6994002176664242E-3</v>
      </c>
      <c r="U103" s="84">
        <f>(L103/R103)</f>
        <v>1.7795361423264227E-3</v>
      </c>
      <c r="V103" s="49">
        <f>M103/R103</f>
        <v>2.7899653472359081E-3</v>
      </c>
      <c r="W103" s="50">
        <f>R103/AB103</f>
        <v>52.879267441506798</v>
      </c>
      <c r="X103" s="50">
        <f>M103/AB103</f>
        <v>0.14753132374902397</v>
      </c>
      <c r="Y103" s="115">
        <v>36.6</v>
      </c>
      <c r="Z103" s="115">
        <v>36.6</v>
      </c>
      <c r="AA103" s="51">
        <v>5244</v>
      </c>
      <c r="AB103" s="145">
        <v>188127066</v>
      </c>
      <c r="AC103" s="43"/>
      <c r="AD103" s="4"/>
      <c r="AE103" s="4"/>
      <c r="AF103" s="4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257" ht="16.5" customHeight="1" x14ac:dyDescent="0.3">
      <c r="A104" s="143">
        <v>89</v>
      </c>
      <c r="B104" s="117" t="s">
        <v>199</v>
      </c>
      <c r="C104" s="83" t="s">
        <v>130</v>
      </c>
      <c r="D104" s="44"/>
      <c r="E104" s="44"/>
      <c r="F104" s="74" t="s">
        <v>211</v>
      </c>
      <c r="G104" s="74" t="s">
        <v>210</v>
      </c>
      <c r="H104" s="44">
        <v>26522225000</v>
      </c>
      <c r="I104" s="97"/>
      <c r="J104" s="74" t="s">
        <v>212</v>
      </c>
      <c r="K104" s="74" t="s">
        <v>213</v>
      </c>
      <c r="L104" s="45">
        <v>24735904.02</v>
      </c>
      <c r="M104" s="75">
        <v>111857141.88</v>
      </c>
      <c r="N104" s="44">
        <v>30169447997.799999</v>
      </c>
      <c r="O104" s="44">
        <v>140762607.56</v>
      </c>
      <c r="P104" s="225">
        <v>30471766434.77</v>
      </c>
      <c r="Q104" s="47">
        <f t="shared" si="55"/>
        <v>0.60710225004175944</v>
      </c>
      <c r="R104" s="54">
        <v>30028685390.240002</v>
      </c>
      <c r="S104" s="47">
        <f t="shared" si="56"/>
        <v>0.60226054741333501</v>
      </c>
      <c r="T104" s="48">
        <f>((R104-P104)/P104)</f>
        <v>-1.4540707558864011E-2</v>
      </c>
      <c r="U104" s="84">
        <f>(L104/R104)</f>
        <v>8.2374248817564707E-4</v>
      </c>
      <c r="V104" s="49">
        <f>M104/R104</f>
        <v>3.7250096175157933E-3</v>
      </c>
      <c r="W104" s="50">
        <f>R104/AB104</f>
        <v>11.253992668371767</v>
      </c>
      <c r="X104" s="50">
        <f>M104/AB104</f>
        <v>4.1921230925137061E-2</v>
      </c>
      <c r="Y104" s="115">
        <v>11.25</v>
      </c>
      <c r="Z104" s="115">
        <v>11.25</v>
      </c>
      <c r="AA104" s="51">
        <v>28836</v>
      </c>
      <c r="AB104" s="145">
        <v>2668269500</v>
      </c>
      <c r="AC104" s="43"/>
      <c r="AD104" s="4"/>
      <c r="AE104" s="4"/>
      <c r="AF104" s="4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257" ht="16.5" customHeight="1" x14ac:dyDescent="0.3">
      <c r="A105" s="143">
        <v>90</v>
      </c>
      <c r="B105" s="116" t="s">
        <v>30</v>
      </c>
      <c r="C105" s="83" t="s">
        <v>131</v>
      </c>
      <c r="D105" s="44"/>
      <c r="E105" s="44"/>
      <c r="F105" s="74" t="s">
        <v>216</v>
      </c>
      <c r="G105" s="74"/>
      <c r="H105" s="44">
        <v>610903488</v>
      </c>
      <c r="I105" s="97"/>
      <c r="J105" s="74" t="s">
        <v>217</v>
      </c>
      <c r="K105" s="74" t="s">
        <v>218</v>
      </c>
      <c r="L105" s="97">
        <v>13174627</v>
      </c>
      <c r="M105" s="75">
        <v>48246414</v>
      </c>
      <c r="N105" s="44">
        <v>7595789951</v>
      </c>
      <c r="O105" s="44">
        <v>132197236</v>
      </c>
      <c r="P105" s="225">
        <v>7415309771</v>
      </c>
      <c r="Q105" s="47">
        <f t="shared" si="55"/>
        <v>0.14773844031548752</v>
      </c>
      <c r="R105" s="54">
        <v>7463592715</v>
      </c>
      <c r="S105" s="47">
        <f t="shared" si="56"/>
        <v>0.1496911162040768</v>
      </c>
      <c r="T105" s="48">
        <f>((R105-P105)/P105)</f>
        <v>6.511251113045376E-3</v>
      </c>
      <c r="U105" s="84">
        <f>(L105/R105)</f>
        <v>1.7651856824290821E-3</v>
      </c>
      <c r="V105" s="49">
        <f>M105/R105</f>
        <v>6.4642345640105042E-3</v>
      </c>
      <c r="W105" s="50">
        <f>R105/AB105</f>
        <v>100.65532993931221</v>
      </c>
      <c r="X105" s="50">
        <f>M105/AB105</f>
        <v>0.6506596628455833</v>
      </c>
      <c r="Y105" s="115">
        <v>100.66</v>
      </c>
      <c r="Z105" s="115">
        <v>100.66</v>
      </c>
      <c r="AA105" s="51">
        <v>57</v>
      </c>
      <c r="AB105" s="145">
        <v>74150000</v>
      </c>
      <c r="AC105" s="1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257" ht="16.5" customHeight="1" x14ac:dyDescent="0.3">
      <c r="A106" s="155"/>
      <c r="B106" s="69"/>
      <c r="C106" s="59" t="s">
        <v>53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215"/>
      <c r="N106" s="60"/>
      <c r="O106" s="60"/>
      <c r="P106" s="226">
        <f>SUM(P102:P105)</f>
        <v>50192148740.470001</v>
      </c>
      <c r="Q106" s="118">
        <f>(P106/$P$148)</f>
        <v>3.8558386398994719E-2</v>
      </c>
      <c r="R106" s="61">
        <f>SUM(R102:R105)</f>
        <v>49859957653.230003</v>
      </c>
      <c r="S106" s="118">
        <f>(R106/$R$148)</f>
        <v>3.7522519146431101E-2</v>
      </c>
      <c r="T106" s="62">
        <f>((R106-P106)/P106)</f>
        <v>-6.6183874485563057E-3</v>
      </c>
      <c r="U106" s="76"/>
      <c r="V106" s="63"/>
      <c r="W106" s="64"/>
      <c r="X106" s="64"/>
      <c r="Y106" s="60"/>
      <c r="Z106" s="60"/>
      <c r="AA106" s="65">
        <f>SUM(AA102:AA105)</f>
        <v>36785</v>
      </c>
      <c r="AB106" s="147"/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257" ht="16.5" customHeight="1" x14ac:dyDescent="0.3">
      <c r="A107" s="240" t="s">
        <v>185</v>
      </c>
      <c r="B107" s="238"/>
      <c r="C107" s="238"/>
      <c r="D107" s="70"/>
      <c r="E107" s="70"/>
      <c r="F107" s="70"/>
      <c r="G107" s="70"/>
      <c r="H107" s="70"/>
      <c r="I107" s="70"/>
      <c r="J107" s="70"/>
      <c r="K107" s="70"/>
      <c r="L107" s="70"/>
      <c r="M107" s="214"/>
      <c r="N107" s="70"/>
      <c r="O107" s="70"/>
      <c r="P107" s="70"/>
      <c r="Q107" s="48"/>
      <c r="R107" s="70"/>
      <c r="S107" s="48"/>
      <c r="T107" s="48"/>
      <c r="U107" s="48"/>
      <c r="V107" s="71"/>
      <c r="W107" s="72"/>
      <c r="X107" s="72"/>
      <c r="Y107" s="70"/>
      <c r="Z107" s="70"/>
      <c r="AA107" s="70"/>
      <c r="AB107" s="150"/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257" ht="16.5" customHeight="1" x14ac:dyDescent="0.3">
      <c r="A108" s="143">
        <v>91</v>
      </c>
      <c r="B108" s="116" t="s">
        <v>24</v>
      </c>
      <c r="C108" s="83" t="s">
        <v>132</v>
      </c>
      <c r="D108" s="44">
        <v>858074726.25</v>
      </c>
      <c r="E108" s="44"/>
      <c r="F108" s="44">
        <v>450581620.72000003</v>
      </c>
      <c r="G108" s="44">
        <v>319520044.49000001</v>
      </c>
      <c r="H108" s="53"/>
      <c r="I108" s="52"/>
      <c r="J108" s="52">
        <v>1628176391.46</v>
      </c>
      <c r="K108" s="52">
        <v>7021116.0899999999</v>
      </c>
      <c r="L108" s="44">
        <v>2635395.37</v>
      </c>
      <c r="M108" s="193">
        <v>19926665.690000001</v>
      </c>
      <c r="N108" s="44">
        <v>1671247173.8099999</v>
      </c>
      <c r="O108" s="44">
        <v>7302167.6299999999</v>
      </c>
      <c r="P108" s="225">
        <v>1644708721.1500001</v>
      </c>
      <c r="Q108" s="47">
        <f t="shared" ref="Q108:Q130" si="57">(P108/$P$148)</f>
        <v>1.2634907246512181E-3</v>
      </c>
      <c r="R108" s="108">
        <v>1663945006.1800001</v>
      </c>
      <c r="S108" s="47">
        <f t="shared" ref="S108:S129" si="58">(R108/$R$130)</f>
        <v>5.6331354386371379E-2</v>
      </c>
      <c r="T108" s="48">
        <f t="shared" ref="T108:T130" si="59">((R108-P108)/P108)</f>
        <v>1.1695861268705214E-2</v>
      </c>
      <c r="U108" s="84">
        <f t="shared" ref="U108:U126" si="60">(L108/R108)</f>
        <v>1.58382360006609E-3</v>
      </c>
      <c r="V108" s="49">
        <f t="shared" ref="V108:V129" si="61">M108/R108</f>
        <v>1.197555545164718E-2</v>
      </c>
      <c r="W108" s="50">
        <f t="shared" ref="W108:W129" si="62">R108/AB108</f>
        <v>3497.9247648035589</v>
      </c>
      <c r="X108" s="50">
        <f>M108/AB108</f>
        <v>41.889591986594944</v>
      </c>
      <c r="Y108" s="44">
        <v>3474.02</v>
      </c>
      <c r="Z108" s="44">
        <v>3511</v>
      </c>
      <c r="AA108" s="51">
        <v>1337</v>
      </c>
      <c r="AB108" s="145">
        <v>475694.91</v>
      </c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</row>
    <row r="109" spans="1:257" ht="16.5" customHeight="1" x14ac:dyDescent="0.3">
      <c r="A109" s="143">
        <v>92</v>
      </c>
      <c r="B109" s="116" t="s">
        <v>30</v>
      </c>
      <c r="C109" s="83" t="s">
        <v>177</v>
      </c>
      <c r="D109" s="44">
        <v>103582977</v>
      </c>
      <c r="E109" s="44"/>
      <c r="F109" s="44">
        <v>44305610.310000002</v>
      </c>
      <c r="G109" s="44">
        <v>52657873.969999999</v>
      </c>
      <c r="H109" s="53"/>
      <c r="I109" s="52"/>
      <c r="J109" s="52">
        <v>201809461.28999999</v>
      </c>
      <c r="K109" s="52">
        <v>797442.9</v>
      </c>
      <c r="L109" s="44">
        <v>501113.21</v>
      </c>
      <c r="M109" s="193">
        <v>296329.69</v>
      </c>
      <c r="N109" s="44">
        <v>201809461.28999999</v>
      </c>
      <c r="O109" s="44">
        <v>1307379.79</v>
      </c>
      <c r="P109" s="225">
        <v>192660376.58000001</v>
      </c>
      <c r="Q109" s="47">
        <f t="shared" si="57"/>
        <v>1.4800468659668527E-4</v>
      </c>
      <c r="R109" s="108">
        <v>200502081.5</v>
      </c>
      <c r="S109" s="47">
        <f t="shared" si="58"/>
        <v>6.7878167645161998E-3</v>
      </c>
      <c r="T109" s="48">
        <f t="shared" si="59"/>
        <v>4.0702219414295644E-2</v>
      </c>
      <c r="U109" s="84">
        <f t="shared" si="60"/>
        <v>2.4992918090977526E-3</v>
      </c>
      <c r="V109" s="49">
        <f t="shared" si="61"/>
        <v>1.4779382228009437E-3</v>
      </c>
      <c r="W109" s="50">
        <f t="shared" si="62"/>
        <v>147.9098336998029</v>
      </c>
      <c r="X109" s="50">
        <f t="shared" ref="X109:X129" si="63">M109/AB109</f>
        <v>0.21860159675306984</v>
      </c>
      <c r="Y109" s="44">
        <v>142.41</v>
      </c>
      <c r="Z109" s="44">
        <v>141.44999999999999</v>
      </c>
      <c r="AA109" s="51">
        <v>714</v>
      </c>
      <c r="AB109" s="145">
        <v>1355569.65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</row>
    <row r="110" spans="1:257" ht="16.5" customHeight="1" x14ac:dyDescent="0.3">
      <c r="A110" s="143">
        <v>93</v>
      </c>
      <c r="B110" s="116" t="s">
        <v>34</v>
      </c>
      <c r="C110" s="83" t="s">
        <v>133</v>
      </c>
      <c r="D110" s="44">
        <v>451842856.30000001</v>
      </c>
      <c r="E110" s="44"/>
      <c r="F110" s="44"/>
      <c r="G110" s="44">
        <v>298470618</v>
      </c>
      <c r="H110" s="53"/>
      <c r="I110" s="52"/>
      <c r="J110" s="52">
        <v>750313474</v>
      </c>
      <c r="K110" s="52">
        <v>9680525</v>
      </c>
      <c r="L110" s="44">
        <v>1899454</v>
      </c>
      <c r="M110" s="193">
        <v>14345377</v>
      </c>
      <c r="N110" s="44">
        <v>988027429</v>
      </c>
      <c r="O110" s="44">
        <v>77995315</v>
      </c>
      <c r="P110" s="225">
        <v>970993579.79999995</v>
      </c>
      <c r="Q110" s="47">
        <f t="shared" si="57"/>
        <v>7.4593231372626278E-4</v>
      </c>
      <c r="R110" s="108">
        <v>910032113.11000001</v>
      </c>
      <c r="S110" s="47">
        <f t="shared" si="58"/>
        <v>3.0808314743685894E-2</v>
      </c>
      <c r="T110" s="48">
        <f t="shared" si="59"/>
        <v>-6.2782564126280277E-2</v>
      </c>
      <c r="U110" s="84">
        <f t="shared" si="60"/>
        <v>2.0872384310798532E-3</v>
      </c>
      <c r="V110" s="49">
        <f t="shared" si="61"/>
        <v>1.5763594265893785E-2</v>
      </c>
      <c r="W110" s="50">
        <f t="shared" si="62"/>
        <v>1.3882254719721867</v>
      </c>
      <c r="X110" s="50">
        <f t="shared" si="63"/>
        <v>2.1883423089748454E-2</v>
      </c>
      <c r="Y110" s="44">
        <v>1.39</v>
      </c>
      <c r="Z110" s="44">
        <v>1.41</v>
      </c>
      <c r="AA110" s="51">
        <v>1309</v>
      </c>
      <c r="AB110" s="145">
        <v>655536245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  <c r="IP110" s="31"/>
      <c r="IQ110" s="31"/>
      <c r="IR110" s="31"/>
      <c r="IS110" s="31"/>
      <c r="IT110" s="31"/>
      <c r="IU110" s="31"/>
      <c r="IV110" s="31"/>
      <c r="IW110" s="31"/>
    </row>
    <row r="111" spans="1:257" ht="16.5" customHeight="1" x14ac:dyDescent="0.3">
      <c r="A111" s="143">
        <v>94</v>
      </c>
      <c r="B111" s="117" t="s">
        <v>36</v>
      </c>
      <c r="C111" s="83" t="s">
        <v>170</v>
      </c>
      <c r="D111" s="44">
        <v>2716710732.3000002</v>
      </c>
      <c r="E111" s="44"/>
      <c r="F111" s="44"/>
      <c r="G111" s="44">
        <v>442008231.42000002</v>
      </c>
      <c r="H111" s="104">
        <v>62482855.299999997</v>
      </c>
      <c r="I111" s="52"/>
      <c r="J111" s="52">
        <v>3221201819.02</v>
      </c>
      <c r="K111" s="52">
        <v>173119264.16</v>
      </c>
      <c r="L111" s="44">
        <v>13219397.119999999</v>
      </c>
      <c r="M111" s="193">
        <v>44386385.490000002</v>
      </c>
      <c r="N111" s="44">
        <v>4708251821</v>
      </c>
      <c r="O111" s="44">
        <v>1176589</v>
      </c>
      <c r="P111" s="225">
        <v>4582602279</v>
      </c>
      <c r="Q111" s="47">
        <f t="shared" si="57"/>
        <v>3.5204260789919949E-3</v>
      </c>
      <c r="R111" s="108">
        <v>4708251821</v>
      </c>
      <c r="S111" s="47">
        <f t="shared" si="58"/>
        <v>0.15939361029599947</v>
      </c>
      <c r="T111" s="48">
        <f t="shared" si="59"/>
        <v>2.7418818904663664E-2</v>
      </c>
      <c r="U111" s="84">
        <f t="shared" si="60"/>
        <v>2.8077081733475103E-3</v>
      </c>
      <c r="V111" s="49">
        <f t="shared" si="61"/>
        <v>9.4273601280257437E-3</v>
      </c>
      <c r="W111" s="50">
        <f t="shared" si="62"/>
        <v>473.4587966564012</v>
      </c>
      <c r="X111" s="50">
        <f t="shared" si="63"/>
        <v>4.4634665818616055</v>
      </c>
      <c r="Y111" s="44">
        <v>468.27</v>
      </c>
      <c r="Z111" s="44">
        <v>482.39</v>
      </c>
      <c r="AA111" s="51">
        <v>35677</v>
      </c>
      <c r="AB111" s="145">
        <v>9944375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</row>
    <row r="112" spans="1:257" ht="16.5" customHeight="1" x14ac:dyDescent="0.3">
      <c r="A112" s="143">
        <v>95</v>
      </c>
      <c r="B112" s="116" t="s">
        <v>75</v>
      </c>
      <c r="C112" s="83" t="s">
        <v>195</v>
      </c>
      <c r="D112" s="44">
        <v>1069848021.95</v>
      </c>
      <c r="E112" s="44"/>
      <c r="F112" s="44">
        <v>357620693.39999998</v>
      </c>
      <c r="G112" s="44">
        <v>1057281089.1900001</v>
      </c>
      <c r="H112" s="53"/>
      <c r="I112" s="52"/>
      <c r="J112" s="52">
        <v>2484749804.54</v>
      </c>
      <c r="K112" s="52">
        <v>9728146.9499999993</v>
      </c>
      <c r="L112" s="44">
        <v>17666347.02</v>
      </c>
      <c r="M112" s="193">
        <v>395316.93</v>
      </c>
      <c r="N112" s="44">
        <v>2517064469.6799998</v>
      </c>
      <c r="O112" s="44">
        <v>17666347.100000001</v>
      </c>
      <c r="P112" s="225">
        <v>2463727723.6500001</v>
      </c>
      <c r="Q112" s="47">
        <f t="shared" si="57"/>
        <v>1.892673813221626E-3</v>
      </c>
      <c r="R112" s="108">
        <v>2499398122.5799999</v>
      </c>
      <c r="S112" s="47">
        <f t="shared" si="58"/>
        <v>8.4614864597547038E-2</v>
      </c>
      <c r="T112" s="48">
        <f t="shared" si="59"/>
        <v>1.447822281155091E-2</v>
      </c>
      <c r="U112" s="84">
        <f t="shared" si="60"/>
        <v>7.0682404937409248E-3</v>
      </c>
      <c r="V112" s="49">
        <f t="shared" si="61"/>
        <v>1.5816485034082312E-4</v>
      </c>
      <c r="W112" s="50">
        <f t="shared" si="62"/>
        <v>13.445991885819284</v>
      </c>
      <c r="X112" s="50">
        <f t="shared" si="63"/>
        <v>2.126683294304529E-3</v>
      </c>
      <c r="Y112" s="44">
        <v>13.446</v>
      </c>
      <c r="Z112" s="44">
        <v>13.566599999999999</v>
      </c>
      <c r="AA112" s="51">
        <v>6433</v>
      </c>
      <c r="AB112" s="145">
        <v>185884250.40000001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</row>
    <row r="113" spans="1:257" ht="16.5" customHeight="1" x14ac:dyDescent="0.3">
      <c r="A113" s="143">
        <v>96</v>
      </c>
      <c r="B113" s="117" t="s">
        <v>56</v>
      </c>
      <c r="C113" s="82" t="s">
        <v>136</v>
      </c>
      <c r="D113" s="44">
        <v>1806182606.6800001</v>
      </c>
      <c r="E113" s="44"/>
      <c r="F113" s="44">
        <v>1216584298.2</v>
      </c>
      <c r="G113" s="44">
        <v>1144590477.6900001</v>
      </c>
      <c r="H113" s="53"/>
      <c r="I113" s="52"/>
      <c r="J113" s="52">
        <v>4209224995.1300001</v>
      </c>
      <c r="K113" s="52">
        <v>81417483.760000005</v>
      </c>
      <c r="L113" s="44">
        <v>10861224.41</v>
      </c>
      <c r="M113" s="193">
        <v>150784599.50999999</v>
      </c>
      <c r="N113" s="44">
        <v>4240139095.5500002</v>
      </c>
      <c r="O113" s="44">
        <v>30914100.420000002</v>
      </c>
      <c r="P113" s="225">
        <v>4139662803.4699998</v>
      </c>
      <c r="Q113" s="47">
        <f t="shared" si="57"/>
        <v>3.1801531104613018E-3</v>
      </c>
      <c r="R113" s="108">
        <v>4209224995.1300001</v>
      </c>
      <c r="S113" s="47">
        <f t="shared" si="58"/>
        <v>0.14249950810392975</v>
      </c>
      <c r="T113" s="48">
        <f t="shared" ref="T113:T122" si="64">((R113-P113)/P113)</f>
        <v>1.6803830399348237E-2</v>
      </c>
      <c r="U113" s="84">
        <f t="shared" ref="U113:U122" si="65">(L113/R113)</f>
        <v>2.5803382861610503E-3</v>
      </c>
      <c r="V113" s="49">
        <f>M113/R113</f>
        <v>3.5822413789820012E-2</v>
      </c>
      <c r="W113" s="50">
        <f t="shared" ref="W113:W122" si="66">R113/AB113</f>
        <v>179.42652439645263</v>
      </c>
      <c r="X113" s="50">
        <f t="shared" ref="X113:X118" si="67">M113/AB113</f>
        <v>6.4274912017989614</v>
      </c>
      <c r="Y113" s="44">
        <v>179.43</v>
      </c>
      <c r="Z113" s="44">
        <v>180.7</v>
      </c>
      <c r="AA113" s="51">
        <v>5493</v>
      </c>
      <c r="AB113" s="145">
        <v>23459324.140000001</v>
      </c>
      <c r="AC113" s="13"/>
      <c r="AD113" s="4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  <c r="IW113" s="31"/>
    </row>
    <row r="114" spans="1:257" ht="16.5" customHeight="1" x14ac:dyDescent="0.3">
      <c r="A114" s="143">
        <v>97</v>
      </c>
      <c r="B114" s="116" t="s">
        <v>88</v>
      </c>
      <c r="C114" s="86" t="s">
        <v>137</v>
      </c>
      <c r="D114" s="44">
        <v>2996067937.1500001</v>
      </c>
      <c r="E114" s="44"/>
      <c r="F114" s="44">
        <v>383251012.36000001</v>
      </c>
      <c r="G114" s="44">
        <v>972855419.22000003</v>
      </c>
      <c r="H114" s="53"/>
      <c r="I114" s="52"/>
      <c r="J114" s="52">
        <v>4503951986.7299995</v>
      </c>
      <c r="K114" s="52">
        <v>14694667.609999999</v>
      </c>
      <c r="L114" s="44">
        <v>7152752.8099999996</v>
      </c>
      <c r="M114" s="218">
        <v>149578218.02000001</v>
      </c>
      <c r="N114" s="44">
        <v>4840334072.8699999</v>
      </c>
      <c r="O114" s="44">
        <v>27537552.670000002</v>
      </c>
      <c r="P114" s="225">
        <v>5237637282.8999996</v>
      </c>
      <c r="Q114" s="47">
        <f t="shared" si="57"/>
        <v>4.0236341188756982E-3</v>
      </c>
      <c r="R114" s="108">
        <v>4812796520.1599998</v>
      </c>
      <c r="S114" s="47">
        <f t="shared" si="58"/>
        <v>0.16293287660331485</v>
      </c>
      <c r="T114" s="48">
        <f t="shared" si="64"/>
        <v>-8.1113055332608278E-2</v>
      </c>
      <c r="U114" s="84">
        <f t="shared" si="65"/>
        <v>1.4861947269198508E-3</v>
      </c>
      <c r="V114" s="49">
        <f>M114/R114</f>
        <v>3.1079273223673983E-2</v>
      </c>
      <c r="W114" s="50">
        <f t="shared" si="66"/>
        <v>175.37586408185797</v>
      </c>
      <c r="X114" s="50">
        <f t="shared" si="67"/>
        <v>5.4505543966379761</v>
      </c>
      <c r="Y114" s="44">
        <v>173.08320000000001</v>
      </c>
      <c r="Z114" s="44">
        <v>176.84970000000001</v>
      </c>
      <c r="AA114" s="51">
        <v>25</v>
      </c>
      <c r="AB114" s="145">
        <v>27442753</v>
      </c>
      <c r="AC114" s="13"/>
      <c r="AD114" s="4"/>
      <c r="AE114" s="4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</row>
    <row r="115" spans="1:257" ht="16.5" customHeight="1" x14ac:dyDescent="0.3">
      <c r="A115" s="143">
        <v>98</v>
      </c>
      <c r="B115" s="116" t="s">
        <v>83</v>
      </c>
      <c r="C115" s="116" t="s">
        <v>176</v>
      </c>
      <c r="D115" s="44">
        <v>830482422.39999998</v>
      </c>
      <c r="E115" s="44"/>
      <c r="F115" s="44">
        <v>735877670.25999999</v>
      </c>
      <c r="G115" s="44">
        <v>613224446.05999994</v>
      </c>
      <c r="H115" s="53"/>
      <c r="I115" s="52"/>
      <c r="J115" s="52">
        <v>2179584538.7199998</v>
      </c>
      <c r="K115" s="52">
        <v>67213659.450000003</v>
      </c>
      <c r="L115" s="44">
        <v>5639980.9699999997</v>
      </c>
      <c r="M115" s="193">
        <v>61797966.100000001</v>
      </c>
      <c r="N115" s="44">
        <v>2217076448.71</v>
      </c>
      <c r="O115" s="44">
        <v>29428138.260000002</v>
      </c>
      <c r="P115" s="225">
        <v>2147909499.4000001</v>
      </c>
      <c r="Q115" s="47">
        <f t="shared" si="57"/>
        <v>1.6500573596913714E-3</v>
      </c>
      <c r="R115" s="108">
        <v>2187648310.4499998</v>
      </c>
      <c r="S115" s="47">
        <f t="shared" si="58"/>
        <v>7.4060856453193727E-2</v>
      </c>
      <c r="T115" s="48">
        <f t="shared" si="64"/>
        <v>1.8501157083713447E-2</v>
      </c>
      <c r="U115" s="84">
        <f t="shared" si="65"/>
        <v>2.5781022219425452E-3</v>
      </c>
      <c r="V115" s="49">
        <f>M115/R115</f>
        <v>2.8248583561078948E-2</v>
      </c>
      <c r="W115" s="50">
        <f t="shared" si="66"/>
        <v>3996.5051455785647</v>
      </c>
      <c r="X115" s="50">
        <f t="shared" si="67"/>
        <v>112.89560955715807</v>
      </c>
      <c r="Y115" s="44">
        <v>3935.17</v>
      </c>
      <c r="Z115" s="44">
        <v>3983.72</v>
      </c>
      <c r="AA115" s="51">
        <v>795</v>
      </c>
      <c r="AB115" s="145">
        <v>547390.34</v>
      </c>
      <c r="AC115" s="13"/>
      <c r="AD115" s="4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</row>
    <row r="116" spans="1:257" ht="16.5" customHeight="1" x14ac:dyDescent="0.3">
      <c r="A116" s="143">
        <v>99</v>
      </c>
      <c r="B116" s="116" t="s">
        <v>79</v>
      </c>
      <c r="C116" s="67" t="s">
        <v>178</v>
      </c>
      <c r="D116" s="44">
        <v>867965887.89999998</v>
      </c>
      <c r="E116" s="44">
        <v>1535462743.4000001</v>
      </c>
      <c r="F116" s="44"/>
      <c r="G116" s="44">
        <v>604126089.04999995</v>
      </c>
      <c r="H116" s="53"/>
      <c r="I116" s="52"/>
      <c r="J116" s="52">
        <v>2095864829.8699999</v>
      </c>
      <c r="K116" s="52">
        <v>10604608.550000001</v>
      </c>
      <c r="L116" s="44">
        <v>6680328.6900000004</v>
      </c>
      <c r="M116" s="193">
        <v>53076708.119999997</v>
      </c>
      <c r="N116" s="44">
        <v>2124382245.25</v>
      </c>
      <c r="O116" s="44">
        <v>107200063.45</v>
      </c>
      <c r="P116" s="225">
        <v>1742021180</v>
      </c>
      <c r="Q116" s="47">
        <f t="shared" si="57"/>
        <v>1.3382476634142154E-3</v>
      </c>
      <c r="R116" s="108">
        <v>2017182181.8099999</v>
      </c>
      <c r="S116" s="47">
        <f t="shared" si="58"/>
        <v>6.8289879727624084E-2</v>
      </c>
      <c r="T116" s="48">
        <f t="shared" si="64"/>
        <v>0.1579550265915825</v>
      </c>
      <c r="U116" s="84">
        <f t="shared" si="65"/>
        <v>3.3117131165643155E-3</v>
      </c>
      <c r="V116" s="49">
        <f>M116/R116</f>
        <v>2.6312302675792393E-2</v>
      </c>
      <c r="W116" s="50">
        <f t="shared" si="66"/>
        <v>1.2307865025145783</v>
      </c>
      <c r="X116" s="50">
        <f t="shared" si="67"/>
        <v>3.2384826983443499E-2</v>
      </c>
      <c r="Y116" s="44">
        <v>1.2208000000000001</v>
      </c>
      <c r="Z116" s="44">
        <v>1.2407999999999999</v>
      </c>
      <c r="AA116" s="51">
        <v>10347</v>
      </c>
      <c r="AB116" s="145">
        <v>1638937523.03</v>
      </c>
      <c r="AC116" s="13"/>
      <c r="AD116" s="4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</row>
    <row r="117" spans="1:257" ht="16.5" customHeight="1" x14ac:dyDescent="0.3">
      <c r="A117" s="143">
        <v>100</v>
      </c>
      <c r="B117" s="117" t="s">
        <v>28</v>
      </c>
      <c r="C117" s="83" t="s">
        <v>139</v>
      </c>
      <c r="D117" s="44">
        <v>282517745.80000001</v>
      </c>
      <c r="E117" s="44"/>
      <c r="F117" s="44">
        <v>933070769.32000005</v>
      </c>
      <c r="G117" s="44"/>
      <c r="H117" s="53"/>
      <c r="I117" s="52"/>
      <c r="J117" s="52">
        <v>1215588515.1199999</v>
      </c>
      <c r="K117" s="52">
        <v>9167496.4100000001</v>
      </c>
      <c r="L117" s="44">
        <v>2117258.36</v>
      </c>
      <c r="M117" s="193">
        <v>7050238.0499999998</v>
      </c>
      <c r="N117" s="44">
        <v>1176191209.6600001</v>
      </c>
      <c r="O117" s="44">
        <v>44741862.859999999</v>
      </c>
      <c r="P117" s="225">
        <v>1137687626.1900001</v>
      </c>
      <c r="Q117" s="47">
        <f t="shared" si="57"/>
        <v>8.739892631179334E-4</v>
      </c>
      <c r="R117" s="108">
        <v>1174141598.29</v>
      </c>
      <c r="S117" s="47">
        <f t="shared" si="58"/>
        <v>3.9749502674308684E-2</v>
      </c>
      <c r="T117" s="48">
        <f t="shared" si="64"/>
        <v>3.2042162770180196E-2</v>
      </c>
      <c r="U117" s="84">
        <f t="shared" si="65"/>
        <v>1.803239373414194E-3</v>
      </c>
      <c r="V117" s="49">
        <f>M117/R117</f>
        <v>6.0045892763426895E-3</v>
      </c>
      <c r="W117" s="50">
        <f t="shared" si="66"/>
        <v>1574.0218490381392</v>
      </c>
      <c r="X117" s="50">
        <f t="shared" si="67"/>
        <v>9.451354715463502</v>
      </c>
      <c r="Y117" s="44" t="s">
        <v>214</v>
      </c>
      <c r="Z117" s="44" t="s">
        <v>214</v>
      </c>
      <c r="AA117" s="51">
        <v>830</v>
      </c>
      <c r="AB117" s="145">
        <v>745950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</row>
    <row r="118" spans="1:257" ht="16.5" customHeight="1" x14ac:dyDescent="0.3">
      <c r="A118" s="143">
        <v>101</v>
      </c>
      <c r="B118" s="117" t="s">
        <v>45</v>
      </c>
      <c r="C118" s="83" t="s">
        <v>143</v>
      </c>
      <c r="D118" s="44">
        <v>1142562930.95</v>
      </c>
      <c r="E118" s="44"/>
      <c r="F118" s="44">
        <v>484790130.22000003</v>
      </c>
      <c r="G118" s="44">
        <v>519901479.66000003</v>
      </c>
      <c r="H118" s="53"/>
      <c r="I118" s="52"/>
      <c r="J118" s="52">
        <v>2147254540.8299999</v>
      </c>
      <c r="K118" s="52">
        <v>9568583.3900000006</v>
      </c>
      <c r="L118" s="44">
        <v>4390707.32</v>
      </c>
      <c r="M118" s="193">
        <v>27104031.469999999</v>
      </c>
      <c r="N118" s="44">
        <v>2148975599.5500002</v>
      </c>
      <c r="O118" s="44">
        <v>73370681.689999998</v>
      </c>
      <c r="P118" s="225">
        <v>2052791800.5</v>
      </c>
      <c r="Q118" s="47">
        <f t="shared" si="57"/>
        <v>1.5769864695301726E-3</v>
      </c>
      <c r="R118" s="108">
        <v>2075604917.8599999</v>
      </c>
      <c r="S118" s="47">
        <f t="shared" si="58"/>
        <v>7.0267728656783934E-2</v>
      </c>
      <c r="T118" s="48">
        <f t="shared" si="64"/>
        <v>1.1113215356006043E-2</v>
      </c>
      <c r="U118" s="84">
        <f t="shared" si="65"/>
        <v>2.1153868360106452E-3</v>
      </c>
      <c r="V118" s="49">
        <f ca="1">V118/R118</f>
        <v>0</v>
      </c>
      <c r="W118" s="50">
        <f t="shared" si="66"/>
        <v>2.980413553612796</v>
      </c>
      <c r="X118" s="50">
        <f t="shared" si="67"/>
        <v>3.8919363726514583E-2</v>
      </c>
      <c r="Y118" s="44">
        <v>2.89</v>
      </c>
      <c r="Z118" s="44">
        <v>2.95</v>
      </c>
      <c r="AA118" s="51">
        <v>2028</v>
      </c>
      <c r="AB118" s="145">
        <v>696415071.44000006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</row>
    <row r="119" spans="1:257" ht="16.5" customHeight="1" x14ac:dyDescent="0.3">
      <c r="A119" s="143">
        <v>102</v>
      </c>
      <c r="B119" s="117" t="s">
        <v>47</v>
      </c>
      <c r="C119" s="82" t="s">
        <v>144</v>
      </c>
      <c r="D119" s="44">
        <v>82008609.109999999</v>
      </c>
      <c r="E119" s="44"/>
      <c r="F119" s="44">
        <v>31951860.260000002</v>
      </c>
      <c r="G119" s="44"/>
      <c r="H119" s="104">
        <v>814000</v>
      </c>
      <c r="I119" s="52"/>
      <c r="J119" s="52">
        <v>166227035.19999999</v>
      </c>
      <c r="K119" s="52">
        <v>622931.63</v>
      </c>
      <c r="L119" s="44">
        <v>177332.6</v>
      </c>
      <c r="M119" s="193">
        <v>445599.03</v>
      </c>
      <c r="N119" s="44">
        <v>167266106.08000001</v>
      </c>
      <c r="O119" s="44">
        <v>2205050.5</v>
      </c>
      <c r="P119" s="225">
        <v>160698597.47999999</v>
      </c>
      <c r="Q119" s="47">
        <f t="shared" si="57"/>
        <v>1.2345115263842629E-4</v>
      </c>
      <c r="R119" s="108">
        <v>165061055.58000001</v>
      </c>
      <c r="S119" s="47">
        <f t="shared" si="58"/>
        <v>5.5879928619826536E-3</v>
      </c>
      <c r="T119" s="48">
        <f t="shared" si="64"/>
        <v>2.7146833689963977E-2</v>
      </c>
      <c r="U119" s="84">
        <f t="shared" si="65"/>
        <v>1.0743454861407472E-3</v>
      </c>
      <c r="V119" s="49">
        <f>M118/R119</f>
        <v>0.16420609558542118</v>
      </c>
      <c r="W119" s="50">
        <f t="shared" si="66"/>
        <v>1.6203827530452837</v>
      </c>
      <c r="X119" s="50">
        <f>M118/AB119</f>
        <v>0.26607672523152176</v>
      </c>
      <c r="Y119" s="44">
        <v>1.6204000000000001</v>
      </c>
      <c r="Z119" s="44">
        <v>1.6419999999999999</v>
      </c>
      <c r="AA119" s="51">
        <v>100</v>
      </c>
      <c r="AB119" s="145">
        <v>101865473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</row>
    <row r="120" spans="1:257" ht="16.5" customHeight="1" x14ac:dyDescent="0.3">
      <c r="A120" s="143">
        <v>103</v>
      </c>
      <c r="B120" s="116" t="s">
        <v>34</v>
      </c>
      <c r="C120" s="83" t="s">
        <v>138</v>
      </c>
      <c r="D120" s="44">
        <v>261494966</v>
      </c>
      <c r="E120" s="44"/>
      <c r="F120" s="44"/>
      <c r="G120" s="44"/>
      <c r="H120" s="53"/>
      <c r="I120" s="52"/>
      <c r="J120" s="52">
        <v>261494966</v>
      </c>
      <c r="K120" s="52">
        <v>2847570</v>
      </c>
      <c r="L120" s="44">
        <v>1154166</v>
      </c>
      <c r="M120" s="193">
        <v>14574282</v>
      </c>
      <c r="N120" s="44">
        <v>599015694</v>
      </c>
      <c r="O120" s="44">
        <v>4779195</v>
      </c>
      <c r="P120" s="225">
        <v>579435396</v>
      </c>
      <c r="Q120" s="47">
        <f t="shared" si="57"/>
        <v>4.4513124966511061E-4</v>
      </c>
      <c r="R120" s="108">
        <v>594236499</v>
      </c>
      <c r="S120" s="47">
        <f t="shared" si="58"/>
        <v>2.0117339629711597E-2</v>
      </c>
      <c r="T120" s="48">
        <f t="shared" si="64"/>
        <v>2.5544009051183335E-2</v>
      </c>
      <c r="U120" s="84">
        <f t="shared" si="65"/>
        <v>1.9422670972622299E-3</v>
      </c>
      <c r="V120" s="49">
        <f>M120/R120</f>
        <v>2.4526063317426756E-2</v>
      </c>
      <c r="W120" s="50">
        <f t="shared" si="66"/>
        <v>1.1296251938591606</v>
      </c>
      <c r="X120" s="50">
        <f>M120/AB120</f>
        <v>2.7705259029550244E-2</v>
      </c>
      <c r="Y120" s="44">
        <v>1.1299999999999999</v>
      </c>
      <c r="Z120" s="44">
        <v>1.1499999999999999</v>
      </c>
      <c r="AA120" s="51">
        <v>254</v>
      </c>
      <c r="AB120" s="145">
        <v>526047491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</row>
    <row r="121" spans="1:257" ht="16.5" customHeight="1" x14ac:dyDescent="0.3">
      <c r="A121" s="143">
        <v>104</v>
      </c>
      <c r="B121" s="117" t="s">
        <v>73</v>
      </c>
      <c r="C121" s="116" t="s">
        <v>140</v>
      </c>
      <c r="D121" s="44">
        <v>67744148.950000003</v>
      </c>
      <c r="E121" s="44"/>
      <c r="F121" s="44">
        <v>32657136.16</v>
      </c>
      <c r="G121" s="44">
        <v>3707373.06</v>
      </c>
      <c r="H121" s="53"/>
      <c r="I121" s="52"/>
      <c r="J121" s="52">
        <v>104108658.17</v>
      </c>
      <c r="K121" s="52">
        <v>348944.94</v>
      </c>
      <c r="L121" s="44">
        <v>249678.37</v>
      </c>
      <c r="M121" s="193">
        <v>4830196.24</v>
      </c>
      <c r="N121" s="44">
        <v>117481108.97</v>
      </c>
      <c r="O121" s="44">
        <v>15879651.130000001</v>
      </c>
      <c r="P121" s="225">
        <v>112910304.33</v>
      </c>
      <c r="Q121" s="47">
        <f t="shared" si="57"/>
        <v>8.6739445352214644E-5</v>
      </c>
      <c r="R121" s="108">
        <v>101601454.84</v>
      </c>
      <c r="S121" s="47">
        <f t="shared" si="58"/>
        <v>3.4396254308321863E-3</v>
      </c>
      <c r="T121" s="48">
        <f t="shared" si="64"/>
        <v>-0.10015781603907395</v>
      </c>
      <c r="U121" s="84">
        <f t="shared" si="65"/>
        <v>2.4574290830105595E-3</v>
      </c>
      <c r="V121" s="49">
        <f>M121/R121</f>
        <v>4.7540620826803111E-2</v>
      </c>
      <c r="W121" s="50">
        <f t="shared" si="66"/>
        <v>1.1409376408777776</v>
      </c>
      <c r="X121" s="50">
        <f>M121/AB121</f>
        <v>5.4240883771997685E-2</v>
      </c>
      <c r="Y121" s="44">
        <v>1.3013999999999999</v>
      </c>
      <c r="Z121" s="44">
        <v>1.3179000000000001</v>
      </c>
      <c r="AA121" s="51">
        <v>88</v>
      </c>
      <c r="AB121" s="145">
        <v>89050839.590000004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</row>
    <row r="122" spans="1:257" ht="16.5" customHeight="1" x14ac:dyDescent="0.3">
      <c r="A122" s="143">
        <v>105</v>
      </c>
      <c r="B122" s="117" t="s">
        <v>64</v>
      </c>
      <c r="C122" s="83" t="s">
        <v>142</v>
      </c>
      <c r="D122" s="44">
        <v>54177476.270000003</v>
      </c>
      <c r="E122" s="44"/>
      <c r="F122" s="44"/>
      <c r="G122" s="44"/>
      <c r="H122" s="53"/>
      <c r="I122" s="52"/>
      <c r="J122" s="52">
        <v>54177476.270000003</v>
      </c>
      <c r="K122" s="52">
        <v>1678166.38</v>
      </c>
      <c r="L122" s="44">
        <v>326206.36</v>
      </c>
      <c r="M122" s="193">
        <v>1351960.02</v>
      </c>
      <c r="N122" s="44">
        <v>226312951.09999999</v>
      </c>
      <c r="O122" s="44">
        <v>326206.36</v>
      </c>
      <c r="P122" s="225">
        <v>221550629.34</v>
      </c>
      <c r="Q122" s="47">
        <f t="shared" si="57"/>
        <v>1.7019862642669127E-4</v>
      </c>
      <c r="R122" s="108">
        <v>225660538.38</v>
      </c>
      <c r="S122" s="47">
        <f t="shared" si="58"/>
        <v>7.6395335851189919E-3</v>
      </c>
      <c r="T122" s="48">
        <f t="shared" si="64"/>
        <v>1.8550653871954339E-2</v>
      </c>
      <c r="U122" s="84">
        <f t="shared" si="65"/>
        <v>1.445562269512476E-3</v>
      </c>
      <c r="V122" s="49">
        <f>M122/R122</f>
        <v>5.9911229039229415E-3</v>
      </c>
      <c r="W122" s="50">
        <f t="shared" si="66"/>
        <v>147.89227364003136</v>
      </c>
      <c r="X122" s="50">
        <f>M122/AB122</f>
        <v>0.88604078791803098</v>
      </c>
      <c r="Y122" s="44">
        <v>144.99</v>
      </c>
      <c r="Z122" s="44">
        <v>145.41</v>
      </c>
      <c r="AA122" s="51">
        <v>39</v>
      </c>
      <c r="AB122" s="145">
        <v>1525844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</row>
    <row r="123" spans="1:257" ht="16.5" customHeight="1" x14ac:dyDescent="0.3">
      <c r="A123" s="143">
        <v>106</v>
      </c>
      <c r="B123" s="116" t="s">
        <v>59</v>
      </c>
      <c r="C123" s="116" t="s">
        <v>135</v>
      </c>
      <c r="D123" s="44">
        <v>83669855.329999998</v>
      </c>
      <c r="E123" s="44"/>
      <c r="F123" s="44">
        <v>46663459.390000001</v>
      </c>
      <c r="G123" s="44">
        <v>35143737.640000001</v>
      </c>
      <c r="H123" s="53"/>
      <c r="I123" s="52"/>
      <c r="J123" s="52">
        <f>SUM(D123:G123)</f>
        <v>165477052.36000001</v>
      </c>
      <c r="K123" s="52">
        <v>983670.79</v>
      </c>
      <c r="L123" s="44">
        <v>424277.53</v>
      </c>
      <c r="M123" s="193">
        <v>559393.26</v>
      </c>
      <c r="N123" s="44">
        <v>166378352</v>
      </c>
      <c r="O123" s="44">
        <v>10045360.939999999</v>
      </c>
      <c r="P123" s="225">
        <v>150943026.00999999</v>
      </c>
      <c r="Q123" s="47">
        <f t="shared" si="57"/>
        <v>1.1595677147080015E-4</v>
      </c>
      <c r="R123" s="108">
        <v>156332991.06</v>
      </c>
      <c r="S123" s="47">
        <f t="shared" si="58"/>
        <v>5.2925121256859834E-3</v>
      </c>
      <c r="T123" s="48">
        <f t="shared" ref="T123:T124" si="68">((R123-P123)/P123)</f>
        <v>3.5708606038167848E-2</v>
      </c>
      <c r="U123" s="84">
        <f t="shared" ref="U123:U124" si="69">(L123/R123)</f>
        <v>2.7139347051651046E-3</v>
      </c>
      <c r="V123" s="49">
        <f t="shared" ref="V123:V124" si="70">M123/R123</f>
        <v>3.5782163202219231E-3</v>
      </c>
      <c r="W123" s="50">
        <f t="shared" ref="W123:W124" si="71">R123/AB123</f>
        <v>3.5635003229650724</v>
      </c>
      <c r="X123" s="50">
        <f t="shared" ref="X123:X124" si="72">M123/AB123</f>
        <v>1.2750975012749716E-2</v>
      </c>
      <c r="Y123" s="44">
        <v>3.4851999999999999</v>
      </c>
      <c r="Z123" s="44">
        <v>3.5510000000000002</v>
      </c>
      <c r="AA123" s="51">
        <v>11816</v>
      </c>
      <c r="AB123" s="145">
        <v>43870626.32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</row>
    <row r="124" spans="1:257" ht="16.5" customHeight="1" x14ac:dyDescent="0.3">
      <c r="A124" s="143">
        <v>107</v>
      </c>
      <c r="B124" s="117" t="s">
        <v>66</v>
      </c>
      <c r="C124" s="83" t="s">
        <v>141</v>
      </c>
      <c r="D124" s="44">
        <v>143841146.19999999</v>
      </c>
      <c r="E124" s="44"/>
      <c r="F124" s="44"/>
      <c r="G124" s="44">
        <v>129816338.61</v>
      </c>
      <c r="H124" s="53"/>
      <c r="I124" s="52"/>
      <c r="J124" s="52">
        <v>273657484.81</v>
      </c>
      <c r="K124" s="52">
        <v>1890294.93</v>
      </c>
      <c r="L124" s="44">
        <v>670439.78</v>
      </c>
      <c r="M124" s="193">
        <v>7002774.4900000002</v>
      </c>
      <c r="N124" s="44">
        <v>356172002.98000002</v>
      </c>
      <c r="O124" s="44">
        <v>6215060.8700000001</v>
      </c>
      <c r="P124" s="225">
        <v>342573803.13</v>
      </c>
      <c r="Q124" s="47">
        <f t="shared" si="57"/>
        <v>2.6317050380848063E-4</v>
      </c>
      <c r="R124" s="108">
        <v>349956942.11000001</v>
      </c>
      <c r="S124" s="47">
        <f t="shared" si="58"/>
        <v>1.1847475999959049E-2</v>
      </c>
      <c r="T124" s="48">
        <f t="shared" si="68"/>
        <v>2.1551966065537893E-2</v>
      </c>
      <c r="U124" s="84">
        <f t="shared" si="69"/>
        <v>1.9157779124417667E-3</v>
      </c>
      <c r="V124" s="49">
        <f t="shared" si="70"/>
        <v>2.0010388843204767E-2</v>
      </c>
      <c r="W124" s="50">
        <f t="shared" si="71"/>
        <v>138.0616762315729</v>
      </c>
      <c r="X124" s="50">
        <f t="shared" si="72"/>
        <v>2.7626678257384154</v>
      </c>
      <c r="Y124" s="44">
        <v>136.65</v>
      </c>
      <c r="Z124" s="44">
        <v>137.53</v>
      </c>
      <c r="AA124" s="51">
        <f>SUM(611,28,2)</f>
        <v>641</v>
      </c>
      <c r="AB124" s="145">
        <v>2534787</v>
      </c>
      <c r="AC124" s="13"/>
      <c r="AD124" s="4"/>
      <c r="AE124" s="4"/>
      <c r="AF124" s="4"/>
      <c r="AG124" s="5"/>
      <c r="AH124" s="6"/>
      <c r="AI124" s="6"/>
      <c r="AJ124" s="6"/>
      <c r="AK124" s="7"/>
      <c r="AL124" s="5"/>
      <c r="AM124" s="6"/>
      <c r="AN124" s="6"/>
      <c r="AO124" s="6"/>
      <c r="AP124" s="7"/>
      <c r="AQ124" s="5"/>
      <c r="AR124" s="6"/>
      <c r="AS124" s="6"/>
      <c r="AT124" s="6"/>
      <c r="AU124" s="7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</row>
    <row r="125" spans="1:257" ht="16.5" customHeight="1" x14ac:dyDescent="0.3">
      <c r="A125" s="143">
        <v>108</v>
      </c>
      <c r="B125" s="235" t="s">
        <v>116</v>
      </c>
      <c r="C125" s="87" t="s">
        <v>145</v>
      </c>
      <c r="D125" s="44">
        <v>58073219.509999998</v>
      </c>
      <c r="E125" s="44"/>
      <c r="F125" s="44">
        <v>52743014.689999998</v>
      </c>
      <c r="G125" s="44">
        <v>26104281.77</v>
      </c>
      <c r="H125" s="53"/>
      <c r="I125" s="52"/>
      <c r="J125" s="52">
        <v>137432640.15000001</v>
      </c>
      <c r="K125" s="52">
        <v>1879077.28</v>
      </c>
      <c r="L125" s="44">
        <v>307114.5</v>
      </c>
      <c r="M125" s="193">
        <v>1571962.78</v>
      </c>
      <c r="N125" s="44">
        <v>137432640.15000001</v>
      </c>
      <c r="O125" s="44">
        <v>4924039.2300000004</v>
      </c>
      <c r="P125" s="225">
        <v>130547276.67</v>
      </c>
      <c r="Q125" s="47">
        <f t="shared" si="57"/>
        <v>1.0028844079192919E-4</v>
      </c>
      <c r="R125" s="108">
        <v>132508600.92</v>
      </c>
      <c r="S125" s="47">
        <f t="shared" si="58"/>
        <v>4.4859589288970192E-3</v>
      </c>
      <c r="T125" s="48">
        <f>((R125-P125)/P125)</f>
        <v>1.5023861853188056E-2</v>
      </c>
      <c r="U125" s="84">
        <f>(L125/R125)</f>
        <v>2.3176948354123486E-3</v>
      </c>
      <c r="V125" s="49">
        <f>M125/R125</f>
        <v>1.1863099973027773E-2</v>
      </c>
      <c r="W125" s="50">
        <f>R125/AB125</f>
        <v>139.32852313465673</v>
      </c>
      <c r="X125" s="50">
        <f>M125/AB125</f>
        <v>1.6528681990407459</v>
      </c>
      <c r="Y125" s="44">
        <v>139.32849999999999</v>
      </c>
      <c r="Z125" s="44">
        <v>144.506</v>
      </c>
      <c r="AA125" s="51">
        <v>127</v>
      </c>
      <c r="AB125" s="145">
        <v>951051.5</v>
      </c>
      <c r="AC125" s="13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  <c r="IP125" s="31"/>
      <c r="IQ125" s="31"/>
      <c r="IR125" s="31"/>
      <c r="IS125" s="31"/>
      <c r="IT125" s="31"/>
      <c r="IU125" s="31"/>
      <c r="IV125" s="31"/>
      <c r="IW125" s="31"/>
    </row>
    <row r="126" spans="1:257" ht="17.25" customHeight="1" x14ac:dyDescent="0.3">
      <c r="A126" s="143">
        <v>109</v>
      </c>
      <c r="B126" s="116" t="s">
        <v>102</v>
      </c>
      <c r="C126" s="83" t="s">
        <v>134</v>
      </c>
      <c r="D126" s="44">
        <v>505731337.14999998</v>
      </c>
      <c r="E126" s="44"/>
      <c r="F126" s="44">
        <v>224554350.91</v>
      </c>
      <c r="G126" s="44">
        <v>429811289.39999998</v>
      </c>
      <c r="H126" s="45">
        <v>24032670.809999999</v>
      </c>
      <c r="I126" s="52"/>
      <c r="J126" s="52">
        <v>1184129648.27</v>
      </c>
      <c r="K126" s="52">
        <v>4506629.29</v>
      </c>
      <c r="L126" s="44">
        <v>1896260.83</v>
      </c>
      <c r="M126" s="193">
        <v>16948289.219999999</v>
      </c>
      <c r="N126" s="44">
        <v>1199297697.4100001</v>
      </c>
      <c r="O126" s="44">
        <v>57188994.990000002</v>
      </c>
      <c r="P126" s="225">
        <v>1125160413.1900001</v>
      </c>
      <c r="Q126" s="47">
        <f t="shared" si="57"/>
        <v>8.6436566397986661E-4</v>
      </c>
      <c r="R126" s="108">
        <v>1142108702.4100001</v>
      </c>
      <c r="S126" s="47">
        <f t="shared" si="58"/>
        <v>3.8665057934166344E-2</v>
      </c>
      <c r="T126" s="48">
        <f t="shared" si="59"/>
        <v>1.5062998147925472E-2</v>
      </c>
      <c r="U126" s="84">
        <f t="shared" si="60"/>
        <v>1.6603155426437425E-3</v>
      </c>
      <c r="V126" s="49">
        <f t="shared" si="61"/>
        <v>1.4839471220416123E-2</v>
      </c>
      <c r="W126" s="50">
        <f t="shared" si="62"/>
        <v>2.2919499831819095</v>
      </c>
      <c r="X126" s="50">
        <f t="shared" si="63"/>
        <v>3.4011325814061168E-2</v>
      </c>
      <c r="Y126" s="44">
        <v>2.2309000000000001</v>
      </c>
      <c r="Z126" s="44">
        <v>2.2753000000000001</v>
      </c>
      <c r="AA126" s="51">
        <v>2769</v>
      </c>
      <c r="AB126" s="145">
        <v>498313100.54350001</v>
      </c>
      <c r="AC126" s="39"/>
      <c r="AD126" s="4"/>
      <c r="AE126" s="4"/>
      <c r="AF126" s="4"/>
      <c r="AG126" s="5"/>
      <c r="AH126" s="6"/>
      <c r="AI126" s="6"/>
      <c r="AJ126" s="6"/>
      <c r="AK126" s="7"/>
      <c r="AL126" s="5"/>
      <c r="AM126" s="6"/>
      <c r="AN126" s="6"/>
      <c r="AO126" s="6"/>
      <c r="AP126" s="7"/>
      <c r="AQ126" s="5"/>
      <c r="AR126" s="6"/>
      <c r="AS126" s="6"/>
      <c r="AT126" s="6"/>
      <c r="AU126" s="7"/>
    </row>
    <row r="127" spans="1:257" ht="15.75" customHeight="1" x14ac:dyDescent="0.3">
      <c r="A127" s="143">
        <v>110</v>
      </c>
      <c r="B127" s="117" t="s">
        <v>90</v>
      </c>
      <c r="C127" s="83" t="s">
        <v>196</v>
      </c>
      <c r="D127" s="44">
        <v>8410992.5</v>
      </c>
      <c r="E127" s="44"/>
      <c r="F127" s="44">
        <v>5074764.5199999996</v>
      </c>
      <c r="G127" s="44">
        <v>3636150</v>
      </c>
      <c r="H127" s="53"/>
      <c r="I127" s="52"/>
      <c r="J127" s="52">
        <f>SUM(G127,F127,D127)</f>
        <v>17121907.02</v>
      </c>
      <c r="K127" s="52">
        <v>88054.34</v>
      </c>
      <c r="L127" s="44">
        <v>8085.68</v>
      </c>
      <c r="M127" s="193">
        <v>22811.79</v>
      </c>
      <c r="N127" s="44">
        <v>17943521.66</v>
      </c>
      <c r="O127" s="44">
        <v>307750.32</v>
      </c>
      <c r="P127" s="225">
        <v>17581807.93</v>
      </c>
      <c r="Q127" s="47">
        <f t="shared" si="57"/>
        <v>1.3506617285169874E-5</v>
      </c>
      <c r="R127" s="108">
        <v>17712000.379999999</v>
      </c>
      <c r="S127" s="47">
        <f t="shared" si="58"/>
        <v>5.9962376556415599E-4</v>
      </c>
      <c r="T127" s="48">
        <f>((R127-P127)/P127)</f>
        <v>7.4049523529290005E-3</v>
      </c>
      <c r="U127" s="84">
        <f>(L127/R127)</f>
        <v>4.565085719583753E-4</v>
      </c>
      <c r="V127" s="49">
        <f>M127/R127</f>
        <v>1.2879284954035216E-3</v>
      </c>
      <c r="W127" s="50">
        <f>R127/AB127</f>
        <v>1.1456572822522804</v>
      </c>
      <c r="X127" s="50">
        <f>M127/AB127</f>
        <v>1.475524659779267E-3</v>
      </c>
      <c r="Y127" s="44">
        <v>1.1456999999999999</v>
      </c>
      <c r="Z127" s="44">
        <v>1.1456999999999999</v>
      </c>
      <c r="AA127" s="51">
        <v>7</v>
      </c>
      <c r="AB127" s="145">
        <v>15460121.15</v>
      </c>
      <c r="AC127" s="132"/>
    </row>
    <row r="128" spans="1:257" ht="15.75" customHeight="1" x14ac:dyDescent="0.3">
      <c r="A128" s="143">
        <v>111</v>
      </c>
      <c r="B128" s="117" t="s">
        <v>162</v>
      </c>
      <c r="C128" s="83" t="s">
        <v>197</v>
      </c>
      <c r="D128" s="44">
        <v>88554288.819999993</v>
      </c>
      <c r="E128" s="44"/>
      <c r="F128" s="44"/>
      <c r="G128" s="44">
        <v>76958105.620000005</v>
      </c>
      <c r="H128" s="53"/>
      <c r="I128" s="52"/>
      <c r="J128" s="52">
        <v>199906627.41</v>
      </c>
      <c r="K128" s="52">
        <v>803724.52</v>
      </c>
      <c r="L128" s="44">
        <v>541900.39</v>
      </c>
      <c r="M128" s="193">
        <v>4406854.03</v>
      </c>
      <c r="N128" s="44">
        <v>204630302.77000001</v>
      </c>
      <c r="O128" s="44">
        <v>196709381.28999999</v>
      </c>
      <c r="P128" s="225">
        <v>190138076.78</v>
      </c>
      <c r="Q128" s="47">
        <f t="shared" si="57"/>
        <v>1.4606701680682646E-4</v>
      </c>
      <c r="R128" s="108">
        <v>190138076.78</v>
      </c>
      <c r="S128" s="47">
        <f t="shared" si="58"/>
        <v>6.4369527512369113E-3</v>
      </c>
      <c r="T128" s="48">
        <f>((R128-P128)/P128)</f>
        <v>0</v>
      </c>
      <c r="U128" s="84">
        <f>(L128/R128)</f>
        <v>2.8500361378273956E-3</v>
      </c>
      <c r="V128" s="49">
        <f>M128/R128</f>
        <v>2.3177125300888404E-2</v>
      </c>
      <c r="W128" s="50">
        <f>R128/AB128</f>
        <v>0.96659384282078442</v>
      </c>
      <c r="X128" s="50">
        <f>M128/AB128</f>
        <v>2.2402866610124552E-2</v>
      </c>
      <c r="Y128" s="44">
        <v>1.03</v>
      </c>
      <c r="Z128" s="44">
        <v>1.03</v>
      </c>
      <c r="AA128" s="51">
        <v>78</v>
      </c>
      <c r="AB128" s="145">
        <v>196709381.28999999</v>
      </c>
      <c r="AC128" s="132"/>
    </row>
    <row r="129" spans="1:257" ht="15.75" customHeight="1" x14ac:dyDescent="0.3">
      <c r="A129" s="143">
        <v>112</v>
      </c>
      <c r="B129" s="117" t="s">
        <v>158</v>
      </c>
      <c r="C129" s="83" t="s">
        <v>160</v>
      </c>
      <c r="D129" s="44">
        <v>602958.69999999995</v>
      </c>
      <c r="E129" s="44"/>
      <c r="F129" s="44"/>
      <c r="G129" s="44">
        <v>929938.27</v>
      </c>
      <c r="H129" s="53"/>
      <c r="I129" s="52"/>
      <c r="J129" s="52">
        <v>1532896.97</v>
      </c>
      <c r="K129" s="52">
        <v>0</v>
      </c>
      <c r="L129" s="52">
        <v>9600.66</v>
      </c>
      <c r="M129" s="193">
        <v>-9600.66</v>
      </c>
      <c r="N129" s="44">
        <v>4668980.2699999996</v>
      </c>
      <c r="O129" s="44">
        <v>190527.25</v>
      </c>
      <c r="P129" s="225">
        <v>4463479.5199999996</v>
      </c>
      <c r="Q129" s="47">
        <f t="shared" si="57"/>
        <v>3.4289141296991594E-6</v>
      </c>
      <c r="R129" s="108">
        <v>4478453.0199999996</v>
      </c>
      <c r="S129" s="47">
        <f t="shared" si="58"/>
        <v>1.5161397956985401E-4</v>
      </c>
      <c r="T129" s="48">
        <f t="shared" si="59"/>
        <v>3.3546698115016781E-3</v>
      </c>
      <c r="U129" s="84">
        <f>(L129/R129)</f>
        <v>2.1437447165628637E-3</v>
      </c>
      <c r="V129" s="49">
        <f t="shared" si="61"/>
        <v>-2.1437447165628637E-3</v>
      </c>
      <c r="W129" s="50">
        <f t="shared" si="62"/>
        <v>105.64382477826004</v>
      </c>
      <c r="X129" s="50">
        <f t="shared" si="63"/>
        <v>-0.22647339120588789</v>
      </c>
      <c r="Y129" s="44">
        <v>100.72</v>
      </c>
      <c r="Z129" s="44">
        <v>100.93</v>
      </c>
      <c r="AA129" s="51">
        <v>87</v>
      </c>
      <c r="AB129" s="145">
        <v>42392</v>
      </c>
      <c r="AC129" s="132"/>
    </row>
    <row r="130" spans="1:257" ht="15.75" customHeight="1" x14ac:dyDescent="0.3">
      <c r="A130" s="154"/>
      <c r="B130" s="81"/>
      <c r="C130" s="106" t="s">
        <v>53</v>
      </c>
      <c r="D130" s="60"/>
      <c r="E130" s="60"/>
      <c r="F130" s="60"/>
      <c r="G130" s="60"/>
      <c r="H130" s="60"/>
      <c r="I130" s="60"/>
      <c r="J130" s="60"/>
      <c r="K130" s="60"/>
      <c r="L130" s="60"/>
      <c r="M130" s="212"/>
      <c r="N130" s="60"/>
      <c r="O130" s="60"/>
      <c r="P130" s="226">
        <f t="shared" ref="P130" si="73">SUM(P108:P129)</f>
        <v>29348405683.019997</v>
      </c>
      <c r="Q130" s="118">
        <f t="shared" si="57"/>
        <v>2.2545900004633693E-2</v>
      </c>
      <c r="R130" s="204">
        <f t="shared" ref="R130" si="74">SUM(R108:R129)</f>
        <v>29538522982.550007</v>
      </c>
      <c r="S130" s="118">
        <f>(R130/$R$148)</f>
        <v>2.2229457190448023E-2</v>
      </c>
      <c r="T130" s="62">
        <f t="shared" si="59"/>
        <v>6.4779430127615322E-3</v>
      </c>
      <c r="U130" s="76"/>
      <c r="V130" s="63"/>
      <c r="W130" s="64"/>
      <c r="X130" s="64"/>
      <c r="Y130" s="60"/>
      <c r="Z130" s="60"/>
      <c r="AA130" s="65">
        <f>SUM(AA108:AA129)</f>
        <v>80994</v>
      </c>
      <c r="AB130" s="156"/>
      <c r="AC130" s="132"/>
    </row>
    <row r="131" spans="1:257" ht="15.75" customHeight="1" x14ac:dyDescent="0.3">
      <c r="A131" s="240" t="s">
        <v>146</v>
      </c>
      <c r="B131" s="238"/>
      <c r="C131" s="238"/>
      <c r="D131" s="70"/>
      <c r="E131" s="70"/>
      <c r="F131" s="70"/>
      <c r="G131" s="70"/>
      <c r="H131" s="70"/>
      <c r="I131" s="70"/>
      <c r="J131" s="70"/>
      <c r="K131" s="70"/>
      <c r="L131" s="70"/>
      <c r="M131" s="214"/>
      <c r="N131" s="70"/>
      <c r="O131" s="70"/>
      <c r="P131" s="70"/>
      <c r="Q131" s="48"/>
      <c r="R131" s="70"/>
      <c r="S131" s="48"/>
      <c r="T131" s="48"/>
      <c r="U131" s="48"/>
      <c r="V131" s="71"/>
      <c r="W131" s="72"/>
      <c r="X131" s="72"/>
      <c r="Y131" s="70"/>
      <c r="Z131" s="70"/>
      <c r="AA131" s="70"/>
      <c r="AB131" s="150"/>
      <c r="AC131" s="132"/>
    </row>
    <row r="132" spans="1:257" ht="15.75" customHeight="1" x14ac:dyDescent="0.3">
      <c r="A132" s="143">
        <v>113</v>
      </c>
      <c r="B132" s="116" t="s">
        <v>75</v>
      </c>
      <c r="C132" s="82" t="s">
        <v>186</v>
      </c>
      <c r="D132" s="44">
        <v>291272309.05000001</v>
      </c>
      <c r="E132" s="44"/>
      <c r="F132" s="44">
        <v>29404007.399999999</v>
      </c>
      <c r="G132" s="44">
        <v>240397382.25</v>
      </c>
      <c r="H132" s="53"/>
      <c r="I132" s="44"/>
      <c r="J132" s="44">
        <v>561073698.70000005</v>
      </c>
      <c r="K132" s="44">
        <v>4799684.4400000004</v>
      </c>
      <c r="L132" s="45">
        <v>4597666.04</v>
      </c>
      <c r="M132" s="193">
        <v>10321625.85</v>
      </c>
      <c r="N132" s="44">
        <v>572527868.19000006</v>
      </c>
      <c r="O132" s="44">
        <v>4597666.05</v>
      </c>
      <c r="P132" s="225">
        <v>552287499.63</v>
      </c>
      <c r="Q132" s="47">
        <f>(P132/$P$135)</f>
        <v>0.21834927172698987</v>
      </c>
      <c r="R132" s="54">
        <v>567930202.13999999</v>
      </c>
      <c r="S132" s="47">
        <f>(R132/$R$135)</f>
        <v>0.21955617587537851</v>
      </c>
      <c r="T132" s="48">
        <f t="shared" ref="T132:T147" si="75">((R132-P132)/P132)</f>
        <v>2.8323477392625539E-2</v>
      </c>
      <c r="U132" s="84">
        <f t="shared" ref="U132:U147" si="76">(L132/R132)</f>
        <v>8.0954772658254105E-3</v>
      </c>
      <c r="V132" s="49">
        <f t="shared" ref="V132:V146" si="77">M132/R132</f>
        <v>1.8174109795723849E-2</v>
      </c>
      <c r="W132" s="50">
        <f t="shared" ref="W132:W146" si="78">R132/AB132</f>
        <v>15.125568301386263</v>
      </c>
      <c r="X132" s="50">
        <f t="shared" ref="X132:X146" si="79">M132/AB132</f>
        <v>0.27489373903211423</v>
      </c>
      <c r="Y132" s="44">
        <v>15.1256</v>
      </c>
      <c r="Z132" s="44">
        <v>15.2881</v>
      </c>
      <c r="AA132" s="51">
        <v>1538</v>
      </c>
      <c r="AB132" s="145">
        <v>37547693.469999999</v>
      </c>
      <c r="AC132" s="132"/>
    </row>
    <row r="133" spans="1:257" ht="15.75" customHeight="1" x14ac:dyDescent="0.3">
      <c r="A133" s="143">
        <v>114</v>
      </c>
      <c r="B133" s="116" t="s">
        <v>24</v>
      </c>
      <c r="C133" s="82" t="s">
        <v>147</v>
      </c>
      <c r="D133" s="44">
        <v>1242918783</v>
      </c>
      <c r="E133" s="44"/>
      <c r="F133" s="44"/>
      <c r="G133" s="44">
        <v>11701443.550000001</v>
      </c>
      <c r="H133" s="53"/>
      <c r="I133" s="44"/>
      <c r="J133" s="44">
        <f>SUM(G133,D133)</f>
        <v>1254620226.55</v>
      </c>
      <c r="K133" s="44">
        <v>3619144.47</v>
      </c>
      <c r="L133" s="44">
        <v>4512998.5</v>
      </c>
      <c r="M133" s="193">
        <v>32895660.77</v>
      </c>
      <c r="N133" s="44">
        <v>1620242752.8199999</v>
      </c>
      <c r="O133" s="44">
        <v>13809264.15</v>
      </c>
      <c r="P133" s="225">
        <v>1567934296.2</v>
      </c>
      <c r="Q133" s="47">
        <f t="shared" ref="Q133:Q134" si="80">(P133/$P$135)</f>
        <v>0.61988966239576238</v>
      </c>
      <c r="R133" s="54">
        <v>1606433488.6700001</v>
      </c>
      <c r="S133" s="47">
        <f>(R133/$R$135)</f>
        <v>0.62103123278445405</v>
      </c>
      <c r="T133" s="48">
        <f>((R133-P133)/P133)</f>
        <v>2.4554085310402068E-2</v>
      </c>
      <c r="U133" s="84">
        <f t="shared" si="76"/>
        <v>2.8093279502884403E-3</v>
      </c>
      <c r="V133" s="49">
        <f t="shared" si="77"/>
        <v>2.047744958133001E-2</v>
      </c>
      <c r="W133" s="50">
        <f t="shared" si="78"/>
        <v>1.3168433956698269</v>
      </c>
      <c r="X133" s="50">
        <f>M133/AB133</f>
        <v>2.6965594241336283E-2</v>
      </c>
      <c r="Y133" s="44">
        <v>1.3</v>
      </c>
      <c r="Z133" s="44">
        <v>1.32</v>
      </c>
      <c r="AA133" s="51">
        <v>9476</v>
      </c>
      <c r="AB133" s="145">
        <v>1219912325.1500001</v>
      </c>
      <c r="AC133" s="132"/>
    </row>
    <row r="134" spans="1:257" ht="15.75" customHeight="1" x14ac:dyDescent="0.3">
      <c r="A134" s="143">
        <v>115</v>
      </c>
      <c r="B134" s="117" t="s">
        <v>36</v>
      </c>
      <c r="C134" s="82" t="s">
        <v>148</v>
      </c>
      <c r="D134" s="44">
        <v>165610642.75</v>
      </c>
      <c r="E134" s="44"/>
      <c r="F134" s="44"/>
      <c r="G134" s="44">
        <v>149662979.15000001</v>
      </c>
      <c r="H134" s="45"/>
      <c r="I134" s="44">
        <v>97991453.959999993</v>
      </c>
      <c r="J134" s="44">
        <v>414433885.81</v>
      </c>
      <c r="K134" s="44">
        <v>-657096.77</v>
      </c>
      <c r="L134" s="45">
        <v>1022288.92</v>
      </c>
      <c r="M134" s="193">
        <v>-16428954.880000001</v>
      </c>
      <c r="N134" s="44">
        <v>412462871</v>
      </c>
      <c r="O134" s="44">
        <v>107241</v>
      </c>
      <c r="P134" s="225">
        <v>409154626</v>
      </c>
      <c r="Q134" s="47">
        <f t="shared" si="80"/>
        <v>0.16176106587724781</v>
      </c>
      <c r="R134" s="54">
        <v>412355630</v>
      </c>
      <c r="S134" s="47">
        <f t="shared" ref="S134" si="81">(R134/$R$135)</f>
        <v>0.15941259134016744</v>
      </c>
      <c r="T134" s="48">
        <f t="shared" si="75"/>
        <v>7.8234579217491239E-3</v>
      </c>
      <c r="U134" s="84">
        <f t="shared" si="76"/>
        <v>2.479143839990738E-3</v>
      </c>
      <c r="V134" s="49">
        <f t="shared" si="77"/>
        <v>-3.9841713522863746E-2</v>
      </c>
      <c r="W134" s="50">
        <f t="shared" si="78"/>
        <v>34.674887113697935</v>
      </c>
      <c r="X134" s="50">
        <f t="shared" si="79"/>
        <v>-1.3815069188215929</v>
      </c>
      <c r="Y134" s="44">
        <v>39.223700000000001</v>
      </c>
      <c r="Z134" s="44">
        <v>40.406300000000002</v>
      </c>
      <c r="AA134" s="51">
        <v>2093</v>
      </c>
      <c r="AB134" s="145">
        <v>11892054</v>
      </c>
      <c r="AC134" s="132"/>
    </row>
    <row r="135" spans="1:257" ht="15" customHeight="1" x14ac:dyDescent="0.3">
      <c r="A135" s="143"/>
      <c r="B135" s="117"/>
      <c r="C135" s="106" t="s">
        <v>53</v>
      </c>
      <c r="D135" s="60"/>
      <c r="E135" s="60"/>
      <c r="F135" s="60"/>
      <c r="G135" s="60"/>
      <c r="H135" s="60"/>
      <c r="I135" s="60"/>
      <c r="J135" s="60"/>
      <c r="K135" s="60"/>
      <c r="L135" s="60"/>
      <c r="M135" s="114"/>
      <c r="N135" s="60"/>
      <c r="O135" s="60"/>
      <c r="P135" s="226">
        <f>SUM(P132:P134)</f>
        <v>2529376421.8299999</v>
      </c>
      <c r="Q135" s="118">
        <f>(P135/$P$148)</f>
        <v>1.9431061604021406E-3</v>
      </c>
      <c r="R135" s="61">
        <f>SUM(R132:R134)</f>
        <v>2586719320.8099999</v>
      </c>
      <c r="S135" s="118">
        <f>(R135/$R$148)</f>
        <v>1.9466567925423973E-3</v>
      </c>
      <c r="T135" s="62">
        <f t="shared" si="75"/>
        <v>2.2670765207225472E-2</v>
      </c>
      <c r="U135" s="76"/>
      <c r="V135" s="63"/>
      <c r="W135" s="64"/>
      <c r="X135" s="64"/>
      <c r="Y135" s="60"/>
      <c r="Z135" s="60"/>
      <c r="AA135" s="65">
        <f>SUM(AA132:AA134)</f>
        <v>13107</v>
      </c>
      <c r="AB135" s="156"/>
      <c r="AC135" s="132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  <c r="IW135" s="31"/>
    </row>
    <row r="136" spans="1:257" ht="15.75" customHeight="1" x14ac:dyDescent="0.3">
      <c r="A136" s="240" t="s">
        <v>187</v>
      </c>
      <c r="B136" s="238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48"/>
      <c r="U136" s="238"/>
      <c r="V136" s="238"/>
      <c r="W136" s="238"/>
      <c r="X136" s="238"/>
      <c r="Y136" s="238"/>
      <c r="Z136" s="238"/>
      <c r="AA136" s="238"/>
      <c r="AB136" s="239"/>
      <c r="AC136" s="132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</row>
    <row r="137" spans="1:257" ht="15.75" customHeight="1" x14ac:dyDescent="0.3">
      <c r="A137" s="236" t="s">
        <v>188</v>
      </c>
      <c r="B137" s="237"/>
      <c r="C137" s="237"/>
      <c r="D137" s="139"/>
      <c r="E137" s="139"/>
      <c r="F137" s="139"/>
      <c r="G137" s="139"/>
      <c r="H137" s="139"/>
      <c r="I137" s="139"/>
      <c r="J137" s="139"/>
      <c r="K137" s="139"/>
      <c r="L137" s="123"/>
      <c r="M137" s="216"/>
      <c r="N137" s="123"/>
      <c r="O137" s="128"/>
      <c r="P137" s="123"/>
      <c r="Q137" s="124"/>
      <c r="R137" s="123"/>
      <c r="S137" s="124"/>
      <c r="T137" s="124"/>
      <c r="U137" s="129"/>
      <c r="V137" s="126"/>
      <c r="W137" s="127"/>
      <c r="X137" s="127"/>
      <c r="Y137" s="123"/>
      <c r="Z137" s="123"/>
      <c r="AA137" s="130"/>
      <c r="AB137" s="153"/>
      <c r="AC137" s="132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</row>
    <row r="138" spans="1:257" ht="15.75" customHeight="1" x14ac:dyDescent="0.3">
      <c r="A138" s="143">
        <v>116</v>
      </c>
      <c r="B138" s="116" t="s">
        <v>109</v>
      </c>
      <c r="C138" s="82" t="s">
        <v>169</v>
      </c>
      <c r="D138" s="45">
        <v>1242197492.1500001</v>
      </c>
      <c r="E138" s="178"/>
      <c r="F138" s="45"/>
      <c r="G138" s="44">
        <v>787690075.57000005</v>
      </c>
      <c r="H138" s="44"/>
      <c r="I138" s="45">
        <f>J138-(G138+D138)</f>
        <v>940721140.7699995</v>
      </c>
      <c r="J138" s="52">
        <v>2970608708.4899998</v>
      </c>
      <c r="K138" s="52">
        <v>49679922.57</v>
      </c>
      <c r="L138" s="45">
        <v>20722946</v>
      </c>
      <c r="M138" s="193">
        <v>23490931.329999998</v>
      </c>
      <c r="N138" s="45">
        <v>3224313437.4499998</v>
      </c>
      <c r="O138" s="45">
        <v>170194827.18000001</v>
      </c>
      <c r="P138" s="225">
        <v>3033451750.5599999</v>
      </c>
      <c r="Q138" s="47">
        <f>(P138/$P$147)</f>
        <v>0.16922104993058268</v>
      </c>
      <c r="R138" s="46">
        <v>3054118610.27</v>
      </c>
      <c r="S138" s="47">
        <f>(R138/$R$147)</f>
        <v>0.16643651343161714</v>
      </c>
      <c r="T138" s="48">
        <f>((R138-P138)/P138)</f>
        <v>6.8129844841556377E-3</v>
      </c>
      <c r="U138" s="84">
        <f>(L138/R138)</f>
        <v>6.7852459725419711E-3</v>
      </c>
      <c r="V138" s="49">
        <f>M138/R138</f>
        <v>7.691558294758984E-3</v>
      </c>
      <c r="W138" s="50">
        <f>R138/AB138</f>
        <v>1.5458370163422817</v>
      </c>
      <c r="X138" s="50">
        <f>M138/AB138</f>
        <v>1.1889895525392956E-2</v>
      </c>
      <c r="Y138" s="52">
        <v>1.54</v>
      </c>
      <c r="Z138" s="52">
        <v>1.56</v>
      </c>
      <c r="AA138" s="55">
        <f>SUM(264+14785+32)</f>
        <v>15081</v>
      </c>
      <c r="AB138" s="152">
        <v>1975705445</v>
      </c>
      <c r="AC138" s="132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  <c r="IP138" s="31"/>
      <c r="IQ138" s="31"/>
      <c r="IR138" s="31"/>
      <c r="IS138" s="31"/>
      <c r="IT138" s="31"/>
      <c r="IU138" s="31"/>
      <c r="IV138" s="31"/>
      <c r="IW138" s="31"/>
    </row>
    <row r="139" spans="1:257" ht="15.75" customHeight="1" x14ac:dyDescent="0.3">
      <c r="A139" s="143">
        <v>117</v>
      </c>
      <c r="B139" s="116" t="s">
        <v>24</v>
      </c>
      <c r="C139" s="83" t="s">
        <v>149</v>
      </c>
      <c r="D139" s="78">
        <v>197165241.90000001</v>
      </c>
      <c r="E139" s="78"/>
      <c r="F139" s="78">
        <v>48445171.159999996</v>
      </c>
      <c r="G139" s="78">
        <v>24391629.829999998</v>
      </c>
      <c r="H139" s="78"/>
      <c r="I139" s="78"/>
      <c r="J139" s="78">
        <v>270002042.88999999</v>
      </c>
      <c r="K139" s="78">
        <v>473757.53</v>
      </c>
      <c r="L139" s="78">
        <v>631410.74</v>
      </c>
      <c r="M139" s="193">
        <v>2130766.7799999998</v>
      </c>
      <c r="N139" s="44">
        <v>280208904.49000001</v>
      </c>
      <c r="O139" s="44">
        <v>4260966.79</v>
      </c>
      <c r="P139" s="225">
        <v>253008293.47</v>
      </c>
      <c r="Q139" s="47">
        <f>(P139/$P$147)</f>
        <v>1.4114062982618567E-2</v>
      </c>
      <c r="R139" s="54">
        <v>275947937.69999999</v>
      </c>
      <c r="S139" s="47">
        <f>(R139/$R$147)</f>
        <v>1.5037992462045487E-2</v>
      </c>
      <c r="T139" s="48">
        <f t="shared" si="75"/>
        <v>9.0667558424206429E-2</v>
      </c>
      <c r="U139" s="84">
        <f t="shared" si="76"/>
        <v>2.2881516899990227E-3</v>
      </c>
      <c r="V139" s="49">
        <f t="shared" si="77"/>
        <v>7.7216260348228717E-3</v>
      </c>
      <c r="W139" s="50">
        <f t="shared" si="78"/>
        <v>244.65028649166044</v>
      </c>
      <c r="X139" s="50">
        <f t="shared" si="79"/>
        <v>1.8890980216008797</v>
      </c>
      <c r="Y139" s="44">
        <v>242.33</v>
      </c>
      <c r="Z139" s="44">
        <v>245.92</v>
      </c>
      <c r="AA139" s="51">
        <v>457</v>
      </c>
      <c r="AB139" s="145">
        <v>1127928.1200000001</v>
      </c>
      <c r="AC139" s="132"/>
    </row>
    <row r="140" spans="1:257" ht="4.5" customHeight="1" x14ac:dyDescent="0.3">
      <c r="A140" s="143"/>
      <c r="B140" s="116"/>
      <c r="C140" s="83"/>
      <c r="D140" s="78"/>
      <c r="E140" s="78"/>
      <c r="F140" s="78"/>
      <c r="G140" s="78"/>
      <c r="H140" s="78"/>
      <c r="I140" s="78"/>
      <c r="J140" s="78"/>
      <c r="K140" s="78"/>
      <c r="L140" s="78"/>
      <c r="M140" s="193"/>
      <c r="N140" s="44"/>
      <c r="O140" s="44"/>
      <c r="P140" s="225"/>
      <c r="Q140" s="47"/>
      <c r="R140" s="54"/>
      <c r="S140" s="47"/>
      <c r="T140" s="48"/>
      <c r="U140" s="84"/>
      <c r="V140" s="49"/>
      <c r="W140" s="50"/>
      <c r="X140" s="50"/>
      <c r="Y140" s="44"/>
      <c r="Z140" s="44"/>
      <c r="AA140" s="51"/>
      <c r="AB140" s="145"/>
      <c r="AC140" s="132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  <c r="IW140" s="31"/>
    </row>
    <row r="141" spans="1:257" ht="15.75" customHeight="1" x14ac:dyDescent="0.3">
      <c r="A141" s="236" t="s">
        <v>189</v>
      </c>
      <c r="B141" s="237"/>
      <c r="C141" s="237"/>
      <c r="D141" s="139"/>
      <c r="E141" s="139"/>
      <c r="F141" s="139"/>
      <c r="G141" s="139"/>
      <c r="H141" s="139"/>
      <c r="I141" s="139"/>
      <c r="J141" s="139"/>
      <c r="K141" s="139"/>
      <c r="L141" s="123"/>
      <c r="M141" s="216"/>
      <c r="N141" s="123"/>
      <c r="O141" s="123"/>
      <c r="P141" s="123"/>
      <c r="Q141" s="124"/>
      <c r="R141" s="123"/>
      <c r="S141" s="124"/>
      <c r="T141" s="124"/>
      <c r="U141" s="129"/>
      <c r="V141" s="126"/>
      <c r="W141" s="127"/>
      <c r="X141" s="127"/>
      <c r="Y141" s="123"/>
      <c r="Z141" s="123"/>
      <c r="AA141" s="130"/>
      <c r="AB141" s="153"/>
      <c r="AC141" s="132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</row>
    <row r="142" spans="1:257" ht="15.75" customHeight="1" x14ac:dyDescent="0.3">
      <c r="A142" s="143">
        <v>118</v>
      </c>
      <c r="B142" s="117" t="s">
        <v>24</v>
      </c>
      <c r="C142" s="82" t="s">
        <v>119</v>
      </c>
      <c r="D142" s="101"/>
      <c r="E142" s="101"/>
      <c r="F142" s="101">
        <v>30004931.510000002</v>
      </c>
      <c r="G142" s="101">
        <v>7267719733.3199997</v>
      </c>
      <c r="H142" s="101"/>
      <c r="I142" s="78"/>
      <c r="J142" s="78">
        <v>7297724664.8299999</v>
      </c>
      <c r="K142" s="78">
        <v>35451336.539999999</v>
      </c>
      <c r="L142" s="78">
        <v>11790848.08</v>
      </c>
      <c r="M142" s="193">
        <v>23660488.460000001</v>
      </c>
      <c r="N142" s="44">
        <v>7330732831.2299995</v>
      </c>
      <c r="O142" s="44">
        <v>50049787.979999997</v>
      </c>
      <c r="P142" s="225">
        <v>7389815005.1599998</v>
      </c>
      <c r="Q142" s="47">
        <f>(P142/$P$147)</f>
        <v>0.41224069370316985</v>
      </c>
      <c r="R142" s="54">
        <v>7280683043.25</v>
      </c>
      <c r="S142" s="47">
        <f>(R142/$R$147)</f>
        <v>0.39676635250655795</v>
      </c>
      <c r="T142" s="48">
        <f>((R142-P142)/P142)</f>
        <v>-1.4767888212871031E-2</v>
      </c>
      <c r="U142" s="84">
        <f>(L142/R142)</f>
        <v>1.6194700428459694E-3</v>
      </c>
      <c r="V142" s="49">
        <f>M142/R142</f>
        <v>3.2497621884441043E-3</v>
      </c>
      <c r="W142" s="50">
        <f>R142/AB142</f>
        <v>117.26706747638737</v>
      </c>
      <c r="X142" s="50">
        <f>M142/AB142</f>
        <v>0.38109008183448706</v>
      </c>
      <c r="Y142" s="44">
        <v>117.27</v>
      </c>
      <c r="Z142" s="44">
        <v>117.27</v>
      </c>
      <c r="AA142" s="51">
        <v>963</v>
      </c>
      <c r="AB142" s="145">
        <v>62086340.18</v>
      </c>
      <c r="AC142" s="132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  <c r="IP142" s="31"/>
      <c r="IQ142" s="31"/>
      <c r="IR142" s="31"/>
      <c r="IS142" s="31"/>
      <c r="IT142" s="31"/>
      <c r="IU142" s="31"/>
      <c r="IV142" s="31"/>
      <c r="IW142" s="31"/>
    </row>
    <row r="143" spans="1:257" ht="15.75" customHeight="1" x14ac:dyDescent="0.3">
      <c r="A143" s="143">
        <v>119</v>
      </c>
      <c r="B143" s="116" t="s">
        <v>56</v>
      </c>
      <c r="C143" s="83" t="s">
        <v>190</v>
      </c>
      <c r="D143" s="101"/>
      <c r="E143" s="101"/>
      <c r="F143" s="101">
        <v>525954416.44</v>
      </c>
      <c r="G143" s="101">
        <v>4784030591.7200003</v>
      </c>
      <c r="H143" s="101"/>
      <c r="I143" s="78"/>
      <c r="J143" s="78">
        <v>5106539920.1800003</v>
      </c>
      <c r="K143" s="78">
        <v>82806436.989999995</v>
      </c>
      <c r="L143" s="78">
        <v>8763937.4000000004</v>
      </c>
      <c r="M143" s="193">
        <v>74042499.530000001</v>
      </c>
      <c r="N143" s="44">
        <v>5492699627.5799999</v>
      </c>
      <c r="O143" s="44">
        <v>386159707.38999999</v>
      </c>
      <c r="P143" s="225">
        <v>5118654249.7700005</v>
      </c>
      <c r="Q143" s="47">
        <f t="shared" ref="Q143:Q145" si="82">(P143/$P$147)</f>
        <v>0.28554403287206193</v>
      </c>
      <c r="R143" s="54">
        <v>5106539920.1800003</v>
      </c>
      <c r="S143" s="47">
        <f t="shared" ref="S143:S145" si="83">(R143/$R$147)</f>
        <v>0.27828477163792625</v>
      </c>
      <c r="T143" s="48">
        <f>((R143-P143)/P143)</f>
        <v>-2.3667020663770155E-3</v>
      </c>
      <c r="U143" s="84">
        <f t="shared" si="76"/>
        <v>1.7162183272800265E-3</v>
      </c>
      <c r="V143" s="49">
        <f>M143/R143</f>
        <v>1.4499543856966475E-2</v>
      </c>
      <c r="W143" s="50">
        <f>R143/AB143</f>
        <v>114.17740268730343</v>
      </c>
      <c r="X143" s="50">
        <f>M143/AB143</f>
        <v>1.655520257739078</v>
      </c>
      <c r="Y143" s="44">
        <v>116.57</v>
      </c>
      <c r="Z143" s="44">
        <v>116.57</v>
      </c>
      <c r="AA143" s="51">
        <v>381</v>
      </c>
      <c r="AB143" s="145">
        <v>44724611</v>
      </c>
      <c r="AC143" s="132"/>
    </row>
    <row r="144" spans="1:257" ht="15.75" customHeight="1" x14ac:dyDescent="0.3">
      <c r="A144" s="143">
        <v>120</v>
      </c>
      <c r="B144" s="116" t="s">
        <v>34</v>
      </c>
      <c r="C144" s="83" t="s">
        <v>161</v>
      </c>
      <c r="D144" s="101"/>
      <c r="E144" s="101"/>
      <c r="F144" s="101"/>
      <c r="G144" s="101">
        <v>1438717099</v>
      </c>
      <c r="H144" s="101"/>
      <c r="I144" s="78"/>
      <c r="J144" s="78">
        <v>1438717099</v>
      </c>
      <c r="K144" s="78">
        <v>13533572</v>
      </c>
      <c r="L144" s="78">
        <v>3239248</v>
      </c>
      <c r="M144" s="193">
        <v>10294324</v>
      </c>
      <c r="N144" s="44">
        <v>1863946715</v>
      </c>
      <c r="O144" s="44">
        <v>9257868.9399999995</v>
      </c>
      <c r="P144" s="225">
        <v>1844413242</v>
      </c>
      <c r="Q144" s="47">
        <f t="shared" si="82"/>
        <v>0.10289055867115446</v>
      </c>
      <c r="R144" s="54">
        <v>1854688846</v>
      </c>
      <c r="S144" s="47">
        <f t="shared" si="83"/>
        <v>0.10107267739724747</v>
      </c>
      <c r="T144" s="48">
        <f>((R144-P144)/P144)</f>
        <v>5.57120485041497E-3</v>
      </c>
      <c r="U144" s="84">
        <f t="shared" si="76"/>
        <v>1.7465182944223087E-3</v>
      </c>
      <c r="V144" s="49">
        <f>M144/R144</f>
        <v>5.5504318269890543E-3</v>
      </c>
      <c r="W144" s="50">
        <f>R144/AB144</f>
        <v>1.0844183767364786</v>
      </c>
      <c r="X144" s="50">
        <f>M144/AB144</f>
        <v>6.0189902720099572E-3</v>
      </c>
      <c r="Y144" s="44">
        <v>1.08</v>
      </c>
      <c r="Z144" s="44">
        <v>1.08</v>
      </c>
      <c r="AA144" s="51">
        <v>226</v>
      </c>
      <c r="AB144" s="145">
        <v>1710307466</v>
      </c>
      <c r="AC144" s="132"/>
    </row>
    <row r="145" spans="1:257" ht="15.75" customHeight="1" x14ac:dyDescent="0.3">
      <c r="A145" s="143">
        <v>121</v>
      </c>
      <c r="B145" s="116" t="s">
        <v>191</v>
      </c>
      <c r="C145" s="83" t="s">
        <v>157</v>
      </c>
      <c r="D145" s="101"/>
      <c r="E145" s="101"/>
      <c r="F145" s="101"/>
      <c r="G145" s="101">
        <v>226221196.69999999</v>
      </c>
      <c r="H145" s="101"/>
      <c r="I145" s="78">
        <f>SUM(J145-G145)</f>
        <v>53171630.99000001</v>
      </c>
      <c r="J145" s="78">
        <v>279392827.69</v>
      </c>
      <c r="K145" s="78">
        <v>3024976.01</v>
      </c>
      <c r="L145" s="78">
        <v>721141.37</v>
      </c>
      <c r="M145" s="193">
        <v>2303834.65</v>
      </c>
      <c r="N145" s="44">
        <v>280764698.27999997</v>
      </c>
      <c r="O145" s="44">
        <v>2789409.61</v>
      </c>
      <c r="P145" s="225">
        <v>286629149.94</v>
      </c>
      <c r="Q145" s="47">
        <f t="shared" si="82"/>
        <v>1.5989601840412669E-2</v>
      </c>
      <c r="R145" s="54">
        <v>277975288.66000003</v>
      </c>
      <c r="S145" s="47">
        <f t="shared" si="83"/>
        <v>1.5148474492491192E-2</v>
      </c>
      <c r="T145" s="48">
        <f>((R145-P145)/P145)</f>
        <v>-3.0191839461588193E-2</v>
      </c>
      <c r="U145" s="84">
        <f t="shared" si="76"/>
        <v>2.5942643084437976E-3</v>
      </c>
      <c r="V145" s="49">
        <f t="shared" si="77"/>
        <v>8.2879117100868975E-3</v>
      </c>
      <c r="W145" s="50">
        <f t="shared" si="78"/>
        <v>100.74331570651806</v>
      </c>
      <c r="X145" s="50">
        <f t="shared" si="79"/>
        <v>0.83495170595703239</v>
      </c>
      <c r="Y145" s="44">
        <v>100.74</v>
      </c>
      <c r="Z145" s="44">
        <v>100.75</v>
      </c>
      <c r="AA145" s="51">
        <f>191+4+3</f>
        <v>198</v>
      </c>
      <c r="AB145" s="145">
        <v>2759243</v>
      </c>
      <c r="AC145" s="132"/>
    </row>
    <row r="146" spans="1:257" ht="16.5" customHeight="1" x14ac:dyDescent="0.3">
      <c r="A146" s="143">
        <v>122</v>
      </c>
      <c r="B146" s="116" t="s">
        <v>227</v>
      </c>
      <c r="C146" s="82" t="s">
        <v>215</v>
      </c>
      <c r="D146" s="44"/>
      <c r="E146" s="44"/>
      <c r="F146" s="44"/>
      <c r="G146" s="44">
        <v>238422682</v>
      </c>
      <c r="H146" s="44"/>
      <c r="I146" s="44"/>
      <c r="J146" s="44">
        <v>238422682</v>
      </c>
      <c r="K146" s="44">
        <v>14767377</v>
      </c>
      <c r="L146" s="44">
        <v>5821461</v>
      </c>
      <c r="M146" s="193">
        <v>8945915</v>
      </c>
      <c r="N146" s="44">
        <v>500097958</v>
      </c>
      <c r="O146" s="44" t="s">
        <v>214</v>
      </c>
      <c r="P146" s="225"/>
      <c r="Q146" s="47">
        <f>(P146/$P$80)</f>
        <v>0</v>
      </c>
      <c r="R146" s="54">
        <v>500097958</v>
      </c>
      <c r="S146" s="47">
        <f>(R146/$R$80)</f>
        <v>1.2979445420856031E-3</v>
      </c>
      <c r="T146" s="48" t="e">
        <f t="shared" ref="T146" si="84">((R146-P146)/P146)</f>
        <v>#DIV/0!</v>
      </c>
      <c r="U146" s="84">
        <f t="shared" si="76"/>
        <v>1.1640641412097108E-2</v>
      </c>
      <c r="V146" s="49">
        <f t="shared" si="77"/>
        <v>1.7888325390842726E-2</v>
      </c>
      <c r="W146" s="50">
        <f t="shared" si="78"/>
        <v>999.99991601646082</v>
      </c>
      <c r="X146" s="50">
        <f t="shared" si="79"/>
        <v>17.888323888517849</v>
      </c>
      <c r="Y146" s="101">
        <v>1000</v>
      </c>
      <c r="Z146" s="101">
        <v>1000</v>
      </c>
      <c r="AA146" s="189">
        <v>15</v>
      </c>
      <c r="AB146" s="190">
        <v>500098</v>
      </c>
      <c r="AC146" s="13"/>
      <c r="AD146" s="4"/>
      <c r="AE146" s="4"/>
      <c r="AF146" s="4"/>
      <c r="AG146" s="5"/>
      <c r="AH146" s="6"/>
      <c r="AI146" s="6"/>
      <c r="AJ146" s="6"/>
      <c r="AK146" s="7"/>
      <c r="AL146" s="5"/>
      <c r="AM146" s="6"/>
      <c r="AN146" s="6"/>
      <c r="AO146" s="6"/>
      <c r="AP146" s="7"/>
      <c r="AQ146" s="5"/>
      <c r="AR146" s="6"/>
      <c r="AS146" s="6"/>
      <c r="AT146" s="6"/>
      <c r="AU146" s="7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  <c r="IG146" s="31"/>
      <c r="IH146" s="31"/>
      <c r="II146" s="31"/>
      <c r="IJ146" s="31"/>
      <c r="IK146" s="31"/>
      <c r="IL146" s="31"/>
      <c r="IM146" s="31"/>
      <c r="IN146" s="31"/>
      <c r="IO146" s="31"/>
      <c r="IP146" s="31"/>
      <c r="IQ146" s="31"/>
      <c r="IR146" s="31"/>
      <c r="IS146" s="31"/>
      <c r="IT146" s="31"/>
      <c r="IU146" s="31"/>
      <c r="IV146" s="31"/>
      <c r="IW146" s="31"/>
    </row>
    <row r="147" spans="1:257" ht="15.75" customHeight="1" x14ac:dyDescent="0.3">
      <c r="A147" s="157"/>
      <c r="B147" s="78"/>
      <c r="C147" s="106" t="s">
        <v>53</v>
      </c>
      <c r="D147" s="60"/>
      <c r="E147" s="60"/>
      <c r="F147" s="60"/>
      <c r="G147" s="60"/>
      <c r="H147" s="60"/>
      <c r="I147" s="60"/>
      <c r="J147" s="60"/>
      <c r="K147" s="60"/>
      <c r="L147" s="60"/>
      <c r="M147" s="114"/>
      <c r="N147" s="60"/>
      <c r="O147" s="60"/>
      <c r="P147" s="226">
        <f>SUM(P138:P146)</f>
        <v>17925971690.899998</v>
      </c>
      <c r="Q147" s="118">
        <f>(P147/$P$148)</f>
        <v>1.3771009219173956E-2</v>
      </c>
      <c r="R147" s="61">
        <f>SUM(R138:R146)</f>
        <v>18350051604.060001</v>
      </c>
      <c r="S147" s="118">
        <f>(R147/$R$148)</f>
        <v>1.3809481496957016E-2</v>
      </c>
      <c r="T147" s="62">
        <f t="shared" si="75"/>
        <v>2.3657290130346745E-2</v>
      </c>
      <c r="U147" s="84">
        <f t="shared" si="76"/>
        <v>0</v>
      </c>
      <c r="V147" s="63"/>
      <c r="W147" s="64"/>
      <c r="X147" s="64"/>
      <c r="Y147" s="60"/>
      <c r="Z147" s="60"/>
      <c r="AA147" s="65">
        <f>SUM(AA138:AA146)</f>
        <v>17321</v>
      </c>
      <c r="AB147" s="147"/>
      <c r="AC147" s="132"/>
    </row>
    <row r="148" spans="1:257" ht="15.75" customHeight="1" thickBot="1" x14ac:dyDescent="0.35">
      <c r="A148" s="158"/>
      <c r="B148" s="159"/>
      <c r="C148" s="160" t="s">
        <v>150</v>
      </c>
      <c r="D148" s="161"/>
      <c r="E148" s="161"/>
      <c r="F148" s="161"/>
      <c r="G148" s="161"/>
      <c r="H148" s="161"/>
      <c r="I148" s="161"/>
      <c r="J148" s="161"/>
      <c r="K148" s="161"/>
      <c r="L148" s="161"/>
      <c r="M148" s="220"/>
      <c r="N148" s="161"/>
      <c r="O148" s="161"/>
      <c r="P148" s="161">
        <f>SUM(P20,P51,P80,P100,P106,P130,P135,P147)</f>
        <v>1301718080759.1729</v>
      </c>
      <c r="Q148" s="162"/>
      <c r="R148" s="161">
        <f>SUM(R20,R51,R80,R100,R106,R130,R135,R147)</f>
        <v>1328800911757.876</v>
      </c>
      <c r="S148" s="162"/>
      <c r="T148" s="163"/>
      <c r="U148" s="164"/>
      <c r="V148" s="165"/>
      <c r="W148" s="166"/>
      <c r="X148" s="166"/>
      <c r="Y148" s="161"/>
      <c r="Z148" s="161"/>
      <c r="AA148" s="168">
        <f>SUM(AA20,AA51,AA80,AA100,AA106,AA130,AA135,AA147)</f>
        <v>881780</v>
      </c>
      <c r="AB148" s="167"/>
      <c r="AC148" s="132"/>
    </row>
    <row r="149" spans="1:257" ht="15.75" customHeight="1" x14ac:dyDescent="0.25">
      <c r="A149" s="185"/>
      <c r="B149" s="185"/>
      <c r="C149" s="185"/>
      <c r="D149" s="6"/>
      <c r="E149" s="6"/>
      <c r="F149" s="6"/>
      <c r="G149" s="6"/>
      <c r="H149" s="6"/>
      <c r="I149" s="186"/>
      <c r="J149" s="6"/>
      <c r="K149" s="6"/>
      <c r="L149" s="6"/>
      <c r="M149" s="221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57" ht="15.75" customHeight="1" x14ac:dyDescent="0.3">
      <c r="A150" s="179" t="s">
        <v>167</v>
      </c>
      <c r="B150" s="180" t="s">
        <v>228</v>
      </c>
      <c r="C150" s="181"/>
      <c r="D150" s="6"/>
      <c r="E150" s="6"/>
      <c r="F150" s="6"/>
      <c r="G150" s="6"/>
      <c r="H150" s="182"/>
      <c r="I150" s="6"/>
      <c r="J150" s="6"/>
      <c r="K150" s="6"/>
      <c r="L150" s="6"/>
      <c r="M150" s="221"/>
      <c r="N150" s="6"/>
      <c r="O150" s="6"/>
      <c r="P150" s="183"/>
      <c r="Q150" s="6"/>
      <c r="R150" s="183"/>
      <c r="S150" s="6"/>
      <c r="T150" s="6"/>
      <c r="U150" s="6"/>
      <c r="V150" s="6"/>
      <c r="W150" s="6"/>
      <c r="X150" s="6"/>
      <c r="Y150" s="6"/>
      <c r="Z150" s="6"/>
      <c r="AA150" s="6"/>
      <c r="AB150" s="184"/>
    </row>
    <row r="153" spans="1:257" ht="15.75" customHeight="1" x14ac:dyDescent="0.25">
      <c r="E153" s="102"/>
    </row>
  </sheetData>
  <mergeCells count="24">
    <mergeCell ref="A82:C82"/>
    <mergeCell ref="A92:C92"/>
    <mergeCell ref="A101:C101"/>
    <mergeCell ref="A107:C107"/>
    <mergeCell ref="A131:C131"/>
    <mergeCell ref="A1:AB1"/>
    <mergeCell ref="A3:C3"/>
    <mergeCell ref="A21:C21"/>
    <mergeCell ref="A52:C52"/>
    <mergeCell ref="A81:C81"/>
    <mergeCell ref="AA136:AB136"/>
    <mergeCell ref="J136:K136"/>
    <mergeCell ref="A137:C137"/>
    <mergeCell ref="L136:M136"/>
    <mergeCell ref="N136:O136"/>
    <mergeCell ref="P136:Q136"/>
    <mergeCell ref="A136:C136"/>
    <mergeCell ref="D136:F136"/>
    <mergeCell ref="G136:I136"/>
    <mergeCell ref="A141:C141"/>
    <mergeCell ref="R136:S136"/>
    <mergeCell ref="U136:V136"/>
    <mergeCell ref="W136:X136"/>
    <mergeCell ref="Y136:Z136"/>
  </mergeCells>
  <phoneticPr fontId="16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2" manualBreakCount="2">
    <brk id="60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M1" sqref="M1"/>
    </sheetView>
  </sheetViews>
  <sheetFormatPr defaultColWidth="10" defaultRowHeight="12.95" customHeight="1" x14ac:dyDescent="0.25"/>
  <cols>
    <col min="1" max="256" width="10" style="26" customWidth="1"/>
  </cols>
  <sheetData>
    <row r="1" spans="1:12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8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8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8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8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8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8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8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8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8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8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8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8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8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8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8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8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8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8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8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8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8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8"/>
    </row>
    <row r="24" spans="1:12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O1" sqref="O1"/>
    </sheetView>
  </sheetViews>
  <sheetFormatPr defaultColWidth="10" defaultRowHeight="12.95" customHeight="1" x14ac:dyDescent="0.25"/>
  <cols>
    <col min="1" max="256" width="10" style="29" customWidth="1"/>
  </cols>
  <sheetData>
    <row r="1" spans="1:14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O1" sqref="O1"/>
    </sheetView>
  </sheetViews>
  <sheetFormatPr defaultColWidth="8.85546875" defaultRowHeight="15" customHeight="1" x14ac:dyDescent="0.25"/>
  <cols>
    <col min="1" max="3" width="8.85546875" style="30" customWidth="1"/>
    <col min="4" max="4" width="10.42578125" style="30" customWidth="1"/>
    <col min="5" max="256" width="8.85546875" style="30" customWidth="1"/>
  </cols>
  <sheetData>
    <row r="1" spans="1:14" ht="1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8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8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8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8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8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8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8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8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8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8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8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8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8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8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8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8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8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8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8"/>
    </row>
    <row r="22" spans="1:14" ht="1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2022</vt:lpstr>
      <vt:lpstr>Market Share</vt:lpstr>
      <vt:lpstr>Unit Holders</vt:lpstr>
      <vt:lpstr>NAV Comparison Dec'21 &amp; Jan'22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2022-03-07T11:22:55Z</dcterms:modified>
</cp:coreProperties>
</file>