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tisaac\Desktop\Monthly NAVs\2021\"/>
    </mc:Choice>
  </mc:AlternateContent>
  <bookViews>
    <workbookView xWindow="0" yWindow="0" windowWidth="20490" windowHeight="6750"/>
  </bookViews>
  <sheets>
    <sheet name="DECEMBER 2021" sheetId="1" r:id="rId1"/>
    <sheet name="Market Share" sheetId="2" r:id="rId2"/>
    <sheet name="Unit Holders" sheetId="3" r:id="rId3"/>
    <sheet name="NAV Comparison Oct - Dec '21" sheetId="4" r:id="rId4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2" i="1" l="1"/>
  <c r="X17" i="1" l="1"/>
  <c r="W17" i="1"/>
  <c r="V17" i="1"/>
  <c r="U17" i="1"/>
  <c r="T17" i="1"/>
  <c r="Z89" i="1" l="1"/>
  <c r="Y89" i="1"/>
  <c r="Z85" i="1"/>
  <c r="Y85" i="1"/>
  <c r="K85" i="1"/>
  <c r="L85" i="1"/>
  <c r="K39" i="1"/>
  <c r="K64" i="1" l="1"/>
  <c r="K5" i="1"/>
  <c r="O85" i="1" l="1"/>
  <c r="N85" i="1"/>
  <c r="M85" i="1"/>
  <c r="J85" i="1"/>
  <c r="F85" i="1"/>
  <c r="G85" i="1"/>
  <c r="G88" i="1"/>
  <c r="AA5" i="1"/>
  <c r="AA39" i="1"/>
  <c r="AA64" i="1"/>
  <c r="AA123" i="1"/>
  <c r="Z96" i="1" l="1"/>
  <c r="Y96" i="1"/>
  <c r="R96" i="1"/>
  <c r="O96" i="1"/>
  <c r="N96" i="1"/>
  <c r="M96" i="1"/>
  <c r="K96" i="1"/>
  <c r="L96" i="1"/>
  <c r="J96" i="1"/>
  <c r="G96" i="1"/>
  <c r="F96" i="1"/>
  <c r="G94" i="1" l="1"/>
  <c r="G98" i="1"/>
  <c r="Z95" i="1"/>
  <c r="Y95" i="1"/>
  <c r="R95" i="1"/>
  <c r="O95" i="1"/>
  <c r="N95" i="1"/>
  <c r="M95" i="1"/>
  <c r="L95" i="1"/>
  <c r="K95" i="1"/>
  <c r="J95" i="1"/>
  <c r="G95" i="1"/>
  <c r="J128" i="1"/>
  <c r="F92" i="1"/>
  <c r="J47" i="1"/>
  <c r="X35" i="1"/>
  <c r="V34" i="1"/>
  <c r="V35" i="1"/>
  <c r="Z87" i="1"/>
  <c r="Y87" i="1"/>
  <c r="Z88" i="1"/>
  <c r="Y88" i="1"/>
  <c r="R88" i="1"/>
  <c r="O88" i="1"/>
  <c r="N88" i="1"/>
  <c r="M88" i="1"/>
  <c r="L88" i="1"/>
  <c r="K88" i="1"/>
  <c r="J88" i="1"/>
  <c r="O84" i="1"/>
  <c r="P88" i="1"/>
  <c r="P84" i="1"/>
  <c r="Z84" i="1"/>
  <c r="Y84" i="1"/>
  <c r="R84" i="1"/>
  <c r="N84" i="1"/>
  <c r="M84" i="1"/>
  <c r="L84" i="1"/>
  <c r="K84" i="1"/>
  <c r="J84" i="1"/>
  <c r="G84" i="1"/>
  <c r="F93" i="1"/>
  <c r="I25" i="1"/>
  <c r="Z92" i="1" l="1"/>
  <c r="Y92" i="1"/>
  <c r="R92" i="1"/>
  <c r="O92" i="1"/>
  <c r="N92" i="1"/>
  <c r="M92" i="1"/>
  <c r="L92" i="1"/>
  <c r="K92" i="1"/>
  <c r="J92" i="1"/>
  <c r="G92" i="1"/>
  <c r="J126" i="1" l="1"/>
  <c r="I32" i="1"/>
  <c r="I41" i="1"/>
  <c r="I144" i="1"/>
  <c r="V42" i="1"/>
  <c r="V48" i="1"/>
  <c r="V118" i="1"/>
  <c r="X117" i="1"/>
  <c r="X119" i="1"/>
  <c r="Z93" i="1"/>
  <c r="Y93" i="1"/>
  <c r="R93" i="1"/>
  <c r="O93" i="1"/>
  <c r="N93" i="1"/>
  <c r="M93" i="1"/>
  <c r="L93" i="1"/>
  <c r="K93" i="1"/>
  <c r="J93" i="1"/>
  <c r="G93" i="1"/>
  <c r="AA30" i="1"/>
  <c r="Z98" i="1"/>
  <c r="Y98" i="1"/>
  <c r="X95" i="1"/>
  <c r="W95" i="1"/>
  <c r="J94" i="1"/>
  <c r="K94" i="1"/>
  <c r="L94" i="1"/>
  <c r="M94" i="1"/>
  <c r="X94" i="1" s="1"/>
  <c r="N94" i="1"/>
  <c r="O94" i="1"/>
  <c r="R94" i="1"/>
  <c r="Z94" i="1"/>
  <c r="Y94" i="1"/>
  <c r="AA94" i="1"/>
  <c r="W98" i="1"/>
  <c r="R98" i="1"/>
  <c r="O98" i="1"/>
  <c r="N98" i="1"/>
  <c r="M98" i="1"/>
  <c r="X98" i="1" s="1"/>
  <c r="L98" i="1"/>
  <c r="U98" i="1" s="1"/>
  <c r="K98" i="1"/>
  <c r="V98" i="1" l="1"/>
  <c r="I48" i="1"/>
  <c r="AA137" i="1" l="1"/>
  <c r="I137" i="1"/>
  <c r="I68" i="1"/>
  <c r="P105" i="1" l="1"/>
  <c r="P98" i="1"/>
  <c r="P96" i="1"/>
  <c r="P95" i="1"/>
  <c r="P94" i="1"/>
  <c r="P93" i="1"/>
  <c r="P92" i="1"/>
  <c r="P85" i="1"/>
  <c r="P99" i="1" l="1"/>
  <c r="T76" i="1"/>
  <c r="T70" i="1"/>
  <c r="T132" i="1"/>
  <c r="R129" i="1" l="1"/>
  <c r="E146" i="1" l="1"/>
  <c r="AA134" i="1"/>
  <c r="R134" i="1"/>
  <c r="S132" i="1" s="1"/>
  <c r="P134" i="1"/>
  <c r="S133" i="1" l="1"/>
  <c r="S131" i="1"/>
  <c r="Q132" i="1"/>
  <c r="Q133" i="1"/>
  <c r="Q131" i="1"/>
  <c r="T134" i="1"/>
  <c r="AA145" i="1"/>
  <c r="R145" i="1"/>
  <c r="P145" i="1"/>
  <c r="AA99" i="1"/>
  <c r="R99" i="1"/>
  <c r="AA79" i="1"/>
  <c r="R79" i="1"/>
  <c r="P79" i="1"/>
  <c r="S93" i="1" l="1"/>
  <c r="S85" i="1"/>
  <c r="S94" i="1"/>
  <c r="S86" i="1"/>
  <c r="S87" i="1"/>
  <c r="S96" i="1"/>
  <c r="S88" i="1"/>
  <c r="S95" i="1"/>
  <c r="S97" i="1"/>
  <c r="S89" i="1"/>
  <c r="S98" i="1"/>
  <c r="S82" i="1"/>
  <c r="S83" i="1"/>
  <c r="S84" i="1"/>
  <c r="S61" i="1"/>
  <c r="S69" i="1"/>
  <c r="S77" i="1"/>
  <c r="S63" i="1"/>
  <c r="S71" i="1"/>
  <c r="S54" i="1"/>
  <c r="S62" i="1"/>
  <c r="S70" i="1"/>
  <c r="S78" i="1"/>
  <c r="S55" i="1"/>
  <c r="S53" i="1"/>
  <c r="S56" i="1"/>
  <c r="S64" i="1"/>
  <c r="S72" i="1"/>
  <c r="S65" i="1"/>
  <c r="S73" i="1"/>
  <c r="S75" i="1"/>
  <c r="S57" i="1"/>
  <c r="S67" i="1"/>
  <c r="S58" i="1"/>
  <c r="S66" i="1"/>
  <c r="S74" i="1"/>
  <c r="S59" i="1"/>
  <c r="S60" i="1"/>
  <c r="S68" i="1"/>
  <c r="S76" i="1"/>
  <c r="S142" i="1"/>
  <c r="S143" i="1"/>
  <c r="S144" i="1"/>
  <c r="S141" i="1"/>
  <c r="S138" i="1"/>
  <c r="Q142" i="1"/>
  <c r="Q143" i="1"/>
  <c r="Q144" i="1"/>
  <c r="Q141" i="1"/>
  <c r="Q138" i="1"/>
  <c r="Q98" i="1"/>
  <c r="Q89" i="1"/>
  <c r="Q92" i="1"/>
  <c r="Q82" i="1"/>
  <c r="Q96" i="1"/>
  <c r="Q83" i="1"/>
  <c r="Q93" i="1"/>
  <c r="Q84" i="1"/>
  <c r="Q88" i="1"/>
  <c r="Q94" i="1"/>
  <c r="Q85" i="1"/>
  <c r="Q95" i="1"/>
  <c r="Q86" i="1"/>
  <c r="Q87" i="1"/>
  <c r="Q97" i="1"/>
  <c r="Q59" i="1"/>
  <c r="Q60" i="1"/>
  <c r="Q68" i="1"/>
  <c r="Q76" i="1"/>
  <c r="Q62" i="1"/>
  <c r="Q70" i="1"/>
  <c r="Q63" i="1"/>
  <c r="Q71" i="1"/>
  <c r="Q61" i="1"/>
  <c r="Q69" i="1"/>
  <c r="Q77" i="1"/>
  <c r="Q54" i="1"/>
  <c r="Q78" i="1"/>
  <c r="Q55" i="1"/>
  <c r="Q53" i="1"/>
  <c r="Q67" i="1"/>
  <c r="Q56" i="1"/>
  <c r="Q64" i="1"/>
  <c r="Q72" i="1"/>
  <c r="Q57" i="1"/>
  <c r="Q65" i="1"/>
  <c r="Q73" i="1"/>
  <c r="Q58" i="1"/>
  <c r="Q66" i="1"/>
  <c r="Q74" i="1"/>
  <c r="Q75" i="1"/>
  <c r="X123" i="1"/>
  <c r="W123" i="1"/>
  <c r="V123" i="1"/>
  <c r="U123" i="1"/>
  <c r="T123" i="1"/>
  <c r="X122" i="1"/>
  <c r="W122" i="1"/>
  <c r="V122" i="1"/>
  <c r="U122" i="1"/>
  <c r="T122" i="1"/>
  <c r="X97" i="1" l="1"/>
  <c r="W97" i="1"/>
  <c r="V97" i="1"/>
  <c r="U97" i="1"/>
  <c r="T97" i="1"/>
  <c r="W96" i="1"/>
  <c r="X96" i="1"/>
  <c r="X89" i="1"/>
  <c r="W89" i="1"/>
  <c r="V89" i="1"/>
  <c r="U89" i="1"/>
  <c r="T89" i="1"/>
  <c r="W88" i="1"/>
  <c r="X88" i="1"/>
  <c r="X87" i="1"/>
  <c r="W87" i="1"/>
  <c r="V87" i="1"/>
  <c r="U87" i="1"/>
  <c r="T87" i="1"/>
  <c r="X86" i="1"/>
  <c r="W86" i="1"/>
  <c r="V86" i="1"/>
  <c r="U86" i="1"/>
  <c r="T86" i="1"/>
  <c r="X84" i="1"/>
  <c r="X85" i="1"/>
  <c r="X83" i="1"/>
  <c r="W83" i="1"/>
  <c r="V83" i="1"/>
  <c r="U83" i="1"/>
  <c r="T83" i="1"/>
  <c r="X82" i="1"/>
  <c r="W82" i="1"/>
  <c r="V82" i="1"/>
  <c r="U82" i="1"/>
  <c r="T82" i="1"/>
  <c r="U95" i="1" l="1"/>
  <c r="W94" i="1"/>
  <c r="U96" i="1"/>
  <c r="V95" i="1"/>
  <c r="V94" i="1"/>
  <c r="T96" i="1"/>
  <c r="T95" i="1"/>
  <c r="T94" i="1"/>
  <c r="U94" i="1"/>
  <c r="V96" i="1"/>
  <c r="U85" i="1"/>
  <c r="U88" i="1"/>
  <c r="T84" i="1"/>
  <c r="W84" i="1"/>
  <c r="U84" i="1"/>
  <c r="T88" i="1"/>
  <c r="V85" i="1"/>
  <c r="V88" i="1"/>
  <c r="W85" i="1"/>
  <c r="V84" i="1"/>
  <c r="T85" i="1"/>
  <c r="P129" i="1" l="1"/>
  <c r="T144" i="1"/>
  <c r="U137" i="1"/>
  <c r="U132" i="1"/>
  <c r="U133" i="1"/>
  <c r="U138" i="1"/>
  <c r="U142" i="1"/>
  <c r="U143" i="1"/>
  <c r="U144" i="1"/>
  <c r="T124" i="1"/>
  <c r="Q137" i="1"/>
  <c r="T50" i="1"/>
  <c r="T45" i="1"/>
  <c r="P51" i="1"/>
  <c r="P20" i="1"/>
  <c r="Q17" i="1" s="1"/>
  <c r="T58" i="1"/>
  <c r="P146" i="1" l="1"/>
  <c r="S108" i="1"/>
  <c r="S116" i="1"/>
  <c r="S124" i="1"/>
  <c r="S109" i="1"/>
  <c r="S117" i="1"/>
  <c r="S125" i="1"/>
  <c r="S110" i="1"/>
  <c r="S118" i="1"/>
  <c r="S126" i="1"/>
  <c r="S111" i="1"/>
  <c r="S119" i="1"/>
  <c r="S127" i="1"/>
  <c r="S112" i="1"/>
  <c r="S120" i="1"/>
  <c r="S128" i="1"/>
  <c r="S122" i="1"/>
  <c r="S113" i="1"/>
  <c r="S121" i="1"/>
  <c r="S114" i="1"/>
  <c r="S115" i="1"/>
  <c r="S123" i="1"/>
  <c r="Q103" i="1"/>
  <c r="Q102" i="1"/>
  <c r="Q104" i="1"/>
  <c r="Q24" i="1"/>
  <c r="Q25" i="1"/>
  <c r="Q33" i="1"/>
  <c r="Q26" i="1"/>
  <c r="Q34" i="1"/>
  <c r="Q42" i="1"/>
  <c r="Q50" i="1"/>
  <c r="Q38" i="1"/>
  <c r="Q47" i="1"/>
  <c r="Q40" i="1"/>
  <c r="Q27" i="1"/>
  <c r="Q35" i="1"/>
  <c r="Q43" i="1"/>
  <c r="Q23" i="1"/>
  <c r="Q41" i="1"/>
  <c r="Q28" i="1"/>
  <c r="Q36" i="1"/>
  <c r="Q44" i="1"/>
  <c r="Q46" i="1"/>
  <c r="Q39" i="1"/>
  <c r="Q48" i="1"/>
  <c r="Q29" i="1"/>
  <c r="Q37" i="1"/>
  <c r="Q45" i="1"/>
  <c r="Q30" i="1"/>
  <c r="Q31" i="1"/>
  <c r="Q32" i="1"/>
  <c r="Q49" i="1"/>
  <c r="Q6" i="1"/>
  <c r="Q7" i="1"/>
  <c r="Q15" i="1"/>
  <c r="Q10" i="1"/>
  <c r="Q8" i="1"/>
  <c r="Q16" i="1"/>
  <c r="Q9" i="1"/>
  <c r="Q18" i="1"/>
  <c r="Q11" i="1"/>
  <c r="Q19" i="1"/>
  <c r="Q12" i="1"/>
  <c r="Q5" i="1"/>
  <c r="Q13" i="1"/>
  <c r="Q14" i="1"/>
  <c r="S137" i="1"/>
  <c r="Q118" i="1" l="1"/>
  <c r="Q134" i="1"/>
  <c r="Q111" i="1"/>
  <c r="Q119" i="1"/>
  <c r="Q127" i="1"/>
  <c r="Q112" i="1"/>
  <c r="Q120" i="1"/>
  <c r="Q128" i="1"/>
  <c r="Q145" i="1"/>
  <c r="Q113" i="1"/>
  <c r="Q121" i="1"/>
  <c r="Q107" i="1"/>
  <c r="Q51" i="1"/>
  <c r="Q115" i="1"/>
  <c r="Q116" i="1"/>
  <c r="Q114" i="1"/>
  <c r="Q122" i="1"/>
  <c r="Q129" i="1"/>
  <c r="Q108" i="1"/>
  <c r="Q124" i="1"/>
  <c r="Q123" i="1"/>
  <c r="Q109" i="1"/>
  <c r="Q117" i="1"/>
  <c r="Q125" i="1"/>
  <c r="Q105" i="1"/>
  <c r="Q110" i="1"/>
  <c r="Q126" i="1"/>
  <c r="Q99" i="1"/>
  <c r="Q79" i="1"/>
  <c r="Q20" i="1"/>
  <c r="U145" i="1"/>
  <c r="U128" i="1"/>
  <c r="U127" i="1"/>
  <c r="U45" i="1"/>
  <c r="U44" i="1"/>
  <c r="X107" i="1" l="1"/>
  <c r="W120" i="1"/>
  <c r="T19" i="1" l="1"/>
  <c r="U64" i="1"/>
  <c r="U65" i="1"/>
  <c r="X132" i="1" l="1"/>
  <c r="T98" i="1" l="1"/>
  <c r="T57" i="1" l="1"/>
  <c r="X109" i="1"/>
  <c r="T127" i="1"/>
  <c r="T128" i="1"/>
  <c r="T56" i="1"/>
  <c r="AA105" i="1" l="1"/>
  <c r="T18" i="1" l="1"/>
  <c r="AA20" i="1"/>
  <c r="U19" i="1"/>
  <c r="U18" i="1"/>
  <c r="R20" i="1"/>
  <c r="S17" i="1" s="1"/>
  <c r="S7" i="1" l="1"/>
  <c r="S15" i="1"/>
  <c r="S13" i="1"/>
  <c r="S6" i="1"/>
  <c r="S8" i="1"/>
  <c r="S16" i="1"/>
  <c r="S10" i="1"/>
  <c r="S14" i="1"/>
  <c r="S9" i="1"/>
  <c r="S18" i="1"/>
  <c r="S11" i="1"/>
  <c r="S19" i="1"/>
  <c r="S12" i="1"/>
  <c r="S5" i="1"/>
  <c r="T20" i="1"/>
  <c r="X55" i="1" l="1"/>
  <c r="X49" i="1"/>
  <c r="W49" i="1"/>
  <c r="V49" i="1"/>
  <c r="U49" i="1"/>
  <c r="T49" i="1"/>
  <c r="U76" i="1" l="1"/>
  <c r="U28" i="1"/>
  <c r="X76" i="1" l="1"/>
  <c r="W76" i="1"/>
  <c r="V76" i="1"/>
  <c r="T48" i="1" l="1"/>
  <c r="X127" i="1" l="1"/>
  <c r="W127" i="1"/>
  <c r="V127" i="1"/>
  <c r="X56" i="1"/>
  <c r="W56" i="1"/>
  <c r="V56" i="1"/>
  <c r="U56" i="1"/>
  <c r="X48" i="1"/>
  <c r="W48" i="1"/>
  <c r="U48" i="1"/>
  <c r="X143" i="1" l="1"/>
  <c r="W143" i="1"/>
  <c r="V143" i="1"/>
  <c r="T143" i="1"/>
  <c r="X126" i="1" l="1"/>
  <c r="W126" i="1"/>
  <c r="V126" i="1"/>
  <c r="U126" i="1"/>
  <c r="T126" i="1"/>
  <c r="X47" i="1" l="1"/>
  <c r="W47" i="1"/>
  <c r="V47" i="1"/>
  <c r="U47" i="1"/>
  <c r="T47" i="1"/>
  <c r="X103" i="1" l="1"/>
  <c r="W103" i="1"/>
  <c r="V103" i="1"/>
  <c r="U103" i="1"/>
  <c r="T103" i="1"/>
  <c r="X77" i="1" l="1"/>
  <c r="W77" i="1"/>
  <c r="V77" i="1"/>
  <c r="U77" i="1"/>
  <c r="T77" i="1"/>
  <c r="X142" i="1"/>
  <c r="W142" i="1"/>
  <c r="V142" i="1"/>
  <c r="T142" i="1"/>
  <c r="T145" i="1" l="1"/>
  <c r="X144" i="1"/>
  <c r="W144" i="1"/>
  <c r="V144" i="1"/>
  <c r="X138" i="1"/>
  <c r="W138" i="1"/>
  <c r="V138" i="1"/>
  <c r="T138" i="1"/>
  <c r="X133" i="1"/>
  <c r="W133" i="1"/>
  <c r="V133" i="1"/>
  <c r="T133" i="1"/>
  <c r="W132" i="1"/>
  <c r="V132" i="1"/>
  <c r="X137" i="1"/>
  <c r="W137" i="1"/>
  <c r="V137" i="1"/>
  <c r="T137" i="1"/>
  <c r="X131" i="1"/>
  <c r="W131" i="1"/>
  <c r="V131" i="1"/>
  <c r="U131" i="1"/>
  <c r="T131" i="1"/>
  <c r="AA129" i="1"/>
  <c r="X128" i="1"/>
  <c r="W128" i="1"/>
  <c r="V128" i="1"/>
  <c r="X124" i="1"/>
  <c r="W124" i="1"/>
  <c r="V124" i="1"/>
  <c r="U124" i="1"/>
  <c r="X118" i="1"/>
  <c r="W118" i="1"/>
  <c r="U118" i="1"/>
  <c r="T118" i="1"/>
  <c r="W117" i="1"/>
  <c r="U117" i="1"/>
  <c r="T117" i="1"/>
  <c r="X121" i="1"/>
  <c r="W121" i="1"/>
  <c r="V121" i="1"/>
  <c r="U121" i="1"/>
  <c r="T121" i="1"/>
  <c r="X120" i="1"/>
  <c r="V120" i="1"/>
  <c r="U120" i="1"/>
  <c r="T120" i="1"/>
  <c r="X116" i="1"/>
  <c r="W116" i="1"/>
  <c r="V116" i="1"/>
  <c r="U116" i="1"/>
  <c r="T116" i="1"/>
  <c r="W119" i="1"/>
  <c r="V119" i="1"/>
  <c r="U119" i="1"/>
  <c r="T119" i="1"/>
  <c r="X114" i="1"/>
  <c r="W114" i="1"/>
  <c r="V114" i="1"/>
  <c r="U114" i="1"/>
  <c r="T114" i="1"/>
  <c r="X115" i="1"/>
  <c r="W115" i="1"/>
  <c r="V115" i="1"/>
  <c r="U115" i="1"/>
  <c r="T115" i="1"/>
  <c r="X113" i="1"/>
  <c r="W113" i="1"/>
  <c r="V113" i="1"/>
  <c r="U113" i="1"/>
  <c r="T113" i="1"/>
  <c r="X112" i="1"/>
  <c r="W112" i="1"/>
  <c r="V112" i="1"/>
  <c r="U112" i="1"/>
  <c r="T112" i="1"/>
  <c r="X125" i="1"/>
  <c r="W125" i="1"/>
  <c r="V125" i="1"/>
  <c r="U125" i="1"/>
  <c r="T125" i="1"/>
  <c r="X111" i="1"/>
  <c r="W111" i="1"/>
  <c r="V111" i="1"/>
  <c r="U111" i="1"/>
  <c r="T111" i="1"/>
  <c r="X110" i="1"/>
  <c r="W110" i="1"/>
  <c r="V110" i="1"/>
  <c r="U110" i="1"/>
  <c r="T110" i="1"/>
  <c r="W109" i="1"/>
  <c r="V109" i="1"/>
  <c r="U109" i="1"/>
  <c r="T109" i="1"/>
  <c r="X108" i="1"/>
  <c r="W108" i="1"/>
  <c r="V108" i="1"/>
  <c r="U108" i="1"/>
  <c r="T108" i="1"/>
  <c r="W107" i="1"/>
  <c r="V107" i="1"/>
  <c r="U107" i="1"/>
  <c r="T107" i="1"/>
  <c r="R105" i="1"/>
  <c r="Q101" i="1"/>
  <c r="X104" i="1"/>
  <c r="W104" i="1"/>
  <c r="V104" i="1"/>
  <c r="U104" i="1"/>
  <c r="T104" i="1"/>
  <c r="X102" i="1"/>
  <c r="W102" i="1"/>
  <c r="V102" i="1"/>
  <c r="U102" i="1"/>
  <c r="T102" i="1"/>
  <c r="X101" i="1"/>
  <c r="W101" i="1"/>
  <c r="V101" i="1"/>
  <c r="U101" i="1"/>
  <c r="T101" i="1"/>
  <c r="X78" i="1"/>
  <c r="W78" i="1"/>
  <c r="V78" i="1"/>
  <c r="U78" i="1"/>
  <c r="T78" i="1"/>
  <c r="X75" i="1"/>
  <c r="W75" i="1"/>
  <c r="V75" i="1"/>
  <c r="U75" i="1"/>
  <c r="T75" i="1"/>
  <c r="X74" i="1"/>
  <c r="W74" i="1"/>
  <c r="V74" i="1"/>
  <c r="U74" i="1"/>
  <c r="T74" i="1"/>
  <c r="X141" i="1"/>
  <c r="W141" i="1"/>
  <c r="V141" i="1"/>
  <c r="U141" i="1"/>
  <c r="T141" i="1"/>
  <c r="X73" i="1"/>
  <c r="W73" i="1"/>
  <c r="V73" i="1"/>
  <c r="U73" i="1"/>
  <c r="T73" i="1"/>
  <c r="X72" i="1"/>
  <c r="W72" i="1"/>
  <c r="V72" i="1"/>
  <c r="U72" i="1"/>
  <c r="T72" i="1"/>
  <c r="X93" i="1"/>
  <c r="W93" i="1"/>
  <c r="V93" i="1"/>
  <c r="U93" i="1"/>
  <c r="T93" i="1"/>
  <c r="X60" i="1"/>
  <c r="W60" i="1"/>
  <c r="V60" i="1"/>
  <c r="U60" i="1"/>
  <c r="T60" i="1"/>
  <c r="X71" i="1"/>
  <c r="W71" i="1"/>
  <c r="V71" i="1"/>
  <c r="U71" i="1"/>
  <c r="T71" i="1"/>
  <c r="X70" i="1"/>
  <c r="W70" i="1"/>
  <c r="V70" i="1"/>
  <c r="U70" i="1"/>
  <c r="X92" i="1"/>
  <c r="W92" i="1"/>
  <c r="V92" i="1"/>
  <c r="U92" i="1"/>
  <c r="T92" i="1"/>
  <c r="X69" i="1"/>
  <c r="W69" i="1"/>
  <c r="V69" i="1"/>
  <c r="U69" i="1"/>
  <c r="T69" i="1"/>
  <c r="X67" i="1"/>
  <c r="W67" i="1"/>
  <c r="V67" i="1"/>
  <c r="U67" i="1"/>
  <c r="T67" i="1"/>
  <c r="X68" i="1"/>
  <c r="W68" i="1"/>
  <c r="V68" i="1"/>
  <c r="U68" i="1"/>
  <c r="T68" i="1"/>
  <c r="X66" i="1"/>
  <c r="W66" i="1"/>
  <c r="V66" i="1"/>
  <c r="U66" i="1"/>
  <c r="T66" i="1"/>
  <c r="X65" i="1"/>
  <c r="W65" i="1"/>
  <c r="V65" i="1"/>
  <c r="T65" i="1"/>
  <c r="X64" i="1"/>
  <c r="W64" i="1"/>
  <c r="V64" i="1"/>
  <c r="T64" i="1"/>
  <c r="X63" i="1"/>
  <c r="W63" i="1"/>
  <c r="V63" i="1"/>
  <c r="U63" i="1"/>
  <c r="T63" i="1"/>
  <c r="X62" i="1"/>
  <c r="W62" i="1"/>
  <c r="V62" i="1"/>
  <c r="U62" i="1"/>
  <c r="T62" i="1"/>
  <c r="X61" i="1"/>
  <c r="W61" i="1"/>
  <c r="V61" i="1"/>
  <c r="U61" i="1"/>
  <c r="T61" i="1"/>
  <c r="X59" i="1"/>
  <c r="W59" i="1"/>
  <c r="V59" i="1"/>
  <c r="U59" i="1"/>
  <c r="T59" i="1"/>
  <c r="X58" i="1"/>
  <c r="W58" i="1"/>
  <c r="V58" i="1"/>
  <c r="U58" i="1"/>
  <c r="X57" i="1"/>
  <c r="W57" i="1"/>
  <c r="V57" i="1"/>
  <c r="U57" i="1"/>
  <c r="W55" i="1"/>
  <c r="V55" i="1"/>
  <c r="U55" i="1"/>
  <c r="T55" i="1"/>
  <c r="X54" i="1"/>
  <c r="W54" i="1"/>
  <c r="V54" i="1"/>
  <c r="U54" i="1"/>
  <c r="T54" i="1"/>
  <c r="X53" i="1"/>
  <c r="W53" i="1"/>
  <c r="V53" i="1"/>
  <c r="U53" i="1"/>
  <c r="T53" i="1"/>
  <c r="AA51" i="1"/>
  <c r="R51" i="1"/>
  <c r="X50" i="1"/>
  <c r="W50" i="1"/>
  <c r="V50" i="1"/>
  <c r="U50" i="1"/>
  <c r="X46" i="1"/>
  <c r="W46" i="1"/>
  <c r="V46" i="1"/>
  <c r="U46" i="1"/>
  <c r="T46" i="1"/>
  <c r="X45" i="1"/>
  <c r="W45" i="1"/>
  <c r="V45" i="1"/>
  <c r="X44" i="1"/>
  <c r="W44" i="1"/>
  <c r="V44" i="1"/>
  <c r="T44" i="1"/>
  <c r="X43" i="1"/>
  <c r="W43" i="1"/>
  <c r="V43" i="1"/>
  <c r="U43" i="1"/>
  <c r="T43" i="1"/>
  <c r="X42" i="1"/>
  <c r="W42" i="1"/>
  <c r="U42" i="1"/>
  <c r="T42" i="1"/>
  <c r="X41" i="1"/>
  <c r="W41" i="1"/>
  <c r="V41" i="1"/>
  <c r="U41" i="1"/>
  <c r="T41" i="1"/>
  <c r="X40" i="1"/>
  <c r="W40" i="1"/>
  <c r="V40" i="1"/>
  <c r="U40" i="1"/>
  <c r="T40" i="1"/>
  <c r="X39" i="1"/>
  <c r="W39" i="1"/>
  <c r="V39" i="1"/>
  <c r="U39" i="1"/>
  <c r="T39" i="1"/>
  <c r="X38" i="1"/>
  <c r="W38" i="1"/>
  <c r="V38" i="1"/>
  <c r="U38" i="1"/>
  <c r="T38" i="1"/>
  <c r="X37" i="1"/>
  <c r="W37" i="1"/>
  <c r="V37" i="1"/>
  <c r="U37" i="1"/>
  <c r="T37" i="1"/>
  <c r="X36" i="1"/>
  <c r="W36" i="1"/>
  <c r="V36" i="1"/>
  <c r="U36" i="1"/>
  <c r="T36" i="1"/>
  <c r="W35" i="1"/>
  <c r="U35" i="1"/>
  <c r="T35" i="1"/>
  <c r="X34" i="1"/>
  <c r="W34" i="1"/>
  <c r="U34" i="1"/>
  <c r="T34" i="1"/>
  <c r="X33" i="1"/>
  <c r="W33" i="1"/>
  <c r="V33" i="1"/>
  <c r="U33" i="1"/>
  <c r="T33" i="1"/>
  <c r="X32" i="1"/>
  <c r="W32" i="1"/>
  <c r="V32" i="1"/>
  <c r="U32" i="1"/>
  <c r="T32" i="1"/>
  <c r="X31" i="1"/>
  <c r="W31" i="1"/>
  <c r="V31" i="1"/>
  <c r="U31" i="1"/>
  <c r="T31" i="1"/>
  <c r="X30" i="1"/>
  <c r="W30" i="1"/>
  <c r="V30" i="1"/>
  <c r="U30" i="1"/>
  <c r="T30" i="1"/>
  <c r="X29" i="1"/>
  <c r="W29" i="1"/>
  <c r="V29" i="1"/>
  <c r="U29" i="1"/>
  <c r="T29" i="1"/>
  <c r="X28" i="1"/>
  <c r="W28" i="1"/>
  <c r="V28" i="1"/>
  <c r="T28" i="1"/>
  <c r="X27" i="1"/>
  <c r="W27" i="1"/>
  <c r="V27" i="1"/>
  <c r="U27" i="1"/>
  <c r="T27" i="1"/>
  <c r="X26" i="1"/>
  <c r="W26" i="1"/>
  <c r="V26" i="1"/>
  <c r="U26" i="1"/>
  <c r="T26" i="1"/>
  <c r="X25" i="1"/>
  <c r="W25" i="1"/>
  <c r="V25" i="1"/>
  <c r="U25" i="1"/>
  <c r="T25" i="1"/>
  <c r="X24" i="1"/>
  <c r="W24" i="1"/>
  <c r="V24" i="1"/>
  <c r="U24" i="1"/>
  <c r="T24" i="1"/>
  <c r="X23" i="1"/>
  <c r="W23" i="1"/>
  <c r="V23" i="1"/>
  <c r="U23" i="1"/>
  <c r="T23" i="1"/>
  <c r="X22" i="1"/>
  <c r="W22" i="1"/>
  <c r="V22" i="1"/>
  <c r="U22" i="1"/>
  <c r="T22" i="1"/>
  <c r="X18" i="1"/>
  <c r="W18" i="1"/>
  <c r="V18" i="1"/>
  <c r="X16" i="1"/>
  <c r="W16" i="1"/>
  <c r="V16" i="1"/>
  <c r="U16" i="1"/>
  <c r="T16" i="1"/>
  <c r="X15" i="1"/>
  <c r="W15" i="1"/>
  <c r="V15" i="1"/>
  <c r="U15" i="1"/>
  <c r="T15" i="1"/>
  <c r="X14" i="1"/>
  <c r="W14" i="1"/>
  <c r="V14" i="1"/>
  <c r="U14" i="1"/>
  <c r="T14" i="1"/>
  <c r="X13" i="1"/>
  <c r="W13" i="1"/>
  <c r="V13" i="1"/>
  <c r="U13" i="1"/>
  <c r="T13" i="1"/>
  <c r="X12" i="1"/>
  <c r="W12" i="1"/>
  <c r="V12" i="1"/>
  <c r="U12" i="1"/>
  <c r="T12" i="1"/>
  <c r="X11" i="1"/>
  <c r="W11" i="1"/>
  <c r="V11" i="1"/>
  <c r="U11" i="1"/>
  <c r="T11" i="1"/>
  <c r="X10" i="1"/>
  <c r="W10" i="1"/>
  <c r="V10" i="1"/>
  <c r="U10" i="1"/>
  <c r="T10" i="1"/>
  <c r="X9" i="1"/>
  <c r="W9" i="1"/>
  <c r="V9" i="1"/>
  <c r="U9" i="1"/>
  <c r="T9" i="1"/>
  <c r="X8" i="1"/>
  <c r="W8" i="1"/>
  <c r="V8" i="1"/>
  <c r="U8" i="1"/>
  <c r="T8" i="1"/>
  <c r="X7" i="1"/>
  <c r="W7" i="1"/>
  <c r="V7" i="1"/>
  <c r="U7" i="1"/>
  <c r="T7" i="1"/>
  <c r="X6" i="1"/>
  <c r="W6" i="1"/>
  <c r="V6" i="1"/>
  <c r="U6" i="1"/>
  <c r="T6" i="1"/>
  <c r="X5" i="1"/>
  <c r="W5" i="1"/>
  <c r="V5" i="1"/>
  <c r="U5" i="1"/>
  <c r="T5" i="1"/>
  <c r="X4" i="1"/>
  <c r="W4" i="1"/>
  <c r="V4" i="1"/>
  <c r="U4" i="1"/>
  <c r="T4" i="1"/>
  <c r="R146" i="1" l="1"/>
  <c r="S51" i="1" s="1"/>
  <c r="AA146" i="1"/>
  <c r="S102" i="1"/>
  <c r="S104" i="1"/>
  <c r="S103" i="1"/>
  <c r="S29" i="1"/>
  <c r="S37" i="1"/>
  <c r="S45" i="1"/>
  <c r="S40" i="1"/>
  <c r="S42" i="1"/>
  <c r="S30" i="1"/>
  <c r="S38" i="1"/>
  <c r="S46" i="1"/>
  <c r="S24" i="1"/>
  <c r="S23" i="1"/>
  <c r="S31" i="1"/>
  <c r="S39" i="1"/>
  <c r="S47" i="1"/>
  <c r="S32" i="1"/>
  <c r="S48" i="1"/>
  <c r="S50" i="1"/>
  <c r="S25" i="1"/>
  <c r="S33" i="1"/>
  <c r="S41" i="1"/>
  <c r="S49" i="1"/>
  <c r="S26" i="1"/>
  <c r="S34" i="1"/>
  <c r="S27" i="1"/>
  <c r="S35" i="1"/>
  <c r="S43" i="1"/>
  <c r="S28" i="1"/>
  <c r="S36" i="1"/>
  <c r="S44" i="1"/>
  <c r="T79" i="1"/>
  <c r="S92" i="1"/>
  <c r="S101" i="1"/>
  <c r="S107" i="1"/>
  <c r="Q4" i="1"/>
  <c r="Q22" i="1"/>
  <c r="T129" i="1"/>
  <c r="S22" i="1"/>
  <c r="T99" i="1"/>
  <c r="T51" i="1"/>
  <c r="S4" i="1"/>
  <c r="T105" i="1"/>
  <c r="S79" i="1" l="1"/>
  <c r="S99" i="1"/>
  <c r="S105" i="1"/>
  <c r="S20" i="1"/>
  <c r="S129" i="1"/>
  <c r="S145" i="1"/>
  <c r="S134" i="1"/>
  <c r="V117" i="1"/>
</calcChain>
</file>

<file path=xl/sharedStrings.xml><?xml version="1.0" encoding="utf-8"?>
<sst xmlns="http://schemas.openxmlformats.org/spreadsheetml/2006/main" count="313" uniqueCount="226">
  <si>
    <t>FUND MANAGER</t>
  </si>
  <si>
    <t>FUND</t>
  </si>
  <si>
    <t>EQUITIES</t>
  </si>
  <si>
    <t>UNQUOTED EQUITIES</t>
  </si>
  <si>
    <t>MONEY MARKET</t>
  </si>
  <si>
    <t>BONDS</t>
  </si>
  <si>
    <t>REAL ESTATE</t>
  </si>
  <si>
    <t>OTHERS</t>
  </si>
  <si>
    <t xml:space="preserve">TOTAL VALUE OF INVESTMENT (N)               </t>
  </si>
  <si>
    <t>TOTAL EXPENSES (N)</t>
  </si>
  <si>
    <t>NET INCOME/LOSS</t>
  </si>
  <si>
    <t>GROSS ASSET VALUE (N)</t>
  </si>
  <si>
    <t>TOTAL LIABILITIES (N)</t>
  </si>
  <si>
    <t>% ON TOTAL</t>
  </si>
  <si>
    <t>NET ASSET VALUE  (N)</t>
  </si>
  <si>
    <t>% CHANGE IN NAV</t>
  </si>
  <si>
    <t>EXPENSE RATIO (%)</t>
  </si>
  <si>
    <t>Return on Equity (RoE)</t>
  </si>
  <si>
    <t>Net Asset Per Unit</t>
  </si>
  <si>
    <t>Earnings Per Unit (EPU)</t>
  </si>
  <si>
    <t>BID PRICE (N)</t>
  </si>
  <si>
    <t>OFFER PRICE (N)</t>
  </si>
  <si>
    <t>NUMBER OF UNIT HOLDERS</t>
  </si>
  <si>
    <t>NUMBER OF UNITS</t>
  </si>
  <si>
    <t>EQUITY BASED FUNDS</t>
  </si>
  <si>
    <t>Stanbic IBTC Asset Mgt. Limited</t>
  </si>
  <si>
    <t>Stanbic IBTC Nigerian Equity Fund</t>
  </si>
  <si>
    <t>First City Asset Management Plc</t>
  </si>
  <si>
    <t>Legacy Equity Fund</t>
  </si>
  <si>
    <t>SCM Capital Limited</t>
  </si>
  <si>
    <t>Frontier Fund</t>
  </si>
  <si>
    <t>Chapel Hill Denham Mgt. Limited</t>
  </si>
  <si>
    <t>Paramount Equity Fund</t>
  </si>
  <si>
    <t>Afrinvest Asset Management Ltd.</t>
  </si>
  <si>
    <t>Afrinvest Equity Fund</t>
  </si>
  <si>
    <t>United Capital Asset Mgt. Ltd</t>
  </si>
  <si>
    <t>United Capital Equity Fund</t>
  </si>
  <si>
    <t xml:space="preserve">ARM Investment Managers Limited </t>
  </si>
  <si>
    <t>ARM Aggressive Growth Fund</t>
  </si>
  <si>
    <t>FBN Capital Asset Mgt</t>
  </si>
  <si>
    <t>FBN Nigeria Smart Beta Equity Fund</t>
  </si>
  <si>
    <t>Meristem Wealth Management Limited</t>
  </si>
  <si>
    <t>Meristem Equity Market Fund</t>
  </si>
  <si>
    <t>Stanbic IBTC Aggressive Fund (Sub Fund)</t>
  </si>
  <si>
    <t>AXA Mansard Investments Limited</t>
  </si>
  <si>
    <t>AXA Mansard Equity Income Fund</t>
  </si>
  <si>
    <t>Investment One Funds Management Limited</t>
  </si>
  <si>
    <t>Vantage Equity Income Fund</t>
  </si>
  <si>
    <t>PAC Asset Management Ltd.</t>
  </si>
  <si>
    <t>Pacam Equity Fund</t>
  </si>
  <si>
    <t>Global Asset Management Nig. Ltd</t>
  </si>
  <si>
    <t>Continental Unit Trust Fund (Inactive)</t>
  </si>
  <si>
    <t>Anchoria Asset Management Limited</t>
  </si>
  <si>
    <t>Anchoria Equity Fund</t>
  </si>
  <si>
    <t>Sub Total</t>
  </si>
  <si>
    <t>MONEY MARKET FUNDS</t>
  </si>
  <si>
    <t>Stanbic IBTC Money Market Fund</t>
  </si>
  <si>
    <t>FBN Capital Asset Mgt. Limited</t>
  </si>
  <si>
    <t>FBN Money Market Fund</t>
  </si>
  <si>
    <t>United Capital Money Market Fund</t>
  </si>
  <si>
    <t>AIICO Capital Ltd</t>
  </si>
  <si>
    <t>AIICO Money Market Fund</t>
  </si>
  <si>
    <t>ARM Money Market Fund</t>
  </si>
  <si>
    <t>Meristem Money Market Fund</t>
  </si>
  <si>
    <t xml:space="preserve"> AXA Mansard Investments Limited </t>
  </si>
  <si>
    <t>AXA Mansard Money Market Fund</t>
  </si>
  <si>
    <t xml:space="preserve">Greenwich Asst Management Ltd </t>
  </si>
  <si>
    <t>Greenwich Plus Money Market</t>
  </si>
  <si>
    <t>Cordros Asset Management Limited</t>
  </si>
  <si>
    <t>Cordros Money Market Fund</t>
  </si>
  <si>
    <t>PACAM Money Market Fund</t>
  </si>
  <si>
    <t>Chapel Hill Denham Money Market Fund(Frml NGIF)</t>
  </si>
  <si>
    <t>Abacus Money Market Fund</t>
  </si>
  <si>
    <t>EDC Fund Management</t>
  </si>
  <si>
    <t>EDC Money Market Class B</t>
  </si>
  <si>
    <t>Coronation Asset Management Limited</t>
  </si>
  <si>
    <t>Coronation Money Market Fund</t>
  </si>
  <si>
    <t>Zenith Asset Management Ltd</t>
  </si>
  <si>
    <t>Zenith Money Market Fund</t>
  </si>
  <si>
    <t>Afrinvest Plutus Fund</t>
  </si>
  <si>
    <t>Legacy Money Market Fund</t>
  </si>
  <si>
    <t xml:space="preserve">Growth and Development Asset Management Limited </t>
  </si>
  <si>
    <t>GDL Money Market Fund</t>
  </si>
  <si>
    <t>Vetiva Fund Managers Limited</t>
  </si>
  <si>
    <t>Vetiva Money Market Fund</t>
  </si>
  <si>
    <t>FSDH Asset Management Ltd</t>
  </si>
  <si>
    <t>FAAM Money Market Fund</t>
  </si>
  <si>
    <t>Anchoria Money Market Fund</t>
  </si>
  <si>
    <t>Trustbanc Asset Management Limited</t>
  </si>
  <si>
    <t>Trustbanc Money Market Fund</t>
  </si>
  <si>
    <t>ValuAlliance Asset Management Limited</t>
  </si>
  <si>
    <t>ValuAlliance Money Market Fund</t>
  </si>
  <si>
    <t>NOVAMBL Asset Management Limited</t>
  </si>
  <si>
    <t>NOVA Prime Money Market Fund</t>
  </si>
  <si>
    <t xml:space="preserve"> </t>
  </si>
  <si>
    <t>Stanbic IBTC Bond Fund</t>
  </si>
  <si>
    <t>Nigeria International Debt Fund</t>
  </si>
  <si>
    <t>Legacy USD Bond Fund</t>
  </si>
  <si>
    <t>Pacam Eurobond Fund</t>
  </si>
  <si>
    <t>Afrinvest Dollar Fund</t>
  </si>
  <si>
    <t>ARM Eurobond Fund</t>
  </si>
  <si>
    <t>Coral Income Fund</t>
  </si>
  <si>
    <t>United Capital Fixed Income Fund</t>
  </si>
  <si>
    <t>Vantage Guaranteed Income Fund</t>
  </si>
  <si>
    <t>Capital Express Assset &amp; Trust Limited</t>
  </si>
  <si>
    <t>CEAT Fixed Income Fund(Frml BGL Sapphire)</t>
  </si>
  <si>
    <t>Stanbic IBTC Guaranteed Investment Fund</t>
  </si>
  <si>
    <t>SFS Capital Nigeria Ltd</t>
  </si>
  <si>
    <t>SFS Fixed Income Fund</t>
  </si>
  <si>
    <t>Stanbic IBTC Absolute Fund (Sub Fund)</t>
  </si>
  <si>
    <t>Stanbic IBTC Conservative Fund (Sub Fund)</t>
  </si>
  <si>
    <t>Lotus Capital Limited</t>
  </si>
  <si>
    <t>Lotus Halal Fixed Income Fund</t>
  </si>
  <si>
    <t>PACAM Fixed Income Fund</t>
  </si>
  <si>
    <t>Stanbic IBTC Dollar Fund</t>
  </si>
  <si>
    <t>Kedari Investment Fund</t>
  </si>
  <si>
    <t>Zenith Income Fund</t>
  </si>
  <si>
    <t>Vantage Dollar Fund</t>
  </si>
  <si>
    <t>Lead Asset Mgt Ltd</t>
  </si>
  <si>
    <t xml:space="preserve">Lead Fixed Income Fund </t>
  </si>
  <si>
    <t>Coronation Fixed Income Fund</t>
  </si>
  <si>
    <t>Stanbic IBTC Shariah Fixed Income Fund</t>
  </si>
  <si>
    <t>Anchoria Fixed Income Fund</t>
  </si>
  <si>
    <t>Cordros Dollar Fund</t>
  </si>
  <si>
    <t>ARM Fixed Income Fund</t>
  </si>
  <si>
    <t>AVA Global Asset Managers Limited</t>
  </si>
  <si>
    <t>AVA GAM Fixed Income Dollar Fund</t>
  </si>
  <si>
    <t>FSDH Dollar Fund</t>
  </si>
  <si>
    <t>NOVA Dollar Fixed Income Fund</t>
  </si>
  <si>
    <t>REAL ESTATE FUNDS</t>
  </si>
  <si>
    <t>SFS Real Estate Investment Trust Fund</t>
  </si>
  <si>
    <t>Union Homes REITS</t>
  </si>
  <si>
    <t>UPDC Real Estate Investment Fund</t>
  </si>
  <si>
    <t>Nigeria Real Estate Investment Trust</t>
  </si>
  <si>
    <t>Stanbic IBTC Balanced Fund</t>
  </si>
  <si>
    <t>United Capital Balanced Fund</t>
  </si>
  <si>
    <t>Capital Express Balanced Fund</t>
  </si>
  <si>
    <t>AIICO Balanced Fund</t>
  </si>
  <si>
    <t>FBN Balanced Fund</t>
  </si>
  <si>
    <t>ValuAlliance Value Fund</t>
  </si>
  <si>
    <t>Wealth For Women Fund</t>
  </si>
  <si>
    <t>Nigeria Energy Sector Fund</t>
  </si>
  <si>
    <t>Coronation Balanced Fund</t>
  </si>
  <si>
    <t>Cordros Milestone Fund</t>
  </si>
  <si>
    <t>Nigeria Entertainment Fund</t>
  </si>
  <si>
    <t>Vantage Balanced Fund</t>
  </si>
  <si>
    <t>PACAM Balanced Fund</t>
  </si>
  <si>
    <t xml:space="preserve">Lead Balanced Fund </t>
  </si>
  <si>
    <t>ETHICAL FUNDS</t>
  </si>
  <si>
    <t>Stanbic IBTC Ethical Fund</t>
  </si>
  <si>
    <t>ARM Ethical Fund</t>
  </si>
  <si>
    <t>Stanbic IBTC Imaan Fund</t>
  </si>
  <si>
    <t>Grand Total</t>
  </si>
  <si>
    <t>CardinalStone Asset Mgt. Limited</t>
  </si>
  <si>
    <t>CardinalStone Fixed Income Alpha Fund</t>
  </si>
  <si>
    <t>GDL Income Fund</t>
  </si>
  <si>
    <t>Coral Money Market Fund (FSDH Treasury Bill Fund)</t>
  </si>
  <si>
    <t>AVA GAM Fixed Income Naira Fund</t>
  </si>
  <si>
    <t>Norrenberger Investment and Capital Management Limited</t>
  </si>
  <si>
    <t>Norrenberger Islamic Fund</t>
  </si>
  <si>
    <t>Core Asset Management Limited</t>
  </si>
  <si>
    <t>Core Investment Money Market Fund</t>
  </si>
  <si>
    <t>Core Value Mixed Fund</t>
  </si>
  <si>
    <t>United Capital Sukuk Fund</t>
  </si>
  <si>
    <t>Emerging Africa Asset Management Limited</t>
  </si>
  <si>
    <t>Emerging Africa Money Market Fund</t>
  </si>
  <si>
    <t>Emerging Africa Bond Fund</t>
  </si>
  <si>
    <t>Emerging Africa Eurobond Fund</t>
  </si>
  <si>
    <t>Stanbic IBTC Enhanced Short-Term Fixed Income Fund</t>
  </si>
  <si>
    <t>Note:</t>
  </si>
  <si>
    <t>*Continental Unit Trust Scheme is Inactive*</t>
  </si>
  <si>
    <t>TOTAL INCOME (N)</t>
  </si>
  <si>
    <t>Lotus Halal Investment  Fund</t>
  </si>
  <si>
    <t>ARM Discovery Balanced Fund</t>
  </si>
  <si>
    <t>EDC Money Market Class A</t>
  </si>
  <si>
    <t>Norrenberger Money Market Fund</t>
  </si>
  <si>
    <t xml:space="preserve">Futureview Asset Management Limited </t>
  </si>
  <si>
    <t>Futureview Equity Fund</t>
  </si>
  <si>
    <t>First Ally Asset Management Limited</t>
  </si>
  <si>
    <t>Coral Balanced Fund</t>
  </si>
  <si>
    <t>Women's Balanced Fund</t>
  </si>
  <si>
    <t>GDL Canary Balanced Fund</t>
  </si>
  <si>
    <t>DOLLAR FUNDS (EUROBONDS)</t>
  </si>
  <si>
    <t>DOLLAR FUND</t>
  </si>
  <si>
    <t>DOLLAR FUNDS (FIXED INCOME)</t>
  </si>
  <si>
    <t>FBN Eurobond Fund (Retail)</t>
  </si>
  <si>
    <t>FBN Eurobond Fund (Institutional)</t>
  </si>
  <si>
    <t>FBNQuest Asset Management Limited</t>
  </si>
  <si>
    <t>First City Asset Management Ltd.</t>
  </si>
  <si>
    <t>Nigeria Dollar Income Fund</t>
  </si>
  <si>
    <t>MIXED FUNDS</t>
  </si>
  <si>
    <t>ESG Impact Fund</t>
  </si>
  <si>
    <t>SHARI'AH COMPLIANT FUNDS</t>
  </si>
  <si>
    <t>SHARI'AH COMPLIANT FUNDS (EQUITIES)</t>
  </si>
  <si>
    <t>SHARI'AH COMPLIANT FUNDS (FIXED INCOME)</t>
  </si>
  <si>
    <t>FBN Halal Fund</t>
  </si>
  <si>
    <t>Norrenberger Investment &amp; Capital Management Limited</t>
  </si>
  <si>
    <t>BOND/FIXED INCOME FUNDS</t>
  </si>
  <si>
    <t>FBN Bond Fund (FBN Fixed Income Fund)</t>
  </si>
  <si>
    <t>Legacy Debt Fund</t>
  </si>
  <si>
    <t>EDC Fixed Income Fund</t>
  </si>
  <si>
    <t>Balanced Strategy Fund</t>
  </si>
  <si>
    <t>NOVA Hybrid Balanced Fund</t>
  </si>
  <si>
    <t>Emerging Africa Balanced-Diversity Fund (Gender/Diversity)</t>
  </si>
  <si>
    <t>72a</t>
  </si>
  <si>
    <t>72b</t>
  </si>
  <si>
    <t>S/N</t>
  </si>
  <si>
    <t>Stanbic IBTC Asset Management Limited</t>
  </si>
  <si>
    <t>6,930,096,964</t>
  </si>
  <si>
    <t>7,624,245,906</t>
  </si>
  <si>
    <t>57,068,807</t>
  </si>
  <si>
    <t>1,651,054,398.73</t>
  </si>
  <si>
    <t>1,626,836,507.53</t>
  </si>
  <si>
    <t>29,800,115,906.26</t>
  </si>
  <si>
    <t>138,937,321.13</t>
  </si>
  <si>
    <t xml:space="preserve">Nigerian Eurobond Fund </t>
  </si>
  <si>
    <t xml:space="preserve">53,524,301.69	</t>
  </si>
  <si>
    <t>-</t>
  </si>
  <si>
    <t>430,716,231.92</t>
  </si>
  <si>
    <t>2,252,787,256.37</t>
  </si>
  <si>
    <t>21,321,543.19</t>
  </si>
  <si>
    <t>402,256,108.08</t>
  </si>
  <si>
    <t>10,450,423,611.55</t>
  </si>
  <si>
    <t>63,958,010.61</t>
  </si>
  <si>
    <t>NET ASSET VALUE  (N) PREVIOUS (NOVEMBER)</t>
  </si>
  <si>
    <t>SPREADSHEET OF REGISTERED MUTUAL FUNDS AS AT 31ST DECEMBER,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</si>
</sst>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64" formatCode="&quot; &quot;* #,##0&quot; &quot;;&quot;-&quot;* #,##0&quot; &quot;;&quot; &quot;* &quot;-&quot;??&quot; &quot;"/>
    <numFmt numFmtId="165" formatCode="&quot; &quot;* #,##0.00&quot; &quot;;&quot;-&quot;* #,##0.00&quot; &quot;;&quot; &quot;* &quot;-&quot;??&quot; &quot;"/>
    <numFmt numFmtId="166" formatCode="&quot; &quot;* #,##0.00&quot; &quot;;&quot; &quot;* \(#,##0.00\);&quot; &quot;* &quot;-&quot;??&quot; &quot;"/>
    <numFmt numFmtId="167" formatCode="_-* #,##0_-;\-* #,##0_-;_-* &quot;-&quot;??_-;_-@_-"/>
  </numFmts>
  <fonts count="24" x14ac:knownFonts="1">
    <font>
      <sz val="11"/>
      <color indexed="8"/>
      <name val="Calibri"/>
    </font>
    <font>
      <b/>
      <sz val="12"/>
      <color indexed="8"/>
      <name val="Trebuchet MS"/>
      <family val="2"/>
    </font>
    <font>
      <sz val="12"/>
      <color indexed="8"/>
      <name val="Calibri"/>
      <family val="2"/>
    </font>
    <font>
      <sz val="8"/>
      <color indexed="8"/>
      <name val="Trebuchet MS"/>
      <family val="2"/>
    </font>
    <font>
      <b/>
      <sz val="8"/>
      <color indexed="8"/>
      <name val="Trebuchet MS"/>
      <family val="2"/>
    </font>
    <font>
      <sz val="12"/>
      <color indexed="8"/>
      <name val="Trebuchet MS"/>
      <family val="2"/>
    </font>
    <font>
      <sz val="8"/>
      <color indexed="9"/>
      <name val="Trebuchet MS"/>
      <family val="2"/>
    </font>
    <font>
      <b/>
      <sz val="12"/>
      <color indexed="8"/>
      <name val="Calibri"/>
      <family val="2"/>
    </font>
    <font>
      <i/>
      <sz val="12"/>
      <color indexed="8"/>
      <name val="Arial Narrow"/>
      <family val="2"/>
    </font>
    <font>
      <sz val="11"/>
      <color indexed="8"/>
      <name val="Calibri"/>
      <family val="2"/>
    </font>
    <font>
      <b/>
      <sz val="8"/>
      <color rgb="FFFF0000"/>
      <name val="Trebuchet MS"/>
      <family val="2"/>
    </font>
    <font>
      <sz val="8"/>
      <name val="Trebuchet MS"/>
      <family val="2"/>
    </font>
    <font>
      <b/>
      <sz val="36"/>
      <color indexed="9"/>
      <name val="Trebuchet MS"/>
      <family val="2"/>
    </font>
    <font>
      <sz val="8"/>
      <color rgb="FFFF0000"/>
      <name val="Trebuchet MS"/>
      <family val="2"/>
    </font>
    <font>
      <b/>
      <sz val="10"/>
      <color indexed="8"/>
      <name val="Calibri"/>
      <family val="2"/>
    </font>
    <font>
      <sz val="10"/>
      <color indexed="8"/>
      <name val="Arial Narrow"/>
      <family val="2"/>
    </font>
    <font>
      <sz val="8"/>
      <name val="Calibri"/>
      <family val="2"/>
    </font>
    <font>
      <sz val="8"/>
      <color rgb="FF000000"/>
      <name val="Trebuchet MS"/>
      <family val="2"/>
    </font>
    <font>
      <sz val="11"/>
      <color rgb="FF000000"/>
      <name val="Calibri"/>
      <family val="2"/>
    </font>
    <font>
      <b/>
      <sz val="10"/>
      <color indexed="8"/>
      <name val="Trebuchet MS"/>
      <family val="2"/>
    </font>
    <font>
      <sz val="11"/>
      <color indexed="8"/>
      <name val="Calibri"/>
      <family val="2"/>
    </font>
    <font>
      <b/>
      <sz val="8"/>
      <name val="Trebuchet MS"/>
      <family val="2"/>
    </font>
    <font>
      <sz val="8"/>
      <color theme="1"/>
      <name val="Trebuchet MS"/>
      <family val="2"/>
    </font>
    <font>
      <sz val="9"/>
      <color indexed="8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11"/>
      </top>
      <bottom/>
      <diagonal/>
    </border>
    <border>
      <left/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/>
      <bottom/>
      <diagonal/>
    </border>
    <border>
      <left/>
      <right/>
      <top/>
      <bottom/>
      <diagonal/>
    </border>
    <border>
      <left/>
      <right style="thin">
        <color indexed="11"/>
      </right>
      <top/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/>
      <top style="thin">
        <color indexed="11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AAAAAA"/>
      </right>
      <top style="thin">
        <color rgb="FFAAAAAA"/>
      </top>
      <bottom/>
      <diagonal/>
    </border>
    <border>
      <left/>
      <right style="thin">
        <color rgb="FFAAAAAA"/>
      </right>
      <top style="thin">
        <color rgb="FFAAAAAA"/>
      </top>
      <bottom style="thin">
        <color rgb="FFAAAAAA"/>
      </bottom>
      <diagonal/>
    </border>
    <border>
      <left/>
      <right style="thin">
        <color rgb="FFAAAAAA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 applyNumberFormat="0" applyFill="0" applyBorder="0" applyProtection="0"/>
    <xf numFmtId="43" fontId="9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48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NumberFormat="1" applyFont="1" applyFill="1" applyBorder="1" applyAlignment="1"/>
    <xf numFmtId="0" fontId="0" fillId="2" borderId="2" xfId="0" applyNumberFormat="1" applyFont="1" applyFill="1" applyBorder="1" applyAlignment="1"/>
    <xf numFmtId="0" fontId="0" fillId="2" borderId="4" xfId="0" applyNumberFormat="1" applyFont="1" applyFill="1" applyBorder="1" applyAlignment="1"/>
    <xf numFmtId="0" fontId="0" fillId="2" borderId="5" xfId="0" applyNumberFormat="1" applyFont="1" applyFill="1" applyBorder="1" applyAlignment="1"/>
    <xf numFmtId="0" fontId="0" fillId="2" borderId="6" xfId="0" applyNumberFormat="1" applyFont="1" applyFill="1" applyBorder="1" applyAlignment="1"/>
    <xf numFmtId="0" fontId="0" fillId="2" borderId="7" xfId="0" applyNumberFormat="1" applyFont="1" applyFill="1" applyBorder="1" applyAlignment="1"/>
    <xf numFmtId="165" fontId="3" fillId="2" borderId="3" xfId="0" applyNumberFormat="1" applyFont="1" applyFill="1" applyBorder="1" applyAlignment="1"/>
    <xf numFmtId="0" fontId="0" fillId="2" borderId="8" xfId="0" applyNumberFormat="1" applyFont="1" applyFill="1" applyBorder="1" applyAlignment="1"/>
    <xf numFmtId="0" fontId="2" fillId="2" borderId="6" xfId="0" applyNumberFormat="1" applyFont="1" applyFill="1" applyBorder="1" applyAlignment="1"/>
    <xf numFmtId="0" fontId="2" fillId="2" borderId="7" xfId="0" applyNumberFormat="1" applyFont="1" applyFill="1" applyBorder="1" applyAlignment="1"/>
    <xf numFmtId="0" fontId="0" fillId="2" borderId="10" xfId="0" applyNumberFormat="1" applyFont="1" applyFill="1" applyBorder="1" applyAlignment="1"/>
    <xf numFmtId="0" fontId="0" fillId="2" borderId="11" xfId="0" applyNumberFormat="1" applyFont="1" applyFill="1" applyBorder="1" applyAlignment="1"/>
    <xf numFmtId="0" fontId="2" fillId="2" borderId="12" xfId="0" applyNumberFormat="1" applyFont="1" applyFill="1" applyBorder="1" applyAlignment="1"/>
    <xf numFmtId="0" fontId="2" fillId="2" borderId="10" xfId="0" applyNumberFormat="1" applyFont="1" applyFill="1" applyBorder="1" applyAlignment="1"/>
    <xf numFmtId="0" fontId="2" fillId="2" borderId="4" xfId="0" applyNumberFormat="1" applyFont="1" applyFill="1" applyBorder="1" applyAlignment="1"/>
    <xf numFmtId="165" fontId="3" fillId="2" borderId="13" xfId="0" applyNumberFormat="1" applyFont="1" applyFill="1" applyBorder="1" applyAlignment="1"/>
    <xf numFmtId="164" fontId="3" fillId="2" borderId="13" xfId="0" applyNumberFormat="1" applyFont="1" applyFill="1" applyBorder="1" applyAlignment="1"/>
    <xf numFmtId="0" fontId="0" fillId="2" borderId="9" xfId="0" applyNumberFormat="1" applyFont="1" applyFill="1" applyBorder="1" applyAlignment="1"/>
    <xf numFmtId="165" fontId="2" fillId="2" borderId="10" xfId="0" applyNumberFormat="1" applyFont="1" applyFill="1" applyBorder="1" applyAlignment="1"/>
    <xf numFmtId="165" fontId="2" fillId="2" borderId="4" xfId="0" applyNumberFormat="1" applyFont="1" applyFill="1" applyBorder="1" applyAlignment="1"/>
    <xf numFmtId="3" fontId="2" fillId="2" borderId="10" xfId="0" applyNumberFormat="1" applyFont="1" applyFill="1" applyBorder="1" applyAlignment="1"/>
    <xf numFmtId="0" fontId="0" fillId="2" borderId="14" xfId="0" applyNumberFormat="1" applyFont="1" applyFill="1" applyBorder="1" applyAlignment="1"/>
    <xf numFmtId="0" fontId="0" fillId="2" borderId="15" xfId="0" applyNumberFormat="1" applyFont="1" applyFill="1" applyBorder="1" applyAlignment="1"/>
    <xf numFmtId="0" fontId="0" fillId="2" borderId="16" xfId="0" applyNumberFormat="1" applyFont="1" applyFill="1" applyBorder="1" applyAlignment="1"/>
    <xf numFmtId="0" fontId="0" fillId="0" borderId="0" xfId="0" applyNumberFormat="1" applyFont="1" applyAlignment="1"/>
    <xf numFmtId="0" fontId="0" fillId="2" borderId="17" xfId="0" applyNumberFormat="1" applyFont="1" applyFill="1" applyBorder="1" applyAlignment="1"/>
    <xf numFmtId="0" fontId="0" fillId="2" borderId="12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2" borderId="18" xfId="0" applyNumberFormat="1" applyFont="1" applyFill="1" applyBorder="1" applyAlignment="1"/>
    <xf numFmtId="4" fontId="2" fillId="2" borderId="6" xfId="0" applyNumberFormat="1" applyFont="1" applyFill="1" applyBorder="1" applyAlignment="1"/>
    <xf numFmtId="4" fontId="0" fillId="2" borderId="11" xfId="0" applyNumberFormat="1" applyFont="1" applyFill="1" applyBorder="1" applyAlignment="1"/>
    <xf numFmtId="165" fontId="5" fillId="2" borderId="11" xfId="0" applyNumberFormat="1" applyFont="1" applyFill="1" applyBorder="1" applyAlignment="1"/>
    <xf numFmtId="165" fontId="5" fillId="2" borderId="2" xfId="0" applyNumberFormat="1" applyFont="1" applyFill="1" applyBorder="1" applyAlignment="1"/>
    <xf numFmtId="165" fontId="5" fillId="2" borderId="6" xfId="0" applyNumberFormat="1" applyFont="1" applyFill="1" applyBorder="1" applyAlignment="1"/>
    <xf numFmtId="165" fontId="1" fillId="2" borderId="11" xfId="0" applyNumberFormat="1" applyFont="1" applyFill="1" applyBorder="1" applyAlignment="1"/>
    <xf numFmtId="0" fontId="2" fillId="2" borderId="11" xfId="0" applyNumberFormat="1" applyFont="1" applyFill="1" applyBorder="1" applyAlignment="1"/>
    <xf numFmtId="0" fontId="2" fillId="2" borderId="16" xfId="0" applyNumberFormat="1" applyFont="1" applyFill="1" applyBorder="1" applyAlignment="1"/>
    <xf numFmtId="0" fontId="0" fillId="2" borderId="20" xfId="0" applyNumberFormat="1" applyFont="1" applyFill="1" applyBorder="1" applyAlignment="1"/>
    <xf numFmtId="0" fontId="0" fillId="2" borderId="21" xfId="0" applyNumberFormat="1" applyFont="1" applyFill="1" applyBorder="1" applyAlignment="1"/>
    <xf numFmtId="4" fontId="2" fillId="2" borderId="11" xfId="0" applyNumberFormat="1" applyFont="1" applyFill="1" applyBorder="1" applyAlignment="1"/>
    <xf numFmtId="165" fontId="3" fillId="2" borderId="19" xfId="0" applyNumberFormat="1" applyFont="1" applyFill="1" applyBorder="1" applyAlignment="1"/>
    <xf numFmtId="4" fontId="3" fillId="2" borderId="19" xfId="0" applyNumberFormat="1" applyFont="1" applyFill="1" applyBorder="1" applyAlignment="1"/>
    <xf numFmtId="4" fontId="3" fillId="5" borderId="19" xfId="0" applyNumberFormat="1" applyFont="1" applyFill="1" applyBorder="1" applyAlignment="1"/>
    <xf numFmtId="165" fontId="3" fillId="7" borderId="19" xfId="0" applyNumberFormat="1" applyFont="1" applyFill="1" applyBorder="1" applyAlignment="1">
      <alignment horizontal="left"/>
    </xf>
    <xf numFmtId="10" fontId="3" fillId="6" borderId="19" xfId="0" applyNumberFormat="1" applyFont="1" applyFill="1" applyBorder="1" applyAlignment="1"/>
    <xf numFmtId="10" fontId="3" fillId="4" borderId="19" xfId="0" applyNumberFormat="1" applyFont="1" applyFill="1" applyBorder="1" applyAlignment="1"/>
    <xf numFmtId="10" fontId="3" fillId="3" borderId="19" xfId="0" applyNumberFormat="1" applyFont="1" applyFill="1" applyBorder="1" applyAlignment="1">
      <alignment horizontal="right" vertical="center"/>
    </xf>
    <xf numFmtId="165" fontId="3" fillId="3" borderId="19" xfId="0" applyNumberFormat="1" applyFont="1" applyFill="1" applyBorder="1" applyAlignment="1">
      <alignment horizontal="right" vertical="center"/>
    </xf>
    <xf numFmtId="164" fontId="3" fillId="2" borderId="19" xfId="0" applyNumberFormat="1" applyFont="1" applyFill="1" applyBorder="1" applyAlignment="1"/>
    <xf numFmtId="165" fontId="3" fillId="2" borderId="19" xfId="0" applyNumberFormat="1" applyFont="1" applyFill="1" applyBorder="1" applyAlignment="1">
      <alignment horizontal="left"/>
    </xf>
    <xf numFmtId="165" fontId="3" fillId="5" borderId="19" xfId="0" applyNumberFormat="1" applyFont="1" applyFill="1" applyBorder="1" applyAlignment="1"/>
    <xf numFmtId="0" fontId="3" fillId="2" borderId="19" xfId="0" applyNumberFormat="1" applyFont="1" applyFill="1" applyBorder="1" applyAlignment="1"/>
    <xf numFmtId="165" fontId="3" fillId="7" borderId="19" xfId="0" applyNumberFormat="1" applyFont="1" applyFill="1" applyBorder="1" applyAlignment="1"/>
    <xf numFmtId="164" fontId="3" fillId="2" borderId="19" xfId="0" applyNumberFormat="1" applyFont="1" applyFill="1" applyBorder="1" applyAlignment="1">
      <alignment horizontal="left"/>
    </xf>
    <xf numFmtId="10" fontId="6" fillId="3" borderId="19" xfId="0" applyNumberFormat="1" applyFont="1" applyFill="1" applyBorder="1" applyAlignment="1">
      <alignment horizontal="right" vertical="center"/>
    </xf>
    <xf numFmtId="165" fontId="6" fillId="3" borderId="19" xfId="0" applyNumberFormat="1" applyFont="1" applyFill="1" applyBorder="1" applyAlignment="1">
      <alignment horizontal="right" vertical="center"/>
    </xf>
    <xf numFmtId="165" fontId="4" fillId="2" borderId="19" xfId="0" applyNumberFormat="1" applyFont="1" applyFill="1" applyBorder="1" applyAlignment="1">
      <alignment vertical="top" wrapText="1"/>
    </xf>
    <xf numFmtId="49" fontId="4" fillId="2" borderId="19" xfId="0" applyNumberFormat="1" applyFont="1" applyFill="1" applyBorder="1" applyAlignment="1">
      <alignment horizontal="right"/>
    </xf>
    <xf numFmtId="165" fontId="4" fillId="2" borderId="19" xfId="0" applyNumberFormat="1" applyFont="1" applyFill="1" applyBorder="1" applyAlignment="1"/>
    <xf numFmtId="165" fontId="4" fillId="7" borderId="19" xfId="0" applyNumberFormat="1" applyFont="1" applyFill="1" applyBorder="1" applyAlignment="1"/>
    <xf numFmtId="10" fontId="4" fillId="4" borderId="19" xfId="0" applyNumberFormat="1" applyFont="1" applyFill="1" applyBorder="1" applyAlignment="1"/>
    <xf numFmtId="10" fontId="4" fillId="3" borderId="19" xfId="0" applyNumberFormat="1" applyFont="1" applyFill="1" applyBorder="1" applyAlignment="1">
      <alignment horizontal="right" vertical="center"/>
    </xf>
    <xf numFmtId="165" fontId="4" fillId="3" borderId="19" xfId="0" applyNumberFormat="1" applyFont="1" applyFill="1" applyBorder="1" applyAlignment="1">
      <alignment horizontal="right" vertical="center"/>
    </xf>
    <xf numFmtId="164" fontId="4" fillId="2" borderId="19" xfId="0" applyNumberFormat="1" applyFont="1" applyFill="1" applyBorder="1" applyAlignment="1"/>
    <xf numFmtId="0" fontId="3" fillId="4" borderId="19" xfId="0" applyNumberFormat="1" applyFont="1" applyFill="1" applyBorder="1" applyAlignment="1">
      <alignment vertical="top" wrapText="1"/>
    </xf>
    <xf numFmtId="0" fontId="3" fillId="0" borderId="19" xfId="0" applyFont="1" applyBorder="1" applyAlignment="1"/>
    <xf numFmtId="3" fontId="3" fillId="2" borderId="19" xfId="0" applyNumberFormat="1" applyFont="1" applyFill="1" applyBorder="1" applyAlignment="1"/>
    <xf numFmtId="165" fontId="3" fillId="5" borderId="19" xfId="0" applyNumberFormat="1" applyFont="1" applyFill="1" applyBorder="1" applyAlignment="1">
      <alignment horizontal="left"/>
    </xf>
    <xf numFmtId="165" fontId="4" fillId="2" borderId="19" xfId="0" applyNumberFormat="1" applyFont="1" applyFill="1" applyBorder="1" applyAlignment="1">
      <alignment wrapText="1"/>
    </xf>
    <xf numFmtId="165" fontId="3" fillId="4" borderId="19" xfId="0" applyNumberFormat="1" applyFont="1" applyFill="1" applyBorder="1" applyAlignment="1"/>
    <xf numFmtId="10" fontId="3" fillId="4" borderId="19" xfId="0" applyNumberFormat="1" applyFont="1" applyFill="1" applyBorder="1" applyAlignment="1">
      <alignment horizontal="right" vertical="center"/>
    </xf>
    <xf numFmtId="165" fontId="3" fillId="4" borderId="19" xfId="0" applyNumberFormat="1" applyFont="1" applyFill="1" applyBorder="1" applyAlignment="1">
      <alignment horizontal="right" vertical="center"/>
    </xf>
    <xf numFmtId="165" fontId="6" fillId="2" borderId="19" xfId="0" applyNumberFormat="1" applyFont="1" applyFill="1" applyBorder="1" applyAlignment="1">
      <alignment horizontal="left"/>
    </xf>
    <xf numFmtId="49" fontId="3" fillId="2" borderId="19" xfId="0" applyNumberFormat="1" applyFont="1" applyFill="1" applyBorder="1" applyAlignment="1">
      <alignment horizontal="right"/>
    </xf>
    <xf numFmtId="43" fontId="3" fillId="5" borderId="19" xfId="1" applyFont="1" applyFill="1" applyBorder="1" applyAlignment="1">
      <alignment horizontal="right"/>
    </xf>
    <xf numFmtId="10" fontId="10" fillId="9" borderId="19" xfId="0" applyNumberFormat="1" applyFont="1" applyFill="1" applyBorder="1" applyAlignment="1">
      <alignment horizontal="right" vertical="center"/>
    </xf>
    <xf numFmtId="165" fontId="3" fillId="0" borderId="19" xfId="0" applyNumberFormat="1" applyFont="1" applyFill="1" applyBorder="1" applyAlignment="1">
      <alignment horizontal="right"/>
    </xf>
    <xf numFmtId="165" fontId="3" fillId="0" borderId="19" xfId="0" applyNumberFormat="1" applyFont="1" applyFill="1" applyBorder="1" applyAlignment="1"/>
    <xf numFmtId="4" fontId="3" fillId="0" borderId="19" xfId="0" applyNumberFormat="1" applyFont="1" applyFill="1" applyBorder="1" applyAlignment="1"/>
    <xf numFmtId="165" fontId="3" fillId="0" borderId="19" xfId="0" applyNumberFormat="1" applyFont="1" applyFill="1" applyBorder="1" applyAlignment="1">
      <alignment horizontal="left"/>
    </xf>
    <xf numFmtId="165" fontId="4" fillId="0" borderId="19" xfId="0" applyNumberFormat="1" applyFont="1" applyFill="1" applyBorder="1" applyAlignment="1"/>
    <xf numFmtId="49" fontId="3" fillId="0" borderId="19" xfId="0" applyNumberFormat="1" applyFont="1" applyFill="1" applyBorder="1" applyAlignment="1"/>
    <xf numFmtId="49" fontId="3" fillId="0" borderId="19" xfId="0" applyNumberFormat="1" applyFont="1" applyFill="1" applyBorder="1" applyAlignment="1">
      <alignment wrapText="1"/>
    </xf>
    <xf numFmtId="10" fontId="13" fillId="9" borderId="19" xfId="0" applyNumberFormat="1" applyFont="1" applyFill="1" applyBorder="1" applyAlignment="1">
      <alignment horizontal="right" vertical="center"/>
    </xf>
    <xf numFmtId="49" fontId="3" fillId="0" borderId="19" xfId="0" applyNumberFormat="1" applyFont="1" applyFill="1" applyBorder="1" applyAlignment="1">
      <alignment vertical="center" wrapText="1"/>
    </xf>
    <xf numFmtId="49" fontId="3" fillId="0" borderId="19" xfId="0" applyNumberFormat="1" applyFont="1" applyFill="1" applyBorder="1" applyAlignment="1">
      <alignment vertical="top" wrapText="1"/>
    </xf>
    <xf numFmtId="49" fontId="11" fillId="0" borderId="19" xfId="0" applyNumberFormat="1" applyFont="1" applyFill="1" applyBorder="1" applyAlignment="1"/>
    <xf numFmtId="0" fontId="0" fillId="9" borderId="0" xfId="0" applyNumberFormat="1" applyFont="1" applyFill="1" applyAlignment="1"/>
    <xf numFmtId="0" fontId="0" fillId="9" borderId="0" xfId="0" applyFont="1" applyFill="1" applyAlignment="1"/>
    <xf numFmtId="0" fontId="3" fillId="2" borderId="11" xfId="0" applyNumberFormat="1" applyFont="1" applyFill="1" applyBorder="1" applyAlignment="1"/>
    <xf numFmtId="0" fontId="3" fillId="2" borderId="4" xfId="0" applyNumberFormat="1" applyFont="1" applyFill="1" applyBorder="1" applyAlignment="1"/>
    <xf numFmtId="0" fontId="3" fillId="2" borderId="5" xfId="0" applyNumberFormat="1" applyFont="1" applyFill="1" applyBorder="1" applyAlignment="1"/>
    <xf numFmtId="0" fontId="3" fillId="2" borderId="6" xfId="0" applyNumberFormat="1" applyFont="1" applyFill="1" applyBorder="1" applyAlignment="1"/>
    <xf numFmtId="0" fontId="3" fillId="2" borderId="7" xfId="0" applyNumberFormat="1" applyFont="1" applyFill="1" applyBorder="1" applyAlignment="1"/>
    <xf numFmtId="0" fontId="3" fillId="0" borderId="0" xfId="0" applyNumberFormat="1" applyFont="1" applyAlignment="1"/>
    <xf numFmtId="0" fontId="3" fillId="0" borderId="0" xfId="0" applyFont="1" applyAlignment="1"/>
    <xf numFmtId="4" fontId="3" fillId="2" borderId="19" xfId="0" applyNumberFormat="1" applyFont="1" applyFill="1" applyBorder="1" applyAlignment="1">
      <alignment horizontal="right"/>
    </xf>
    <xf numFmtId="10" fontId="3" fillId="13" borderId="19" xfId="0" applyNumberFormat="1" applyFont="1" applyFill="1" applyBorder="1" applyAlignment="1"/>
    <xf numFmtId="10" fontId="3" fillId="10" borderId="19" xfId="0" applyNumberFormat="1" applyFont="1" applyFill="1" applyBorder="1" applyAlignment="1">
      <alignment horizontal="right" vertical="center"/>
    </xf>
    <xf numFmtId="165" fontId="3" fillId="10" borderId="19" xfId="0" applyNumberFormat="1" applyFont="1" applyFill="1" applyBorder="1" applyAlignment="1">
      <alignment horizontal="right" vertical="center"/>
    </xf>
    <xf numFmtId="43" fontId="3" fillId="0" borderId="19" xfId="1" applyFont="1" applyFill="1" applyBorder="1" applyAlignment="1"/>
    <xf numFmtId="0" fontId="9" fillId="0" borderId="0" xfId="0" applyNumberFormat="1" applyFont="1" applyAlignment="1"/>
    <xf numFmtId="49" fontId="6" fillId="0" borderId="19" xfId="0" applyNumberFormat="1" applyFont="1" applyFill="1" applyBorder="1" applyAlignment="1">
      <alignment vertical="center" wrapText="1"/>
    </xf>
    <xf numFmtId="43" fontId="3" fillId="2" borderId="19" xfId="1" applyFont="1" applyFill="1" applyBorder="1" applyAlignment="1"/>
    <xf numFmtId="165" fontId="4" fillId="0" borderId="19" xfId="0" applyNumberFormat="1" applyFont="1" applyFill="1" applyBorder="1" applyAlignment="1">
      <alignment vertical="top" wrapText="1"/>
    </xf>
    <xf numFmtId="49" fontId="4" fillId="0" borderId="19" xfId="0" applyNumberFormat="1" applyFont="1" applyFill="1" applyBorder="1" applyAlignment="1">
      <alignment horizontal="right"/>
    </xf>
    <xf numFmtId="165" fontId="3" fillId="13" borderId="19" xfId="0" applyNumberFormat="1" applyFont="1" applyFill="1" applyBorder="1" applyAlignment="1"/>
    <xf numFmtId="165" fontId="3" fillId="7" borderId="19" xfId="0" applyNumberFormat="1" applyFont="1" applyFill="1" applyBorder="1"/>
    <xf numFmtId="165" fontId="3" fillId="12" borderId="19" xfId="0" applyNumberFormat="1" applyFont="1" applyFill="1" applyBorder="1"/>
    <xf numFmtId="0" fontId="18" fillId="14" borderId="23" xfId="0" applyFont="1" applyFill="1" applyBorder="1" applyAlignment="1"/>
    <xf numFmtId="0" fontId="18" fillId="14" borderId="24" xfId="0" applyFont="1" applyFill="1" applyBorder="1" applyAlignment="1"/>
    <xf numFmtId="0" fontId="18" fillId="14" borderId="6" xfId="0" applyFont="1" applyFill="1" applyBorder="1" applyAlignment="1"/>
    <xf numFmtId="0" fontId="18" fillId="14" borderId="25" xfId="0" applyFont="1" applyFill="1" applyBorder="1" applyAlignment="1"/>
    <xf numFmtId="0" fontId="18" fillId="0" borderId="6" xfId="0" applyFont="1" applyBorder="1" applyAlignment="1"/>
    <xf numFmtId="43" fontId="4" fillId="2" borderId="19" xfId="1" applyFont="1" applyFill="1" applyBorder="1" applyAlignment="1"/>
    <xf numFmtId="43" fontId="3" fillId="2" borderId="19" xfId="1" applyFont="1" applyFill="1" applyBorder="1" applyAlignment="1">
      <alignment horizontal="right"/>
    </xf>
    <xf numFmtId="49" fontId="3" fillId="17" borderId="19" xfId="0" applyNumberFormat="1" applyFont="1" applyFill="1" applyBorder="1" applyAlignment="1">
      <alignment wrapText="1"/>
    </xf>
    <xf numFmtId="165" fontId="3" fillId="13" borderId="19" xfId="0" applyNumberFormat="1" applyFont="1" applyFill="1" applyBorder="1"/>
    <xf numFmtId="49" fontId="3" fillId="17" borderId="19" xfId="0" applyNumberFormat="1" applyFont="1" applyFill="1" applyBorder="1" applyAlignment="1"/>
    <xf numFmtId="165" fontId="4" fillId="12" borderId="19" xfId="0" applyNumberFormat="1" applyFont="1" applyFill="1" applyBorder="1" applyAlignment="1"/>
    <xf numFmtId="165" fontId="4" fillId="11" borderId="19" xfId="0" applyNumberFormat="1" applyFont="1" applyFill="1" applyBorder="1" applyAlignment="1"/>
    <xf numFmtId="10" fontId="10" fillId="6" borderId="19" xfId="0" applyNumberFormat="1" applyFont="1" applyFill="1" applyBorder="1" applyAlignment="1"/>
    <xf numFmtId="165" fontId="4" fillId="18" borderId="19" xfId="0" applyNumberFormat="1" applyFont="1" applyFill="1" applyBorder="1" applyAlignment="1"/>
    <xf numFmtId="165" fontId="4" fillId="17" borderId="19" xfId="0" applyNumberFormat="1" applyFont="1" applyFill="1" applyBorder="1" applyAlignment="1">
      <alignment wrapText="1"/>
    </xf>
    <xf numFmtId="165" fontId="3" fillId="2" borderId="15" xfId="0" applyNumberFormat="1" applyFont="1" applyFill="1" applyBorder="1" applyAlignment="1"/>
    <xf numFmtId="164" fontId="3" fillId="2" borderId="15" xfId="0" applyNumberFormat="1" applyFont="1" applyFill="1" applyBorder="1" applyAlignment="1"/>
    <xf numFmtId="165" fontId="3" fillId="2" borderId="26" xfId="0" applyNumberFormat="1" applyFont="1" applyFill="1" applyBorder="1" applyAlignment="1"/>
    <xf numFmtId="165" fontId="3" fillId="18" borderId="19" xfId="0" applyNumberFormat="1" applyFont="1" applyFill="1" applyBorder="1" applyAlignment="1"/>
    <xf numFmtId="165" fontId="3" fillId="19" borderId="19" xfId="0" applyNumberFormat="1" applyFont="1" applyFill="1" applyBorder="1" applyAlignment="1"/>
    <xf numFmtId="165" fontId="3" fillId="19" borderId="19" xfId="0" applyNumberFormat="1" applyFont="1" applyFill="1" applyBorder="1"/>
    <xf numFmtId="10" fontId="3" fillId="19" borderId="19" xfId="0" applyNumberFormat="1" applyFont="1" applyFill="1" applyBorder="1" applyAlignment="1"/>
    <xf numFmtId="10" fontId="10" fillId="19" borderId="19" xfId="0" applyNumberFormat="1" applyFont="1" applyFill="1" applyBorder="1" applyAlignment="1">
      <alignment horizontal="right" vertical="center"/>
    </xf>
    <xf numFmtId="10" fontId="3" fillId="19" borderId="19" xfId="0" applyNumberFormat="1" applyFont="1" applyFill="1" applyBorder="1" applyAlignment="1">
      <alignment horizontal="right" vertical="center"/>
    </xf>
    <xf numFmtId="165" fontId="3" fillId="19" borderId="19" xfId="0" applyNumberFormat="1" applyFont="1" applyFill="1" applyBorder="1" applyAlignment="1">
      <alignment horizontal="right" vertical="center"/>
    </xf>
    <xf numFmtId="3" fontId="3" fillId="19" borderId="19" xfId="0" applyNumberFormat="1" applyFont="1" applyFill="1" applyBorder="1" applyAlignment="1"/>
    <xf numFmtId="10" fontId="13" fillId="19" borderId="19" xfId="0" applyNumberFormat="1" applyFont="1" applyFill="1" applyBorder="1" applyAlignment="1">
      <alignment horizontal="right" vertical="center"/>
    </xf>
    <xf numFmtId="164" fontId="3" fillId="19" borderId="19" xfId="0" applyNumberFormat="1" applyFont="1" applyFill="1" applyBorder="1" applyAlignment="1"/>
    <xf numFmtId="4" fontId="3" fillId="19" borderId="19" xfId="0" applyNumberFormat="1" applyFont="1" applyFill="1" applyBorder="1" applyAlignment="1"/>
    <xf numFmtId="9" fontId="13" fillId="9" borderId="19" xfId="2" applyFont="1" applyFill="1" applyBorder="1" applyAlignment="1">
      <alignment horizontal="right" vertical="center"/>
    </xf>
    <xf numFmtId="165" fontId="3" fillId="17" borderId="6" xfId="0" applyNumberFormat="1" applyFont="1" applyFill="1" applyBorder="1"/>
    <xf numFmtId="165" fontId="4" fillId="17" borderId="6" xfId="0" applyNumberFormat="1" applyFont="1" applyFill="1" applyBorder="1"/>
    <xf numFmtId="0" fontId="0" fillId="0" borderId="6" xfId="0" applyNumberFormat="1" applyFont="1" applyBorder="1" applyAlignment="1"/>
    <xf numFmtId="49" fontId="1" fillId="3" borderId="19" xfId="0" applyNumberFormat="1" applyFont="1" applyFill="1" applyBorder="1" applyAlignment="1">
      <alignment horizontal="center" vertical="top" wrapText="1"/>
    </xf>
    <xf numFmtId="0" fontId="4" fillId="4" borderId="19" xfId="0" applyNumberFormat="1" applyFont="1" applyFill="1" applyBorder="1" applyAlignment="1">
      <alignment vertical="top" wrapText="1"/>
    </xf>
    <xf numFmtId="49" fontId="17" fillId="0" borderId="19" xfId="0" applyNumberFormat="1" applyFont="1" applyBorder="1" applyAlignment="1">
      <alignment wrapText="1"/>
    </xf>
    <xf numFmtId="10" fontId="13" fillId="15" borderId="19" xfId="0" applyNumberFormat="1" applyFont="1" applyFill="1" applyBorder="1" applyAlignment="1">
      <alignment horizontal="right" vertical="center"/>
    </xf>
    <xf numFmtId="10" fontId="17" fillId="16" borderId="19" xfId="0" applyNumberFormat="1" applyFont="1" applyFill="1" applyBorder="1" applyAlignment="1">
      <alignment horizontal="right" vertical="center"/>
    </xf>
    <xf numFmtId="165" fontId="17" fillId="16" borderId="19" xfId="0" applyNumberFormat="1" applyFont="1" applyFill="1" applyBorder="1" applyAlignment="1">
      <alignment horizontal="right" vertical="center"/>
    </xf>
    <xf numFmtId="0" fontId="21" fillId="19" borderId="19" xfId="0" applyFont="1" applyFill="1" applyBorder="1" applyAlignment="1">
      <alignment wrapText="1"/>
    </xf>
    <xf numFmtId="49" fontId="1" fillId="3" borderId="31" xfId="0" applyNumberFormat="1" applyFont="1" applyFill="1" applyBorder="1" applyAlignment="1">
      <alignment horizontal="center" vertical="top" wrapText="1"/>
    </xf>
    <xf numFmtId="49" fontId="1" fillId="3" borderId="27" xfId="0" applyNumberFormat="1" applyFont="1" applyFill="1" applyBorder="1" applyAlignment="1">
      <alignment horizontal="center" vertical="top" wrapText="1"/>
    </xf>
    <xf numFmtId="0" fontId="4" fillId="4" borderId="27" xfId="0" applyNumberFormat="1" applyFont="1" applyFill="1" applyBorder="1" applyAlignment="1">
      <alignment vertical="top" wrapText="1"/>
    </xf>
    <xf numFmtId="164" fontId="3" fillId="17" borderId="31" xfId="0" applyNumberFormat="1" applyFont="1" applyFill="1" applyBorder="1" applyAlignment="1">
      <alignment horizontal="center" wrapText="1"/>
    </xf>
    <xf numFmtId="4" fontId="3" fillId="2" borderId="27" xfId="0" applyNumberFormat="1" applyFont="1" applyFill="1" applyBorder="1" applyAlignment="1"/>
    <xf numFmtId="165" fontId="3" fillId="2" borderId="27" xfId="0" applyNumberFormat="1" applyFont="1" applyFill="1" applyBorder="1" applyAlignment="1"/>
    <xf numFmtId="164" fontId="4" fillId="2" borderId="31" xfId="0" applyNumberFormat="1" applyFont="1" applyFill="1" applyBorder="1" applyAlignment="1">
      <alignment horizontal="center"/>
    </xf>
    <xf numFmtId="165" fontId="4" fillId="2" borderId="27" xfId="0" applyNumberFormat="1" applyFont="1" applyFill="1" applyBorder="1" applyAlignment="1"/>
    <xf numFmtId="0" fontId="3" fillId="4" borderId="27" xfId="0" applyNumberFormat="1" applyFont="1" applyFill="1" applyBorder="1" applyAlignment="1">
      <alignment vertical="top" wrapText="1"/>
    </xf>
    <xf numFmtId="49" fontId="4" fillId="17" borderId="31" xfId="0" applyNumberFormat="1" applyFont="1" applyFill="1" applyBorder="1" applyAlignment="1">
      <alignment horizontal="center" wrapText="1"/>
    </xf>
    <xf numFmtId="165" fontId="3" fillId="4" borderId="27" xfId="0" applyNumberFormat="1" applyFont="1" applyFill="1" applyBorder="1" applyAlignment="1"/>
    <xf numFmtId="165" fontId="3" fillId="2" borderId="27" xfId="0" applyNumberFormat="1" applyFont="1" applyFill="1" applyBorder="1" applyAlignment="1">
      <alignment horizontal="center" wrapText="1"/>
    </xf>
    <xf numFmtId="3" fontId="3" fillId="2" borderId="27" xfId="0" applyNumberFormat="1" applyFont="1" applyFill="1" applyBorder="1" applyAlignment="1"/>
    <xf numFmtId="165" fontId="3" fillId="19" borderId="27" xfId="0" applyNumberFormat="1" applyFont="1" applyFill="1" applyBorder="1" applyAlignment="1"/>
    <xf numFmtId="164" fontId="4" fillId="0" borderId="31" xfId="0" applyNumberFormat="1" applyFont="1" applyFill="1" applyBorder="1" applyAlignment="1">
      <alignment horizontal="center" wrapText="1"/>
    </xf>
    <xf numFmtId="164" fontId="4" fillId="2" borderId="31" xfId="0" applyNumberFormat="1" applyFont="1" applyFill="1" applyBorder="1" applyAlignment="1">
      <alignment horizontal="center" wrapText="1"/>
    </xf>
    <xf numFmtId="165" fontId="4" fillId="2" borderId="27" xfId="0" applyNumberFormat="1" applyFont="1" applyFill="1" applyBorder="1" applyAlignment="1">
      <alignment wrapText="1"/>
    </xf>
    <xf numFmtId="164" fontId="3" fillId="0" borderId="31" xfId="0" applyNumberFormat="1" applyFont="1" applyFill="1" applyBorder="1" applyAlignment="1">
      <alignment horizontal="center"/>
    </xf>
    <xf numFmtId="164" fontId="3" fillId="8" borderId="32" xfId="0" applyNumberFormat="1" applyFont="1" applyFill="1" applyBorder="1" applyAlignment="1">
      <alignment horizontal="center" wrapText="1"/>
    </xf>
    <xf numFmtId="165" fontId="3" fillId="8" borderId="22" xfId="0" applyNumberFormat="1" applyFont="1" applyFill="1" applyBorder="1" applyAlignment="1">
      <alignment wrapText="1"/>
    </xf>
    <xf numFmtId="49" fontId="4" fillId="8" borderId="22" xfId="0" applyNumberFormat="1" applyFont="1" applyFill="1" applyBorder="1" applyAlignment="1">
      <alignment horizontal="right"/>
    </xf>
    <xf numFmtId="165" fontId="4" fillId="8" borderId="22" xfId="0" applyNumberFormat="1" applyFont="1" applyFill="1" applyBorder="1" applyAlignment="1"/>
    <xf numFmtId="10" fontId="4" fillId="6" borderId="22" xfId="0" applyNumberFormat="1" applyFont="1" applyFill="1" applyBorder="1" applyAlignment="1"/>
    <xf numFmtId="10" fontId="4" fillId="4" borderId="22" xfId="0" applyNumberFormat="1" applyFont="1" applyFill="1" applyBorder="1" applyAlignment="1"/>
    <xf numFmtId="10" fontId="10" fillId="9" borderId="22" xfId="0" applyNumberFormat="1" applyFont="1" applyFill="1" applyBorder="1" applyAlignment="1">
      <alignment horizontal="right" vertical="center"/>
    </xf>
    <xf numFmtId="10" fontId="4" fillId="3" borderId="22" xfId="0" applyNumberFormat="1" applyFont="1" applyFill="1" applyBorder="1" applyAlignment="1">
      <alignment horizontal="right" vertical="center"/>
    </xf>
    <xf numFmtId="165" fontId="4" fillId="3" borderId="22" xfId="0" applyNumberFormat="1" applyFont="1" applyFill="1" applyBorder="1" applyAlignment="1">
      <alignment horizontal="right" vertical="center"/>
    </xf>
    <xf numFmtId="165" fontId="4" fillId="8" borderId="33" xfId="0" applyNumberFormat="1" applyFont="1" applyFill="1" applyBorder="1" applyAlignment="1"/>
    <xf numFmtId="164" fontId="4" fillId="8" borderId="22" xfId="0" applyNumberFormat="1" applyFont="1" applyFill="1" applyBorder="1" applyAlignment="1"/>
    <xf numFmtId="167" fontId="4" fillId="2" borderId="19" xfId="1" applyNumberFormat="1" applyFont="1" applyFill="1" applyBorder="1" applyAlignment="1"/>
    <xf numFmtId="165" fontId="5" fillId="17" borderId="16" xfId="0" applyNumberFormat="1" applyFont="1" applyFill="1" applyBorder="1" applyAlignment="1"/>
    <xf numFmtId="0" fontId="0" fillId="17" borderId="10" xfId="0" applyNumberFormat="1" applyFont="1" applyFill="1" applyBorder="1" applyAlignment="1"/>
    <xf numFmtId="0" fontId="0" fillId="17" borderId="5" xfId="0" applyNumberFormat="1" applyFont="1" applyFill="1" applyBorder="1" applyAlignment="1"/>
    <xf numFmtId="0" fontId="0" fillId="17" borderId="6" xfId="0" applyNumberFormat="1" applyFont="1" applyFill="1" applyBorder="1" applyAlignment="1"/>
    <xf numFmtId="0" fontId="0" fillId="17" borderId="7" xfId="0" applyNumberFormat="1" applyFont="1" applyFill="1" applyBorder="1" applyAlignment="1"/>
    <xf numFmtId="0" fontId="0" fillId="17" borderId="0" xfId="0" applyNumberFormat="1" applyFont="1" applyFill="1" applyAlignment="1"/>
    <xf numFmtId="0" fontId="0" fillId="17" borderId="11" xfId="0" applyNumberFormat="1" applyFont="1" applyFill="1" applyBorder="1" applyAlignment="1"/>
    <xf numFmtId="0" fontId="0" fillId="17" borderId="4" xfId="0" applyNumberFormat="1" applyFont="1" applyFill="1" applyBorder="1" applyAlignment="1"/>
    <xf numFmtId="0" fontId="0" fillId="0" borderId="19" xfId="0" applyNumberFormat="1" applyFont="1" applyBorder="1" applyAlignment="1"/>
    <xf numFmtId="165" fontId="4" fillId="12" borderId="19" xfId="0" applyNumberFormat="1" applyFont="1" applyFill="1" applyBorder="1"/>
    <xf numFmtId="0" fontId="14" fillId="2" borderId="6" xfId="0" applyNumberFormat="1" applyFont="1" applyFill="1" applyBorder="1" applyAlignment="1"/>
    <xf numFmtId="0" fontId="15" fillId="2" borderId="6" xfId="0" applyNumberFormat="1" applyFont="1" applyFill="1" applyBorder="1" applyAlignment="1"/>
    <xf numFmtId="0" fontId="8" fillId="2" borderId="6" xfId="0" applyNumberFormat="1" applyFont="1" applyFill="1" applyBorder="1" applyAlignment="1"/>
    <xf numFmtId="4" fontId="4" fillId="0" borderId="6" xfId="0" applyNumberFormat="1" applyFont="1" applyBorder="1" applyAlignment="1"/>
    <xf numFmtId="165" fontId="2" fillId="2" borderId="6" xfId="0" applyNumberFormat="1" applyFont="1" applyFill="1" applyBorder="1" applyAlignment="1"/>
    <xf numFmtId="166" fontId="2" fillId="2" borderId="6" xfId="0" applyNumberFormat="1" applyFont="1" applyFill="1" applyBorder="1" applyAlignment="1"/>
    <xf numFmtId="0" fontId="7" fillId="2" borderId="6" xfId="0" applyNumberFormat="1" applyFont="1" applyFill="1" applyBorder="1" applyAlignment="1"/>
    <xf numFmtId="4" fontId="0" fillId="2" borderId="6" xfId="0" applyNumberFormat="1" applyFont="1" applyFill="1" applyBorder="1" applyAlignment="1"/>
    <xf numFmtId="165" fontId="3" fillId="11" borderId="19" xfId="0" applyNumberFormat="1" applyFont="1" applyFill="1" applyBorder="1" applyAlignment="1">
      <alignment horizontal="left"/>
    </xf>
    <xf numFmtId="10" fontId="3" fillId="9" borderId="19" xfId="0" applyNumberFormat="1" applyFont="1" applyFill="1" applyBorder="1" applyAlignment="1"/>
    <xf numFmtId="165" fontId="3" fillId="11" borderId="19" xfId="0" applyNumberFormat="1" applyFont="1" applyFill="1" applyBorder="1" applyAlignment="1"/>
    <xf numFmtId="2" fontId="3" fillId="0" borderId="19" xfId="0" applyNumberFormat="1" applyFont="1" applyFill="1" applyBorder="1" applyAlignment="1"/>
    <xf numFmtId="164" fontId="3" fillId="0" borderId="19" xfId="0" applyNumberFormat="1" applyFont="1" applyFill="1" applyBorder="1" applyAlignment="1"/>
    <xf numFmtId="165" fontId="3" fillId="0" borderId="27" xfId="0" applyNumberFormat="1" applyFont="1" applyFill="1" applyBorder="1" applyAlignment="1"/>
    <xf numFmtId="4" fontId="3" fillId="0" borderId="27" xfId="0" applyNumberFormat="1" applyFont="1" applyFill="1" applyBorder="1" applyAlignment="1"/>
    <xf numFmtId="165" fontId="4" fillId="5" borderId="19" xfId="0" applyNumberFormat="1" applyFont="1" applyFill="1" applyBorder="1" applyAlignment="1"/>
    <xf numFmtId="165" fontId="22" fillId="2" borderId="19" xfId="0" applyNumberFormat="1" applyFont="1" applyFill="1" applyBorder="1" applyAlignment="1">
      <alignment horizontal="left"/>
    </xf>
    <xf numFmtId="43" fontId="3" fillId="5" borderId="19" xfId="1" applyFont="1" applyFill="1" applyBorder="1" applyAlignment="1"/>
    <xf numFmtId="43" fontId="3" fillId="11" borderId="19" xfId="1" applyFont="1" applyFill="1" applyBorder="1" applyAlignment="1">
      <alignment horizontal="left"/>
    </xf>
    <xf numFmtId="165" fontId="3" fillId="17" borderId="19" xfId="0" applyNumberFormat="1" applyFont="1" applyFill="1" applyBorder="1" applyAlignment="1"/>
    <xf numFmtId="2" fontId="3" fillId="17" borderId="19" xfId="0" applyNumberFormat="1" applyFont="1" applyFill="1" applyBorder="1" applyAlignment="1"/>
    <xf numFmtId="165" fontId="3" fillId="17" borderId="27" xfId="0" applyNumberFormat="1" applyFont="1" applyFill="1" applyBorder="1" applyAlignment="1"/>
    <xf numFmtId="164" fontId="3" fillId="17" borderId="19" xfId="0" applyNumberFormat="1" applyFont="1" applyFill="1" applyBorder="1" applyAlignment="1"/>
    <xf numFmtId="4" fontId="3" fillId="17" borderId="27" xfId="0" applyNumberFormat="1" applyFont="1" applyFill="1" applyBorder="1" applyAlignment="1"/>
    <xf numFmtId="4" fontId="3" fillId="17" borderId="19" xfId="0" applyNumberFormat="1" applyFont="1" applyFill="1" applyBorder="1" applyAlignment="1"/>
    <xf numFmtId="165" fontId="3" fillId="17" borderId="19" xfId="0" applyNumberFormat="1" applyFont="1" applyFill="1" applyBorder="1" applyAlignment="1">
      <alignment horizontal="left"/>
    </xf>
    <xf numFmtId="165" fontId="6" fillId="2" borderId="19" xfId="0" applyNumberFormat="1" applyFont="1" applyFill="1" applyBorder="1" applyAlignment="1"/>
    <xf numFmtId="165" fontId="6" fillId="5" borderId="19" xfId="0" applyNumberFormat="1" applyFont="1" applyFill="1" applyBorder="1" applyAlignment="1"/>
    <xf numFmtId="164" fontId="6" fillId="2" borderId="19" xfId="0" applyNumberFormat="1" applyFont="1" applyFill="1" applyBorder="1" applyAlignment="1"/>
    <xf numFmtId="165" fontId="6" fillId="2" borderId="27" xfId="0" applyNumberFormat="1" applyFont="1" applyFill="1" applyBorder="1" applyAlignment="1"/>
    <xf numFmtId="4" fontId="23" fillId="0" borderId="0" xfId="0" applyNumberFormat="1" applyFont="1" applyAlignment="1"/>
    <xf numFmtId="165" fontId="3" fillId="12" borderId="19" xfId="0" applyNumberFormat="1" applyFont="1" applyFill="1" applyBorder="1" applyAlignment="1">
      <alignment horizontal="right"/>
    </xf>
    <xf numFmtId="165" fontId="4" fillId="7" borderId="19" xfId="0" applyNumberFormat="1" applyFont="1" applyFill="1" applyBorder="1"/>
    <xf numFmtId="165" fontId="4" fillId="7" borderId="19" xfId="0" applyNumberFormat="1" applyFont="1" applyFill="1" applyBorder="1" applyAlignment="1">
      <alignment horizontal="left"/>
    </xf>
    <xf numFmtId="164" fontId="11" fillId="17" borderId="31" xfId="0" applyNumberFormat="1" applyFont="1" applyFill="1" applyBorder="1" applyAlignment="1">
      <alignment horizontal="center" wrapText="1"/>
    </xf>
    <xf numFmtId="49" fontId="3" fillId="17" borderId="19" xfId="0" applyNumberFormat="1" applyFont="1" applyFill="1" applyBorder="1" applyAlignment="1">
      <alignment vertical="center" wrapText="1"/>
    </xf>
    <xf numFmtId="49" fontId="6" fillId="17" borderId="19" xfId="0" applyNumberFormat="1" applyFont="1" applyFill="1" applyBorder="1" applyAlignment="1">
      <alignment vertical="center" wrapText="1"/>
    </xf>
    <xf numFmtId="164" fontId="17" fillId="17" borderId="31" xfId="0" applyNumberFormat="1" applyFont="1" applyFill="1" applyBorder="1" applyAlignment="1">
      <alignment horizontal="center" wrapText="1"/>
    </xf>
    <xf numFmtId="49" fontId="17" fillId="17" borderId="19" xfId="0" applyNumberFormat="1" applyFont="1" applyFill="1" applyBorder="1" applyAlignment="1">
      <alignment wrapText="1"/>
    </xf>
    <xf numFmtId="164" fontId="22" fillId="17" borderId="31" xfId="0" applyNumberFormat="1" applyFont="1" applyFill="1" applyBorder="1" applyAlignment="1">
      <alignment horizontal="center" wrapText="1"/>
    </xf>
    <xf numFmtId="49" fontId="22" fillId="17" borderId="19" xfId="0" applyNumberFormat="1" applyFont="1" applyFill="1" applyBorder="1" applyAlignment="1">
      <alignment wrapText="1"/>
    </xf>
    <xf numFmtId="164" fontId="3" fillId="17" borderId="31" xfId="0" applyNumberFormat="1" applyFont="1" applyFill="1" applyBorder="1" applyAlignment="1">
      <alignment horizontal="right" wrapText="1"/>
    </xf>
    <xf numFmtId="49" fontId="11" fillId="17" borderId="19" xfId="0" applyNumberFormat="1" applyFont="1" applyFill="1" applyBorder="1" applyAlignment="1"/>
    <xf numFmtId="165" fontId="4" fillId="19" borderId="31" xfId="0" applyNumberFormat="1" applyFont="1" applyFill="1" applyBorder="1" applyAlignment="1">
      <alignment horizontal="center" wrapText="1"/>
    </xf>
    <xf numFmtId="165" fontId="4" fillId="19" borderId="19" xfId="0" applyNumberFormat="1" applyFont="1" applyFill="1" applyBorder="1" applyAlignment="1">
      <alignment horizontal="center" wrapText="1"/>
    </xf>
    <xf numFmtId="49" fontId="19" fillId="13" borderId="31" xfId="0" applyNumberFormat="1" applyFont="1" applyFill="1" applyBorder="1" applyAlignment="1">
      <alignment horizontal="center" vertical="top" wrapText="1"/>
    </xf>
    <xf numFmtId="49" fontId="19" fillId="13" borderId="19" xfId="0" applyNumberFormat="1" applyFont="1" applyFill="1" applyBorder="1" applyAlignment="1">
      <alignment horizontal="center" vertical="top" wrapText="1"/>
    </xf>
    <xf numFmtId="49" fontId="19" fillId="4" borderId="31" xfId="0" applyNumberFormat="1" applyFont="1" applyFill="1" applyBorder="1" applyAlignment="1">
      <alignment horizontal="center" vertical="top" wrapText="1"/>
    </xf>
    <xf numFmtId="49" fontId="19" fillId="4" borderId="19" xfId="0" applyNumberFormat="1" applyFont="1" applyFill="1" applyBorder="1" applyAlignment="1">
      <alignment horizontal="center" vertical="top" wrapText="1"/>
    </xf>
    <xf numFmtId="49" fontId="12" fillId="2" borderId="28" xfId="0" applyNumberFormat="1" applyFont="1" applyFill="1" applyBorder="1" applyAlignment="1">
      <alignment horizontal="center"/>
    </xf>
    <xf numFmtId="0" fontId="12" fillId="2" borderId="29" xfId="0" applyNumberFormat="1" applyFont="1" applyFill="1" applyBorder="1" applyAlignment="1">
      <alignment horizontal="center"/>
    </xf>
    <xf numFmtId="0" fontId="12" fillId="2" borderId="30" xfId="0" applyNumberFormat="1" applyFont="1" applyFill="1" applyBorder="1" applyAlignment="1">
      <alignment horizontal="center"/>
    </xf>
    <xf numFmtId="49" fontId="19" fillId="4" borderId="27" xfId="0" applyNumberFormat="1" applyFont="1" applyFill="1" applyBorder="1" applyAlignment="1">
      <alignment horizontal="center" vertical="top" wrapText="1"/>
    </xf>
    <xf numFmtId="0" fontId="21" fillId="19" borderId="31" xfId="0" applyFont="1" applyFill="1" applyBorder="1" applyAlignment="1">
      <alignment horizontal="center" wrapText="1"/>
    </xf>
    <xf numFmtId="0" fontId="21" fillId="19" borderId="19" xfId="0" applyFont="1" applyFill="1" applyBorder="1" applyAlignment="1">
      <alignment horizontal="center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0000"/>
      <rgbColor rgb="FFFFFFFF"/>
      <rgbColor rgb="FFAAAAAA"/>
      <rgbColor rgb="FF92D050"/>
      <rgbColor rgb="FFDBE5F1"/>
      <rgbColor rgb="FFB6DDE8"/>
      <rgbColor rgb="FFFFFF00"/>
      <rgbColor rgb="FF95B3D7"/>
      <rgbColor rgb="FFFDE9D9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631030</xdr:colOff>
      <xdr:row>26</xdr:row>
      <xdr:rowOff>154781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965530" cy="4488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23813</xdr:rowOff>
    </xdr:from>
    <xdr:to>
      <xdr:col>14</xdr:col>
      <xdr:colOff>35719</xdr:colOff>
      <xdr:row>27</xdr:row>
      <xdr:rowOff>11906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3813"/>
          <a:ext cx="9370219" cy="4488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547686</xdr:colOff>
      <xdr:row>27</xdr:row>
      <xdr:rowOff>154780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167936" cy="5298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51"/>
  <sheetViews>
    <sheetView showGridLines="0" tabSelected="1" view="pageBreakPreview" zoomScale="120" zoomScaleNormal="160" zoomScaleSheetLayoutView="120" workbookViewId="0">
      <pane ySplit="2" topLeftCell="A3" activePane="bottomLeft" state="frozen"/>
      <selection pane="bottomLeft" activeCell="A3" sqref="A3:C3"/>
    </sheetView>
  </sheetViews>
  <sheetFormatPr defaultColWidth="8.85546875" defaultRowHeight="15.75" customHeight="1" x14ac:dyDescent="0.25"/>
  <cols>
    <col min="1" max="1" width="6.42578125" style="1" customWidth="1"/>
    <col min="2" max="2" width="47" style="1" customWidth="1"/>
    <col min="3" max="3" width="53.7109375" style="1" customWidth="1"/>
    <col min="4" max="4" width="18.28515625" style="1" customWidth="1"/>
    <col min="5" max="5" width="17.42578125" style="1" customWidth="1"/>
    <col min="6" max="6" width="21.140625" style="1" customWidth="1"/>
    <col min="7" max="7" width="19.85546875" style="1" customWidth="1"/>
    <col min="8" max="8" width="17.85546875" style="1" customWidth="1"/>
    <col min="9" max="9" width="18" style="1" customWidth="1"/>
    <col min="10" max="10" width="20.28515625" style="1" customWidth="1"/>
    <col min="11" max="11" width="17.140625" style="31" customWidth="1"/>
    <col min="12" max="12" width="19.7109375" style="1" customWidth="1"/>
    <col min="13" max="13" width="17.7109375" style="1" customWidth="1"/>
    <col min="14" max="14" width="22.42578125" style="1" customWidth="1"/>
    <col min="15" max="15" width="19.42578125" style="1" customWidth="1"/>
    <col min="16" max="16" width="21.7109375" style="1" customWidth="1"/>
    <col min="17" max="17" width="9.28515625" style="1" customWidth="1"/>
    <col min="18" max="18" width="21" style="1" customWidth="1"/>
    <col min="19" max="19" width="9.140625" style="1" customWidth="1"/>
    <col min="20" max="20" width="10.140625" style="1" customWidth="1"/>
    <col min="21" max="21" width="11" style="1" customWidth="1"/>
    <col min="22" max="22" width="12.140625" style="1" customWidth="1"/>
    <col min="23" max="23" width="15.42578125" style="1" customWidth="1"/>
    <col min="24" max="24" width="16.7109375" style="1" customWidth="1"/>
    <col min="25" max="25" width="15" style="1" customWidth="1"/>
    <col min="26" max="26" width="14.42578125" style="1" customWidth="1"/>
    <col min="27" max="27" width="14.7109375" style="1" customWidth="1"/>
    <col min="28" max="28" width="20" style="1" customWidth="1"/>
    <col min="29" max="29" width="18.140625" style="1" customWidth="1"/>
    <col min="30" max="30" width="18.42578125" style="1" customWidth="1"/>
    <col min="31" max="31" width="12.42578125" style="1" customWidth="1"/>
    <col min="32" max="257" width="8.85546875" style="1" customWidth="1"/>
  </cols>
  <sheetData>
    <row r="1" spans="1:257" ht="39" customHeight="1" x14ac:dyDescent="0.7">
      <c r="A1" s="242" t="s">
        <v>225</v>
      </c>
      <c r="B1" s="243"/>
      <c r="C1" s="243"/>
      <c r="D1" s="243"/>
      <c r="E1" s="243"/>
      <c r="F1" s="243"/>
      <c r="G1" s="243"/>
      <c r="H1" s="243"/>
      <c r="I1" s="243"/>
      <c r="J1" s="243"/>
      <c r="K1" s="243"/>
      <c r="L1" s="243"/>
      <c r="M1" s="243"/>
      <c r="N1" s="243"/>
      <c r="O1" s="243"/>
      <c r="P1" s="243"/>
      <c r="Q1" s="243"/>
      <c r="R1" s="243"/>
      <c r="S1" s="243"/>
      <c r="T1" s="243"/>
      <c r="U1" s="243"/>
      <c r="V1" s="243"/>
      <c r="W1" s="243"/>
      <c r="X1" s="243"/>
      <c r="Y1" s="243"/>
      <c r="Z1" s="243"/>
      <c r="AA1" s="243"/>
      <c r="AB1" s="244"/>
      <c r="AC1" s="145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1"/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1"/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1"/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1"/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1"/>
      <c r="IJ1" s="31"/>
      <c r="IK1" s="31"/>
      <c r="IL1" s="31"/>
      <c r="IM1" s="31"/>
      <c r="IN1" s="31"/>
      <c r="IO1" s="31"/>
      <c r="IP1" s="31"/>
      <c r="IQ1" s="31"/>
      <c r="IR1" s="31"/>
      <c r="IS1" s="31"/>
      <c r="IT1" s="31"/>
      <c r="IU1" s="31"/>
      <c r="IV1" s="31"/>
      <c r="IW1" s="31"/>
    </row>
    <row r="2" spans="1:257" ht="54" customHeight="1" x14ac:dyDescent="0.25">
      <c r="A2" s="153" t="s">
        <v>206</v>
      </c>
      <c r="B2" s="146" t="s">
        <v>0</v>
      </c>
      <c r="C2" s="146" t="s">
        <v>1</v>
      </c>
      <c r="D2" s="146" t="s">
        <v>2</v>
      </c>
      <c r="E2" s="146" t="s">
        <v>3</v>
      </c>
      <c r="F2" s="146" t="s">
        <v>4</v>
      </c>
      <c r="G2" s="146" t="s">
        <v>5</v>
      </c>
      <c r="H2" s="146" t="s">
        <v>6</v>
      </c>
      <c r="I2" s="146" t="s">
        <v>7</v>
      </c>
      <c r="J2" s="146" t="s">
        <v>8</v>
      </c>
      <c r="K2" s="146" t="s">
        <v>171</v>
      </c>
      <c r="L2" s="146" t="s">
        <v>9</v>
      </c>
      <c r="M2" s="146" t="s">
        <v>10</v>
      </c>
      <c r="N2" s="146" t="s">
        <v>11</v>
      </c>
      <c r="O2" s="146" t="s">
        <v>12</v>
      </c>
      <c r="P2" s="146" t="s">
        <v>224</v>
      </c>
      <c r="Q2" s="146" t="s">
        <v>13</v>
      </c>
      <c r="R2" s="146" t="s">
        <v>14</v>
      </c>
      <c r="S2" s="146" t="s">
        <v>13</v>
      </c>
      <c r="T2" s="146" t="s">
        <v>15</v>
      </c>
      <c r="U2" s="146" t="s">
        <v>16</v>
      </c>
      <c r="V2" s="146" t="s">
        <v>17</v>
      </c>
      <c r="W2" s="146" t="s">
        <v>18</v>
      </c>
      <c r="X2" s="146" t="s">
        <v>19</v>
      </c>
      <c r="Y2" s="146" t="s">
        <v>20</v>
      </c>
      <c r="Z2" s="146" t="s">
        <v>21</v>
      </c>
      <c r="AA2" s="146" t="s">
        <v>22</v>
      </c>
      <c r="AB2" s="154" t="s">
        <v>23</v>
      </c>
      <c r="AC2" s="39"/>
      <c r="AD2" s="4"/>
      <c r="AE2" s="4"/>
      <c r="AF2" s="4"/>
      <c r="AG2" s="5"/>
      <c r="AH2" s="6"/>
      <c r="AI2" s="6"/>
      <c r="AJ2" s="6"/>
      <c r="AK2" s="7"/>
      <c r="AL2" s="5"/>
      <c r="AM2" s="6"/>
      <c r="AN2" s="6"/>
      <c r="AO2" s="6"/>
      <c r="AP2" s="7"/>
      <c r="AQ2" s="5"/>
      <c r="AR2" s="6"/>
      <c r="AS2" s="6"/>
      <c r="AT2" s="6"/>
      <c r="AU2" s="7"/>
    </row>
    <row r="3" spans="1:257" ht="18" customHeight="1" x14ac:dyDescent="0.25">
      <c r="A3" s="240" t="s">
        <v>24</v>
      </c>
      <c r="B3" s="241"/>
      <c r="C3" s="241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  <c r="V3" s="147"/>
      <c r="W3" s="147"/>
      <c r="X3" s="147"/>
      <c r="Y3" s="147"/>
      <c r="Z3" s="147"/>
      <c r="AA3" s="147"/>
      <c r="AB3" s="155"/>
      <c r="AC3" s="13"/>
      <c r="AD3" s="4"/>
      <c r="AE3" s="4"/>
      <c r="AF3" s="4"/>
      <c r="AG3" s="5"/>
      <c r="AH3" s="6"/>
      <c r="AI3" s="6"/>
      <c r="AJ3" s="6"/>
      <c r="AK3" s="7"/>
      <c r="AL3" s="5"/>
      <c r="AM3" s="6"/>
      <c r="AN3" s="6"/>
      <c r="AO3" s="6"/>
      <c r="AP3" s="7"/>
      <c r="AQ3" s="5"/>
      <c r="AR3" s="6"/>
      <c r="AS3" s="6"/>
      <c r="AT3" s="6"/>
      <c r="AU3" s="7"/>
    </row>
    <row r="4" spans="1:257" ht="18" customHeight="1" x14ac:dyDescent="0.35">
      <c r="A4" s="156">
        <v>1</v>
      </c>
      <c r="B4" s="120" t="s">
        <v>25</v>
      </c>
      <c r="C4" s="86" t="s">
        <v>26</v>
      </c>
      <c r="D4" s="80">
        <v>5102352160.6899996</v>
      </c>
      <c r="E4" s="104"/>
      <c r="F4" s="81">
        <v>1753228267.4000001</v>
      </c>
      <c r="G4" s="81">
        <v>57224961.950000003</v>
      </c>
      <c r="H4" s="81"/>
      <c r="I4" s="81"/>
      <c r="J4" s="82">
        <v>6912805390.04</v>
      </c>
      <c r="K4" s="82">
        <v>17431159.460000001</v>
      </c>
      <c r="L4" s="82">
        <v>19563233.949999999</v>
      </c>
      <c r="M4" s="210">
        <v>-28537017.719999999</v>
      </c>
      <c r="N4" s="45">
        <v>7040267251.8100004</v>
      </c>
      <c r="O4" s="45">
        <v>70275261.769999996</v>
      </c>
      <c r="P4" s="224">
        <v>7018089933.4200001</v>
      </c>
      <c r="Q4" s="48">
        <f t="shared" ref="Q4:Q19" si="0">(P4/$P$20)</f>
        <v>0.44342679783222733</v>
      </c>
      <c r="R4" s="47">
        <v>6969991990.04</v>
      </c>
      <c r="S4" s="48">
        <f t="shared" ref="S4:S19" si="1">(R4/$R$20)</f>
        <v>0.44236697882638942</v>
      </c>
      <c r="T4" s="49">
        <f t="shared" ref="T4:T17" si="2">((R4-P4)/P4)</f>
        <v>-6.8534236289789757E-3</v>
      </c>
      <c r="U4" s="87">
        <f t="shared" ref="U4:U16" si="3">(L4/R4)</f>
        <v>2.8067799759247253E-3</v>
      </c>
      <c r="V4" s="50">
        <f t="shared" ref="V4:V18" si="4">M4/R4</f>
        <v>-4.0942683665603791E-3</v>
      </c>
      <c r="W4" s="51">
        <f t="shared" ref="W4:W18" si="5">R4/AB4</f>
        <v>11130.457495608416</v>
      </c>
      <c r="X4" s="51">
        <f t="shared" ref="X4:X18" si="6">M4/AB4</f>
        <v>-45.5710800296144</v>
      </c>
      <c r="Y4" s="81">
        <v>11028.18</v>
      </c>
      <c r="Z4" s="81">
        <v>11187.18</v>
      </c>
      <c r="AA4" s="205">
        <v>17164</v>
      </c>
      <c r="AB4" s="207">
        <v>626208.93999999994</v>
      </c>
      <c r="AC4" s="35"/>
      <c r="AD4" s="4"/>
      <c r="AE4" s="4"/>
      <c r="AF4" s="4"/>
      <c r="AG4" s="5"/>
      <c r="AH4" s="6"/>
      <c r="AI4" s="6"/>
      <c r="AJ4" s="6"/>
      <c r="AK4" s="7"/>
      <c r="AL4" s="5"/>
      <c r="AM4" s="6"/>
      <c r="AN4" s="6"/>
      <c r="AO4" s="6"/>
      <c r="AP4" s="7"/>
      <c r="AQ4" s="5"/>
      <c r="AR4" s="6"/>
      <c r="AS4" s="6"/>
      <c r="AT4" s="6"/>
      <c r="AU4" s="7"/>
    </row>
    <row r="5" spans="1:257" ht="18" customHeight="1" x14ac:dyDescent="0.35">
      <c r="A5" s="156">
        <v>2</v>
      </c>
      <c r="B5" s="122" t="s">
        <v>27</v>
      </c>
      <c r="C5" s="120" t="s">
        <v>28</v>
      </c>
      <c r="D5" s="80">
        <v>1332970</v>
      </c>
      <c r="E5" s="104"/>
      <c r="F5" s="81">
        <v>769306.47</v>
      </c>
      <c r="G5" s="81">
        <v>712052.33</v>
      </c>
      <c r="H5" s="81"/>
      <c r="I5" s="81"/>
      <c r="J5" s="82">
        <v>2814328.8</v>
      </c>
      <c r="K5" s="217">
        <f>M5+L5</f>
        <v>1605067.0999999999</v>
      </c>
      <c r="L5" s="82">
        <v>1210.47</v>
      </c>
      <c r="M5" s="46">
        <v>1603856.63</v>
      </c>
      <c r="N5" s="45">
        <v>859568065.08000004</v>
      </c>
      <c r="O5" s="45">
        <v>3590507.32</v>
      </c>
      <c r="P5" s="224">
        <v>869841114.40999997</v>
      </c>
      <c r="Q5" s="48">
        <f t="shared" si="0"/>
        <v>5.4959520844680997E-2</v>
      </c>
      <c r="R5" s="47">
        <v>855977557.75999999</v>
      </c>
      <c r="S5" s="48">
        <f t="shared" si="1"/>
        <v>5.4326634336248271E-2</v>
      </c>
      <c r="T5" s="49">
        <f t="shared" si="2"/>
        <v>-1.5938033303246901E-2</v>
      </c>
      <c r="U5" s="87">
        <f t="shared" si="3"/>
        <v>1.414137542539863E-6</v>
      </c>
      <c r="V5" s="50">
        <f t="shared" si="4"/>
        <v>1.873713411595881E-3</v>
      </c>
      <c r="W5" s="51">
        <f t="shared" si="5"/>
        <v>1.8882411605295113</v>
      </c>
      <c r="X5" s="51">
        <f t="shared" si="6"/>
        <v>3.5380227868115162E-3</v>
      </c>
      <c r="Y5" s="81">
        <v>1.72</v>
      </c>
      <c r="Z5" s="81">
        <v>1.76</v>
      </c>
      <c r="AA5" s="215">
        <f>3608+84</f>
        <v>3692</v>
      </c>
      <c r="AB5" s="216">
        <v>453320039.64999998</v>
      </c>
      <c r="AC5" s="36"/>
      <c r="AD5" s="9"/>
      <c r="AE5" s="9"/>
      <c r="AF5" s="9"/>
      <c r="AG5" s="5"/>
      <c r="AH5" s="6"/>
      <c r="AI5" s="6"/>
      <c r="AJ5" s="6"/>
      <c r="AK5" s="7"/>
      <c r="AL5" s="5"/>
      <c r="AM5" s="6"/>
      <c r="AN5" s="6"/>
      <c r="AO5" s="6"/>
      <c r="AP5" s="7"/>
      <c r="AQ5" s="5"/>
      <c r="AR5" s="6"/>
      <c r="AS5" s="6"/>
      <c r="AT5" s="6"/>
      <c r="AU5" s="7"/>
    </row>
    <row r="6" spans="1:257" ht="18" customHeight="1" x14ac:dyDescent="0.35">
      <c r="A6" s="156">
        <v>3</v>
      </c>
      <c r="B6" s="122" t="s">
        <v>29</v>
      </c>
      <c r="C6" s="86" t="s">
        <v>30</v>
      </c>
      <c r="D6" s="80">
        <v>117533262.45</v>
      </c>
      <c r="E6" s="104"/>
      <c r="F6" s="81">
        <v>138936373.38</v>
      </c>
      <c r="G6" s="81"/>
      <c r="H6" s="81"/>
      <c r="I6" s="81"/>
      <c r="J6" s="82">
        <v>254442411.83000001</v>
      </c>
      <c r="K6" s="82">
        <v>1335405.8400000001</v>
      </c>
      <c r="L6" s="82">
        <v>627515.81999999995</v>
      </c>
      <c r="M6" s="46">
        <v>707891.02</v>
      </c>
      <c r="N6" s="45">
        <v>261767854.09</v>
      </c>
      <c r="O6" s="45">
        <v>5824214.1100000003</v>
      </c>
      <c r="P6" s="224">
        <v>254570950.31999999</v>
      </c>
      <c r="Q6" s="48">
        <f t="shared" si="0"/>
        <v>1.6084658702356508E-2</v>
      </c>
      <c r="R6" s="47">
        <v>255584938.75</v>
      </c>
      <c r="S6" s="48">
        <f t="shared" si="1"/>
        <v>1.6221300878097054E-2</v>
      </c>
      <c r="T6" s="49">
        <f t="shared" si="2"/>
        <v>3.9831270171455406E-3</v>
      </c>
      <c r="U6" s="87">
        <f t="shared" si="3"/>
        <v>2.4552143920100219E-3</v>
      </c>
      <c r="V6" s="50">
        <f t="shared" si="4"/>
        <v>2.7696898865094024E-3</v>
      </c>
      <c r="W6" s="51">
        <f t="shared" si="5"/>
        <v>1282.0207500463982</v>
      </c>
      <c r="X6" s="51">
        <f t="shared" si="6"/>
        <v>3.5507999056987076</v>
      </c>
      <c r="Y6" s="81">
        <v>128.09</v>
      </c>
      <c r="Z6" s="81">
        <v>130.47999999999999</v>
      </c>
      <c r="AA6" s="205">
        <v>2470</v>
      </c>
      <c r="AB6" s="207">
        <v>199361</v>
      </c>
      <c r="AC6" s="37"/>
      <c r="AD6" s="10"/>
      <c r="AE6" s="10"/>
      <c r="AF6" s="11"/>
      <c r="AG6" s="5"/>
      <c r="AH6" s="6"/>
      <c r="AI6" s="6"/>
      <c r="AJ6" s="6"/>
      <c r="AK6" s="7"/>
      <c r="AL6" s="5"/>
      <c r="AM6" s="6"/>
      <c r="AN6" s="6"/>
      <c r="AO6" s="6"/>
      <c r="AP6" s="7"/>
      <c r="AQ6" s="5"/>
      <c r="AR6" s="6"/>
      <c r="AS6" s="6"/>
      <c r="AT6" s="6"/>
      <c r="AU6" s="7"/>
    </row>
    <row r="7" spans="1:257" s="92" customFormat="1" ht="18" customHeight="1" x14ac:dyDescent="0.35">
      <c r="A7" s="156">
        <v>4</v>
      </c>
      <c r="B7" s="120" t="s">
        <v>31</v>
      </c>
      <c r="C7" s="86" t="s">
        <v>32</v>
      </c>
      <c r="D7" s="80">
        <v>533310901.55000001</v>
      </c>
      <c r="E7" s="104"/>
      <c r="F7" s="81">
        <v>73369089.200000003</v>
      </c>
      <c r="G7" s="81">
        <v>10204281.800000001</v>
      </c>
      <c r="H7" s="81"/>
      <c r="I7" s="81"/>
      <c r="J7" s="82">
        <v>616884272.54999995</v>
      </c>
      <c r="K7" s="82">
        <v>1938089.01</v>
      </c>
      <c r="L7" s="82">
        <v>1033222.3</v>
      </c>
      <c r="M7" s="46">
        <v>904866.71</v>
      </c>
      <c r="N7" s="45">
        <v>617880213.54999995</v>
      </c>
      <c r="O7" s="45">
        <v>5119624.0199999996</v>
      </c>
      <c r="P7" s="224">
        <v>610918337.63999999</v>
      </c>
      <c r="Q7" s="48">
        <f t="shared" si="0"/>
        <v>3.8599898942115865E-2</v>
      </c>
      <c r="R7" s="47">
        <v>612760589.52999997</v>
      </c>
      <c r="S7" s="48">
        <f t="shared" si="1"/>
        <v>3.8890295874315313E-2</v>
      </c>
      <c r="T7" s="101">
        <f t="shared" si="2"/>
        <v>3.0155452480223012E-3</v>
      </c>
      <c r="U7" s="87">
        <f t="shared" si="3"/>
        <v>1.6861761635037641E-3</v>
      </c>
      <c r="V7" s="102">
        <f t="shared" si="4"/>
        <v>1.4767051364939306E-3</v>
      </c>
      <c r="W7" s="103">
        <f t="shared" si="5"/>
        <v>17.579731906546268</v>
      </c>
      <c r="X7" s="103">
        <f t="shared" si="6"/>
        <v>2.596008040458311E-2</v>
      </c>
      <c r="Y7" s="81">
        <v>16.98</v>
      </c>
      <c r="Z7" s="81">
        <v>17.29</v>
      </c>
      <c r="AA7" s="205">
        <v>8762</v>
      </c>
      <c r="AB7" s="207">
        <v>34856082.719999999</v>
      </c>
      <c r="AC7" s="183"/>
      <c r="AD7" s="184"/>
      <c r="AE7" s="184"/>
      <c r="AF7" s="184"/>
      <c r="AG7" s="185"/>
      <c r="AH7" s="186"/>
      <c r="AI7" s="186"/>
      <c r="AJ7" s="186"/>
      <c r="AK7" s="187"/>
      <c r="AL7" s="185"/>
      <c r="AM7" s="186"/>
      <c r="AN7" s="186"/>
      <c r="AO7" s="186"/>
      <c r="AP7" s="187"/>
      <c r="AQ7" s="185"/>
      <c r="AR7" s="186"/>
      <c r="AS7" s="186"/>
      <c r="AT7" s="186"/>
      <c r="AU7" s="187"/>
      <c r="AV7" s="188"/>
      <c r="AW7" s="188"/>
      <c r="AX7" s="188"/>
      <c r="AY7" s="188"/>
      <c r="AZ7" s="188"/>
      <c r="BA7" s="188"/>
      <c r="BB7" s="188"/>
      <c r="BC7" s="188"/>
      <c r="BD7" s="188"/>
      <c r="BE7" s="188"/>
      <c r="BF7" s="188"/>
      <c r="BG7" s="188"/>
      <c r="BH7" s="188"/>
      <c r="BI7" s="188"/>
      <c r="BJ7" s="188"/>
      <c r="BK7" s="188"/>
      <c r="BL7" s="188"/>
      <c r="BM7" s="188"/>
      <c r="BN7" s="188"/>
      <c r="BO7" s="188"/>
      <c r="BP7" s="188"/>
      <c r="BQ7" s="188"/>
      <c r="BR7" s="188"/>
      <c r="BS7" s="188"/>
      <c r="BT7" s="188"/>
      <c r="BU7" s="188"/>
      <c r="BV7" s="188"/>
      <c r="BW7" s="188"/>
      <c r="BX7" s="188"/>
      <c r="BY7" s="188"/>
      <c r="BZ7" s="91"/>
      <c r="CA7" s="91"/>
      <c r="CB7" s="91"/>
      <c r="CC7" s="91"/>
      <c r="CD7" s="91"/>
      <c r="CE7" s="91"/>
      <c r="CF7" s="91"/>
      <c r="CG7" s="91"/>
      <c r="CH7" s="91"/>
      <c r="CI7" s="91"/>
      <c r="CJ7" s="91"/>
      <c r="CK7" s="91"/>
      <c r="CL7" s="91"/>
      <c r="CM7" s="91"/>
      <c r="CN7" s="91"/>
      <c r="CO7" s="91"/>
      <c r="CP7" s="91"/>
      <c r="CQ7" s="91"/>
      <c r="CR7" s="91"/>
      <c r="CS7" s="91"/>
      <c r="CT7" s="91"/>
      <c r="CU7" s="91"/>
      <c r="CV7" s="91"/>
      <c r="CW7" s="91"/>
      <c r="CX7" s="91"/>
      <c r="CY7" s="91"/>
      <c r="CZ7" s="91"/>
      <c r="DA7" s="91"/>
      <c r="DB7" s="91"/>
      <c r="DC7" s="91"/>
      <c r="DD7" s="91"/>
      <c r="DE7" s="91"/>
      <c r="DF7" s="91"/>
      <c r="DG7" s="91"/>
      <c r="DH7" s="91"/>
      <c r="DI7" s="91"/>
      <c r="DJ7" s="91"/>
      <c r="DK7" s="91"/>
      <c r="DL7" s="91"/>
      <c r="DM7" s="91"/>
      <c r="DN7" s="91"/>
      <c r="DO7" s="91"/>
      <c r="DP7" s="91"/>
      <c r="DQ7" s="91"/>
      <c r="DR7" s="91"/>
      <c r="DS7" s="91"/>
      <c r="DT7" s="91"/>
      <c r="DU7" s="91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  <c r="HJ7" s="91"/>
      <c r="HK7" s="91"/>
      <c r="HL7" s="91"/>
      <c r="HM7" s="91"/>
      <c r="HN7" s="91"/>
      <c r="HO7" s="91"/>
      <c r="HP7" s="91"/>
      <c r="HQ7" s="91"/>
      <c r="HR7" s="91"/>
      <c r="HS7" s="91"/>
      <c r="HT7" s="91"/>
      <c r="HU7" s="91"/>
      <c r="HV7" s="91"/>
      <c r="HW7" s="91"/>
      <c r="HX7" s="91"/>
      <c r="HY7" s="91"/>
      <c r="HZ7" s="91"/>
      <c r="IA7" s="91"/>
      <c r="IB7" s="91"/>
      <c r="IC7" s="91"/>
      <c r="ID7" s="91"/>
      <c r="IE7" s="91"/>
      <c r="IF7" s="91"/>
      <c r="IG7" s="91"/>
      <c r="IH7" s="91"/>
      <c r="II7" s="91"/>
      <c r="IJ7" s="91"/>
      <c r="IK7" s="91"/>
      <c r="IL7" s="91"/>
      <c r="IM7" s="91"/>
      <c r="IN7" s="91"/>
      <c r="IO7" s="91"/>
      <c r="IP7" s="91"/>
      <c r="IQ7" s="91"/>
      <c r="IR7" s="91"/>
      <c r="IS7" s="91"/>
      <c r="IT7" s="91"/>
      <c r="IU7" s="91"/>
      <c r="IV7" s="91"/>
      <c r="IW7" s="91"/>
    </row>
    <row r="8" spans="1:257" s="92" customFormat="1" ht="16.5" customHeight="1" x14ac:dyDescent="0.3">
      <c r="A8" s="156">
        <v>5</v>
      </c>
      <c r="B8" s="120" t="s">
        <v>33</v>
      </c>
      <c r="C8" s="86" t="s">
        <v>34</v>
      </c>
      <c r="D8" s="80">
        <v>259430770.59</v>
      </c>
      <c r="E8" s="104"/>
      <c r="F8" s="81">
        <v>93313080.200000003</v>
      </c>
      <c r="G8" s="81"/>
      <c r="H8" s="81"/>
      <c r="I8" s="81"/>
      <c r="J8" s="82">
        <v>352743850.79000002</v>
      </c>
      <c r="K8" s="82">
        <v>1106800.27</v>
      </c>
      <c r="L8" s="82">
        <v>681743.57</v>
      </c>
      <c r="M8" s="46">
        <v>425056.7</v>
      </c>
      <c r="N8" s="45">
        <v>354662111.70999998</v>
      </c>
      <c r="O8" s="45">
        <v>5318956.59</v>
      </c>
      <c r="P8" s="224">
        <v>351930514.23000002</v>
      </c>
      <c r="Q8" s="48">
        <f t="shared" si="0"/>
        <v>2.2236167171544113E-2</v>
      </c>
      <c r="R8" s="47">
        <v>349343155.12</v>
      </c>
      <c r="S8" s="48">
        <f t="shared" si="1"/>
        <v>2.2171887187954466E-2</v>
      </c>
      <c r="T8" s="101">
        <f t="shared" si="2"/>
        <v>-7.3519033030170168E-3</v>
      </c>
      <c r="U8" s="87">
        <f t="shared" si="3"/>
        <v>1.9515011529732701E-3</v>
      </c>
      <c r="V8" s="102">
        <f t="shared" si="4"/>
        <v>1.2167311532238045E-3</v>
      </c>
      <c r="W8" s="103">
        <f t="shared" si="5"/>
        <v>165.02514065822996</v>
      </c>
      <c r="X8" s="103">
        <f t="shared" si="6"/>
        <v>0.20079122970400867</v>
      </c>
      <c r="Y8" s="81">
        <v>165.02510000000001</v>
      </c>
      <c r="Z8" s="81">
        <v>167.5377</v>
      </c>
      <c r="AA8" s="205">
        <v>1798</v>
      </c>
      <c r="AB8" s="207">
        <v>2116908.6948000002</v>
      </c>
      <c r="AC8" s="189"/>
      <c r="AD8" s="190"/>
      <c r="AE8" s="190"/>
      <c r="AF8" s="190"/>
      <c r="AG8" s="185"/>
      <c r="AH8" s="186"/>
      <c r="AI8" s="186"/>
      <c r="AJ8" s="186"/>
      <c r="AK8" s="187"/>
      <c r="AL8" s="185"/>
      <c r="AM8" s="186"/>
      <c r="AN8" s="186"/>
      <c r="AO8" s="186"/>
      <c r="AP8" s="187"/>
      <c r="AQ8" s="185"/>
      <c r="AR8" s="186"/>
      <c r="AS8" s="186"/>
      <c r="AT8" s="186"/>
      <c r="AU8" s="187"/>
      <c r="AV8" s="188"/>
      <c r="AW8" s="188"/>
      <c r="AX8" s="188"/>
      <c r="AY8" s="188"/>
      <c r="AZ8" s="188"/>
      <c r="BA8" s="188"/>
      <c r="BB8" s="188"/>
      <c r="BC8" s="188"/>
      <c r="BD8" s="188"/>
      <c r="BE8" s="188"/>
      <c r="BF8" s="188"/>
      <c r="BG8" s="188"/>
      <c r="BH8" s="188"/>
      <c r="BI8" s="188"/>
      <c r="BJ8" s="188"/>
      <c r="BK8" s="188"/>
      <c r="BL8" s="188"/>
      <c r="BM8" s="188"/>
      <c r="BN8" s="188"/>
      <c r="BO8" s="188"/>
      <c r="BP8" s="188"/>
      <c r="BQ8" s="188"/>
      <c r="BR8" s="188"/>
      <c r="BS8" s="188"/>
      <c r="BT8" s="188"/>
      <c r="BU8" s="188"/>
      <c r="BV8" s="188"/>
      <c r="BW8" s="188"/>
      <c r="BX8" s="188"/>
      <c r="BY8" s="188"/>
      <c r="BZ8" s="91"/>
      <c r="CA8" s="91"/>
      <c r="CB8" s="91"/>
      <c r="CC8" s="91"/>
      <c r="CD8" s="91"/>
      <c r="CE8" s="91"/>
      <c r="CF8" s="91"/>
      <c r="CG8" s="91"/>
      <c r="CH8" s="91"/>
      <c r="CI8" s="91"/>
      <c r="CJ8" s="91"/>
      <c r="CK8" s="91"/>
      <c r="CL8" s="91"/>
      <c r="CM8" s="91"/>
      <c r="CN8" s="91"/>
      <c r="CO8" s="91"/>
      <c r="CP8" s="91"/>
      <c r="CQ8" s="91"/>
      <c r="CR8" s="91"/>
      <c r="CS8" s="91"/>
      <c r="CT8" s="91"/>
      <c r="CU8" s="91"/>
      <c r="CV8" s="91"/>
      <c r="CW8" s="91"/>
      <c r="CX8" s="91"/>
      <c r="CY8" s="91"/>
      <c r="CZ8" s="91"/>
      <c r="DA8" s="91"/>
      <c r="DB8" s="91"/>
      <c r="DC8" s="91"/>
      <c r="DD8" s="91"/>
      <c r="DE8" s="91"/>
      <c r="DF8" s="91"/>
      <c r="DG8" s="91"/>
      <c r="DH8" s="91"/>
      <c r="DI8" s="91"/>
      <c r="DJ8" s="91"/>
      <c r="DK8" s="91"/>
      <c r="DL8" s="91"/>
      <c r="DM8" s="91"/>
      <c r="DN8" s="91"/>
      <c r="DO8" s="91"/>
      <c r="DP8" s="91"/>
      <c r="DQ8" s="91"/>
      <c r="DR8" s="91"/>
      <c r="DS8" s="91"/>
      <c r="DT8" s="91"/>
      <c r="DU8" s="91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  <c r="HJ8" s="91"/>
      <c r="HK8" s="91"/>
      <c r="HL8" s="91"/>
      <c r="HM8" s="91"/>
      <c r="HN8" s="91"/>
      <c r="HO8" s="91"/>
      <c r="HP8" s="91"/>
      <c r="HQ8" s="91"/>
      <c r="HR8" s="91"/>
      <c r="HS8" s="91"/>
      <c r="HT8" s="91"/>
      <c r="HU8" s="91"/>
      <c r="HV8" s="91"/>
      <c r="HW8" s="91"/>
      <c r="HX8" s="91"/>
      <c r="HY8" s="91"/>
      <c r="HZ8" s="91"/>
      <c r="IA8" s="91"/>
      <c r="IB8" s="91"/>
      <c r="IC8" s="91"/>
      <c r="ID8" s="91"/>
      <c r="IE8" s="91"/>
      <c r="IF8" s="91"/>
      <c r="IG8" s="91"/>
      <c r="IH8" s="91"/>
      <c r="II8" s="91"/>
      <c r="IJ8" s="91"/>
      <c r="IK8" s="91"/>
      <c r="IL8" s="91"/>
      <c r="IM8" s="91"/>
      <c r="IN8" s="91"/>
      <c r="IO8" s="91"/>
      <c r="IP8" s="91"/>
      <c r="IQ8" s="91"/>
      <c r="IR8" s="91"/>
      <c r="IS8" s="91"/>
      <c r="IT8" s="91"/>
      <c r="IU8" s="91"/>
      <c r="IV8" s="91"/>
      <c r="IW8" s="91"/>
    </row>
    <row r="9" spans="1:257" ht="18" customHeight="1" x14ac:dyDescent="0.35">
      <c r="A9" s="156">
        <v>6</v>
      </c>
      <c r="B9" s="120" t="s">
        <v>35</v>
      </c>
      <c r="C9" s="86" t="s">
        <v>36</v>
      </c>
      <c r="D9" s="80">
        <v>1393424904</v>
      </c>
      <c r="E9" s="104"/>
      <c r="F9" s="81"/>
      <c r="G9" s="81"/>
      <c r="H9" s="81"/>
      <c r="I9" s="81"/>
      <c r="J9" s="82">
        <v>1393424905</v>
      </c>
      <c r="K9" s="82">
        <v>5825890</v>
      </c>
      <c r="L9" s="82">
        <v>2858739</v>
      </c>
      <c r="M9" s="46">
        <v>7903146</v>
      </c>
      <c r="N9" s="45">
        <v>1797288791</v>
      </c>
      <c r="O9" s="45">
        <v>84361994.829999998</v>
      </c>
      <c r="P9" s="224">
        <v>1791896937</v>
      </c>
      <c r="Q9" s="48">
        <f t="shared" si="0"/>
        <v>0.11321814458881981</v>
      </c>
      <c r="R9" s="47">
        <v>1712926796</v>
      </c>
      <c r="S9" s="48">
        <f t="shared" si="1"/>
        <v>0.10871493866565241</v>
      </c>
      <c r="T9" s="49">
        <f t="shared" si="2"/>
        <v>-4.4070693670704118E-2</v>
      </c>
      <c r="U9" s="87">
        <f t="shared" si="3"/>
        <v>1.6689207073388558E-3</v>
      </c>
      <c r="V9" s="50">
        <f t="shared" si="4"/>
        <v>4.6138258905490323E-3</v>
      </c>
      <c r="W9" s="51">
        <f t="shared" si="5"/>
        <v>0.94347666618241055</v>
      </c>
      <c r="X9" s="51">
        <f t="shared" si="6"/>
        <v>4.3530370695612922E-3</v>
      </c>
      <c r="Y9" s="81">
        <v>0.94</v>
      </c>
      <c r="Z9" s="81">
        <v>0.97</v>
      </c>
      <c r="AA9" s="205">
        <v>2742</v>
      </c>
      <c r="AB9" s="207">
        <v>1815547599</v>
      </c>
      <c r="AC9" s="35"/>
      <c r="AD9" s="4"/>
      <c r="AE9" s="4"/>
      <c r="AF9" s="4"/>
      <c r="AG9" s="5"/>
      <c r="AH9" s="6"/>
      <c r="AI9" s="6"/>
      <c r="AJ9" s="6"/>
      <c r="AK9" s="7"/>
      <c r="AL9" s="5"/>
      <c r="AM9" s="6"/>
      <c r="AN9" s="6"/>
      <c r="AO9" s="6"/>
      <c r="AP9" s="7"/>
      <c r="AQ9" s="5"/>
      <c r="AR9" s="6"/>
      <c r="AS9" s="6"/>
      <c r="AT9" s="6"/>
      <c r="AU9" s="7"/>
    </row>
    <row r="10" spans="1:257" ht="18" customHeight="1" x14ac:dyDescent="0.35">
      <c r="A10" s="156">
        <v>7</v>
      </c>
      <c r="B10" s="122" t="s">
        <v>37</v>
      </c>
      <c r="C10" s="86" t="s">
        <v>38</v>
      </c>
      <c r="D10" s="80">
        <v>2053979611.9100001</v>
      </c>
      <c r="E10" s="104"/>
      <c r="F10" s="81"/>
      <c r="G10" s="81">
        <v>58001122.979999997</v>
      </c>
      <c r="H10" s="81"/>
      <c r="I10" s="81"/>
      <c r="J10" s="82">
        <v>2111980734.8900001</v>
      </c>
      <c r="K10" s="82">
        <v>12364941.99</v>
      </c>
      <c r="L10" s="82">
        <v>1417591.73</v>
      </c>
      <c r="M10" s="210">
        <v>-14870709.189999999</v>
      </c>
      <c r="N10" s="45">
        <v>2710992249</v>
      </c>
      <c r="O10" s="45">
        <v>2044221</v>
      </c>
      <c r="P10" s="224">
        <v>2747460080</v>
      </c>
      <c r="Q10" s="48">
        <f t="shared" si="0"/>
        <v>0.1735938748297835</v>
      </c>
      <c r="R10" s="47">
        <v>2713036471</v>
      </c>
      <c r="S10" s="48">
        <f t="shared" si="1"/>
        <v>0.17218925772613289</v>
      </c>
      <c r="T10" s="49">
        <f t="shared" si="2"/>
        <v>-1.2529248104671278E-2</v>
      </c>
      <c r="U10" s="87">
        <f t="shared" si="3"/>
        <v>5.2251112181971103E-4</v>
      </c>
      <c r="V10" s="50">
        <f t="shared" si="4"/>
        <v>-5.4812050442207272E-3</v>
      </c>
      <c r="W10" s="51">
        <f t="shared" si="5"/>
        <v>20.888703213167545</v>
      </c>
      <c r="X10" s="51">
        <f t="shared" si="6"/>
        <v>-0.11449526541924365</v>
      </c>
      <c r="Y10" s="81">
        <v>20.49</v>
      </c>
      <c r="Z10" s="81">
        <v>21.1</v>
      </c>
      <c r="AA10" s="205">
        <v>12286</v>
      </c>
      <c r="AB10" s="207">
        <v>129880560</v>
      </c>
      <c r="AC10" s="35"/>
      <c r="AD10" s="4"/>
      <c r="AE10" s="4"/>
      <c r="AF10" s="4"/>
      <c r="AG10" s="5"/>
      <c r="AH10" s="6"/>
      <c r="AI10" s="6"/>
      <c r="AJ10" s="6"/>
      <c r="AK10" s="7"/>
      <c r="AL10" s="5"/>
      <c r="AM10" s="6"/>
      <c r="AN10" s="6"/>
      <c r="AO10" s="6"/>
      <c r="AP10" s="7"/>
      <c r="AQ10" s="5"/>
      <c r="AR10" s="6"/>
      <c r="AS10" s="6"/>
      <c r="AT10" s="6"/>
      <c r="AU10" s="7"/>
    </row>
    <row r="11" spans="1:257" ht="15" customHeight="1" x14ac:dyDescent="0.35">
      <c r="A11" s="156">
        <v>8</v>
      </c>
      <c r="B11" s="120" t="s">
        <v>39</v>
      </c>
      <c r="C11" s="86" t="s">
        <v>40</v>
      </c>
      <c r="D11" s="80">
        <v>272949662.25999999</v>
      </c>
      <c r="E11" s="104"/>
      <c r="F11" s="81">
        <v>85820366.930000007</v>
      </c>
      <c r="G11" s="81"/>
      <c r="H11" s="81"/>
      <c r="I11" s="81"/>
      <c r="J11" s="82">
        <v>354548588.49000001</v>
      </c>
      <c r="K11" s="82">
        <v>2716937.29</v>
      </c>
      <c r="L11" s="82">
        <v>674717.68</v>
      </c>
      <c r="M11" s="46">
        <v>3650223.45</v>
      </c>
      <c r="N11" s="45">
        <v>360055439.63</v>
      </c>
      <c r="O11" s="45">
        <v>5506851.1399999997</v>
      </c>
      <c r="P11" s="224">
        <v>353796124.10000002</v>
      </c>
      <c r="Q11" s="48">
        <f t="shared" si="0"/>
        <v>2.2354042750014388E-2</v>
      </c>
      <c r="R11" s="47">
        <v>354548588.49000001</v>
      </c>
      <c r="S11" s="48">
        <f t="shared" si="1"/>
        <v>2.250226229264031E-2</v>
      </c>
      <c r="T11" s="49">
        <f t="shared" si="2"/>
        <v>2.126830507016246E-3</v>
      </c>
      <c r="U11" s="87">
        <f t="shared" si="3"/>
        <v>1.903033045128116E-3</v>
      </c>
      <c r="V11" s="50">
        <f t="shared" si="4"/>
        <v>1.0295411033918005E-2</v>
      </c>
      <c r="W11" s="51">
        <f t="shared" si="5"/>
        <v>150.1233588684494</v>
      </c>
      <c r="X11" s="51">
        <f t="shared" si="6"/>
        <v>1.5455816853430664</v>
      </c>
      <c r="Y11" s="81">
        <v>150.12</v>
      </c>
      <c r="Z11" s="81">
        <v>152.16</v>
      </c>
      <c r="AA11" s="205">
        <v>1438</v>
      </c>
      <c r="AB11" s="207">
        <v>2361715</v>
      </c>
      <c r="AC11" s="38"/>
      <c r="AD11" s="4"/>
      <c r="AE11" s="4"/>
      <c r="AF11" s="4"/>
      <c r="AG11" s="5"/>
      <c r="AH11" s="6"/>
      <c r="AI11" s="6"/>
      <c r="AJ11" s="6"/>
      <c r="AK11" s="7"/>
      <c r="AL11" s="5"/>
      <c r="AM11" s="6"/>
      <c r="AN11" s="6"/>
      <c r="AO11" s="6"/>
      <c r="AP11" s="7"/>
      <c r="AQ11" s="5"/>
      <c r="AR11" s="6"/>
      <c r="AS11" s="6"/>
      <c r="AT11" s="6"/>
      <c r="AU11" s="7"/>
    </row>
    <row r="12" spans="1:257" ht="16.5" customHeight="1" x14ac:dyDescent="0.3">
      <c r="A12" s="227">
        <v>9</v>
      </c>
      <c r="B12" s="120" t="s">
        <v>41</v>
      </c>
      <c r="C12" s="86" t="s">
        <v>42</v>
      </c>
      <c r="D12" s="223">
        <v>196341.43</v>
      </c>
      <c r="E12" s="104"/>
      <c r="F12" s="81"/>
      <c r="G12" s="81"/>
      <c r="H12" s="81"/>
      <c r="I12" s="81"/>
      <c r="J12" s="82">
        <v>247419.06</v>
      </c>
      <c r="K12" s="82">
        <f>M12+L12</f>
        <v>-155548.87</v>
      </c>
      <c r="L12" s="82">
        <v>1479.41</v>
      </c>
      <c r="M12" s="46">
        <v>-157028.28</v>
      </c>
      <c r="N12" s="45">
        <v>247419057.69999999</v>
      </c>
      <c r="O12" s="45">
        <v>2118021.15</v>
      </c>
      <c r="P12" s="224">
        <v>246108114.59999999</v>
      </c>
      <c r="Q12" s="48">
        <f t="shared" si="0"/>
        <v>1.5549947950641893E-2</v>
      </c>
      <c r="R12" s="47">
        <v>245301036.55000001</v>
      </c>
      <c r="S12" s="48">
        <f t="shared" si="1"/>
        <v>1.5568608772674141E-2</v>
      </c>
      <c r="T12" s="49">
        <f t="shared" si="2"/>
        <v>-3.2793638328899788E-3</v>
      </c>
      <c r="U12" s="87">
        <f t="shared" si="3"/>
        <v>6.0309977520150025E-6</v>
      </c>
      <c r="V12" s="50">
        <f t="shared" si="4"/>
        <v>-6.4014519550549369E-4</v>
      </c>
      <c r="W12" s="51">
        <f t="shared" si="5"/>
        <v>402.68032701509833</v>
      </c>
      <c r="X12" s="51">
        <f t="shared" si="6"/>
        <v>-0.25777387666329621</v>
      </c>
      <c r="Y12" s="81">
        <v>11.78</v>
      </c>
      <c r="Z12" s="81">
        <v>11.8</v>
      </c>
      <c r="AA12" s="52">
        <v>130</v>
      </c>
      <c r="AB12" s="207">
        <v>609170.65</v>
      </c>
      <c r="AC12" s="13"/>
      <c r="AD12" s="4"/>
      <c r="AE12" s="4"/>
      <c r="AF12" s="4"/>
      <c r="AG12" s="5"/>
      <c r="AH12" s="6"/>
      <c r="AI12" s="6"/>
      <c r="AJ12" s="6"/>
      <c r="AK12" s="7"/>
      <c r="AL12" s="5"/>
      <c r="AM12" s="6"/>
      <c r="AN12" s="6"/>
      <c r="AO12" s="6"/>
      <c r="AP12" s="7"/>
      <c r="AQ12" s="5"/>
      <c r="AR12" s="6"/>
      <c r="AS12" s="6"/>
      <c r="AT12" s="6"/>
      <c r="AU12" s="7"/>
    </row>
    <row r="13" spans="1:257" ht="16.5" customHeight="1" x14ac:dyDescent="0.3">
      <c r="A13" s="156">
        <v>10</v>
      </c>
      <c r="B13" s="120" t="s">
        <v>25</v>
      </c>
      <c r="C13" s="85" t="s">
        <v>43</v>
      </c>
      <c r="D13" s="80">
        <v>251641643.02000001</v>
      </c>
      <c r="E13" s="104"/>
      <c r="F13" s="81">
        <v>101532907.01000001</v>
      </c>
      <c r="G13" s="81"/>
      <c r="H13" s="81"/>
      <c r="I13" s="81"/>
      <c r="J13" s="82">
        <v>353178150.02999997</v>
      </c>
      <c r="K13" s="82">
        <v>864131.79</v>
      </c>
      <c r="L13" s="82">
        <v>386580.9</v>
      </c>
      <c r="M13" s="210">
        <v>-1496911.45</v>
      </c>
      <c r="N13" s="45">
        <v>355957282.16000003</v>
      </c>
      <c r="O13" s="45">
        <v>3449758.99</v>
      </c>
      <c r="P13" s="224">
        <v>332407490.95999998</v>
      </c>
      <c r="Q13" s="48">
        <f t="shared" si="0"/>
        <v>2.1002636143194708E-2</v>
      </c>
      <c r="R13" s="47">
        <v>352507523.17000002</v>
      </c>
      <c r="S13" s="48">
        <f t="shared" si="1"/>
        <v>2.2372721268707148E-2</v>
      </c>
      <c r="T13" s="49">
        <f t="shared" si="2"/>
        <v>6.0468048273974555E-2</v>
      </c>
      <c r="U13" s="87">
        <f t="shared" si="3"/>
        <v>1.0966599989798453E-3</v>
      </c>
      <c r="V13" s="50">
        <f t="shared" si="4"/>
        <v>-4.2464666754873787E-3</v>
      </c>
      <c r="W13" s="51">
        <f t="shared" si="5"/>
        <v>2832.8560829725438</v>
      </c>
      <c r="X13" s="51">
        <f t="shared" si="6"/>
        <v>-12.029628952794614</v>
      </c>
      <c r="Y13" s="81">
        <v>2807.05</v>
      </c>
      <c r="Z13" s="81">
        <v>2847.11</v>
      </c>
      <c r="AA13" s="205">
        <v>20</v>
      </c>
      <c r="AB13" s="207">
        <v>124435.38</v>
      </c>
      <c r="AC13" s="13"/>
      <c r="AD13" s="4"/>
      <c r="AE13" s="4"/>
      <c r="AF13" s="4"/>
      <c r="AG13" s="5"/>
      <c r="AH13" s="6"/>
      <c r="AI13" s="6"/>
      <c r="AJ13" s="6"/>
      <c r="AK13" s="7"/>
      <c r="AL13" s="5"/>
      <c r="AM13" s="6"/>
      <c r="AN13" s="6"/>
      <c r="AO13" s="6"/>
      <c r="AP13" s="7"/>
      <c r="AQ13" s="5"/>
      <c r="AR13" s="6"/>
      <c r="AS13" s="6"/>
      <c r="AT13" s="6"/>
      <c r="AU13" s="7"/>
    </row>
    <row r="14" spans="1:257" ht="16.5" customHeight="1" x14ac:dyDescent="0.3">
      <c r="A14" s="156">
        <v>11</v>
      </c>
      <c r="B14" s="228" t="s">
        <v>44</v>
      </c>
      <c r="C14" s="88" t="s">
        <v>45</v>
      </c>
      <c r="D14" s="80">
        <v>228209117.75</v>
      </c>
      <c r="E14" s="104"/>
      <c r="F14" s="81"/>
      <c r="G14" s="81"/>
      <c r="H14" s="81"/>
      <c r="I14" s="81"/>
      <c r="J14" s="82">
        <v>228209117.75</v>
      </c>
      <c r="K14" s="82">
        <v>259798.84</v>
      </c>
      <c r="L14" s="82">
        <v>504746.78</v>
      </c>
      <c r="M14" s="210">
        <v>-244947.84</v>
      </c>
      <c r="N14" s="45">
        <v>270828487.26999998</v>
      </c>
      <c r="O14" s="45">
        <v>2432023.27</v>
      </c>
      <c r="P14" s="224">
        <v>258622817.46000001</v>
      </c>
      <c r="Q14" s="48">
        <f t="shared" si="0"/>
        <v>1.6340669452885075E-2</v>
      </c>
      <c r="R14" s="47">
        <v>268396464</v>
      </c>
      <c r="S14" s="48">
        <f t="shared" si="1"/>
        <v>1.7034414541225954E-2</v>
      </c>
      <c r="T14" s="49">
        <f t="shared" si="2"/>
        <v>3.7791122361087247E-2</v>
      </c>
      <c r="U14" s="87">
        <f t="shared" si="3"/>
        <v>1.88060145233508E-3</v>
      </c>
      <c r="V14" s="50">
        <f t="shared" si="4"/>
        <v>-9.1263437807436983E-4</v>
      </c>
      <c r="W14" s="51">
        <f t="shared" si="5"/>
        <v>133.14414973814556</v>
      </c>
      <c r="X14" s="51">
        <f t="shared" si="6"/>
        <v>-0.12151192829051326</v>
      </c>
      <c r="Y14" s="81">
        <v>130.35</v>
      </c>
      <c r="Z14" s="81">
        <v>131.29</v>
      </c>
      <c r="AA14" s="205">
        <v>571</v>
      </c>
      <c r="AB14" s="207">
        <v>2015833.7</v>
      </c>
      <c r="AC14" s="13"/>
      <c r="AD14" s="4"/>
      <c r="AE14" s="4"/>
      <c r="AF14" s="4"/>
      <c r="AG14" s="5"/>
      <c r="AH14" s="6"/>
      <c r="AI14" s="6"/>
      <c r="AJ14" s="6"/>
      <c r="AK14" s="7"/>
      <c r="AL14" s="5"/>
      <c r="AM14" s="6"/>
      <c r="AN14" s="6"/>
      <c r="AO14" s="6"/>
      <c r="AP14" s="7"/>
      <c r="AQ14" s="5"/>
      <c r="AR14" s="6"/>
      <c r="AS14" s="6"/>
      <c r="AT14" s="6"/>
      <c r="AU14" s="7"/>
    </row>
    <row r="15" spans="1:257" ht="16.5" customHeight="1" x14ac:dyDescent="0.3">
      <c r="A15" s="156">
        <v>12</v>
      </c>
      <c r="B15" s="120" t="s">
        <v>46</v>
      </c>
      <c r="C15" s="85" t="s">
        <v>47</v>
      </c>
      <c r="D15" s="80">
        <v>263940352.09999999</v>
      </c>
      <c r="E15" s="104"/>
      <c r="F15" s="81">
        <v>52452212.490000002</v>
      </c>
      <c r="G15" s="81"/>
      <c r="H15" s="81"/>
      <c r="I15" s="81"/>
      <c r="J15" s="82">
        <v>316392564.58999997</v>
      </c>
      <c r="K15" s="82">
        <v>1273894.76</v>
      </c>
      <c r="L15" s="82">
        <v>822892.97</v>
      </c>
      <c r="M15" s="46">
        <v>6330447.1900000004</v>
      </c>
      <c r="N15" s="45">
        <v>328416292.91000003</v>
      </c>
      <c r="O15" s="45">
        <v>4153237.36</v>
      </c>
      <c r="P15" s="224">
        <v>314051504.32999998</v>
      </c>
      <c r="Q15" s="48">
        <f t="shared" si="0"/>
        <v>1.984284246006851E-2</v>
      </c>
      <c r="R15" s="47">
        <v>324263055.55000001</v>
      </c>
      <c r="S15" s="48">
        <f t="shared" si="1"/>
        <v>2.0580119522898333E-2</v>
      </c>
      <c r="T15" s="49">
        <f t="shared" si="2"/>
        <v>3.2515530348391213E-2</v>
      </c>
      <c r="U15" s="87">
        <f t="shared" si="3"/>
        <v>2.5377327324700833E-3</v>
      </c>
      <c r="V15" s="50">
        <f t="shared" si="4"/>
        <v>1.9522566884046005E-2</v>
      </c>
      <c r="W15" s="51">
        <f t="shared" si="5"/>
        <v>1.2187529650363398</v>
      </c>
      <c r="X15" s="51">
        <f t="shared" si="6"/>
        <v>2.3793186275051326E-2</v>
      </c>
      <c r="Y15" s="81">
        <v>1.28</v>
      </c>
      <c r="Z15" s="81">
        <v>1.33</v>
      </c>
      <c r="AA15" s="205">
        <v>102</v>
      </c>
      <c r="AB15" s="207">
        <v>266061347.00999999</v>
      </c>
      <c r="AC15" s="13"/>
      <c r="AD15" s="4"/>
      <c r="AE15" s="4"/>
      <c r="AF15" s="4"/>
      <c r="AG15" s="5"/>
      <c r="AH15" s="6"/>
      <c r="AI15" s="6"/>
      <c r="AJ15" s="6"/>
      <c r="AK15" s="7"/>
      <c r="AL15" s="5"/>
      <c r="AM15" s="6"/>
      <c r="AN15" s="6"/>
      <c r="AO15" s="6"/>
      <c r="AP15" s="7"/>
      <c r="AQ15" s="5"/>
      <c r="AR15" s="6"/>
      <c r="AS15" s="6"/>
      <c r="AT15" s="6"/>
      <c r="AU15" s="7"/>
    </row>
    <row r="16" spans="1:257" ht="16.5" customHeight="1" x14ac:dyDescent="0.3">
      <c r="A16" s="156">
        <v>13</v>
      </c>
      <c r="B16" s="228" t="s">
        <v>48</v>
      </c>
      <c r="C16" s="88" t="s">
        <v>49</v>
      </c>
      <c r="D16" s="80">
        <v>213680912.69999999</v>
      </c>
      <c r="E16" s="104"/>
      <c r="F16" s="81">
        <v>61291760.270000003</v>
      </c>
      <c r="G16" s="81"/>
      <c r="H16" s="81"/>
      <c r="I16" s="81"/>
      <c r="J16" s="82">
        <v>283143102.10000002</v>
      </c>
      <c r="K16" s="82">
        <v>371787.67</v>
      </c>
      <c r="L16" s="82">
        <v>361684.83</v>
      </c>
      <c r="M16" s="46">
        <v>10102.84</v>
      </c>
      <c r="N16" s="45">
        <v>287151096.07999998</v>
      </c>
      <c r="O16" s="45">
        <v>3558823.57</v>
      </c>
      <c r="P16" s="224">
        <v>293445925.73000002</v>
      </c>
      <c r="Q16" s="48">
        <f t="shared" si="0"/>
        <v>1.8540911903070695E-2</v>
      </c>
      <c r="R16" s="47">
        <v>283592272.50999999</v>
      </c>
      <c r="S16" s="48">
        <f t="shared" si="1"/>
        <v>1.7998852364253418E-2</v>
      </c>
      <c r="T16" s="49">
        <f t="shared" si="2"/>
        <v>-3.3579110684489065E-2</v>
      </c>
      <c r="U16" s="87">
        <f t="shared" si="3"/>
        <v>1.275369130473209E-3</v>
      </c>
      <c r="V16" s="50">
        <f t="shared" si="4"/>
        <v>3.5624524993514254E-5</v>
      </c>
      <c r="W16" s="51">
        <f t="shared" si="5"/>
        <v>1.4358478920429256</v>
      </c>
      <c r="X16" s="51">
        <f t="shared" si="6"/>
        <v>5.1151399116967962E-5</v>
      </c>
      <c r="Y16" s="81">
        <v>1.4358</v>
      </c>
      <c r="Z16" s="81">
        <v>1.4539</v>
      </c>
      <c r="AA16" s="205">
        <v>11</v>
      </c>
      <c r="AB16" s="207">
        <v>197508576</v>
      </c>
      <c r="AC16" s="13"/>
      <c r="AD16" s="4"/>
      <c r="AE16" s="4"/>
      <c r="AF16" s="4"/>
      <c r="AG16" s="5"/>
      <c r="AH16" s="6"/>
      <c r="AI16" s="6"/>
      <c r="AJ16" s="6"/>
      <c r="AK16" s="7"/>
      <c r="AL16" s="5"/>
      <c r="AM16" s="6"/>
      <c r="AN16" s="6"/>
      <c r="AO16" s="6"/>
      <c r="AP16" s="7"/>
      <c r="AQ16" s="5"/>
      <c r="AR16" s="6"/>
      <c r="AS16" s="6"/>
      <c r="AT16" s="6"/>
      <c r="AU16" s="7"/>
    </row>
    <row r="17" spans="1:257" ht="15.95" customHeight="1" x14ac:dyDescent="0.3">
      <c r="A17" s="156">
        <v>14</v>
      </c>
      <c r="B17" s="229" t="s">
        <v>50</v>
      </c>
      <c r="C17" s="106" t="s">
        <v>51</v>
      </c>
      <c r="D17" s="219">
        <v>3621932.74</v>
      </c>
      <c r="E17" s="219"/>
      <c r="F17" s="44"/>
      <c r="G17" s="219"/>
      <c r="H17" s="219"/>
      <c r="I17" s="219">
        <v>1882545.57</v>
      </c>
      <c r="J17" s="219">
        <v>3621932.74</v>
      </c>
      <c r="K17" s="219">
        <v>0</v>
      </c>
      <c r="L17" s="219">
        <v>0</v>
      </c>
      <c r="M17" s="220">
        <v>0</v>
      </c>
      <c r="N17" s="219">
        <v>5504478.3099999996</v>
      </c>
      <c r="O17" s="219">
        <v>0</v>
      </c>
      <c r="P17" s="224">
        <v>5504478.3099999996</v>
      </c>
      <c r="Q17" s="48">
        <f t="shared" si="0"/>
        <v>3.4779166609379749E-4</v>
      </c>
      <c r="R17" s="56">
        <v>5504478.3099999996</v>
      </c>
      <c r="S17" s="48">
        <f t="shared" si="1"/>
        <v>3.4935469703403711E-4</v>
      </c>
      <c r="T17" s="49">
        <f t="shared" si="2"/>
        <v>0</v>
      </c>
      <c r="U17" s="87">
        <f>(L17/R17)</f>
        <v>0</v>
      </c>
      <c r="V17" s="58">
        <f t="shared" si="4"/>
        <v>0</v>
      </c>
      <c r="W17" s="59">
        <f t="shared" si="5"/>
        <v>1.3927630965032134</v>
      </c>
      <c r="X17" s="59">
        <f t="shared" si="6"/>
        <v>0</v>
      </c>
      <c r="Y17" s="219">
        <v>1.39</v>
      </c>
      <c r="Z17" s="219">
        <v>1.45</v>
      </c>
      <c r="AA17" s="221">
        <v>2420</v>
      </c>
      <c r="AB17" s="222">
        <v>3952200</v>
      </c>
      <c r="AC17" s="13"/>
      <c r="AD17" s="4"/>
      <c r="AE17" s="4"/>
      <c r="AF17" s="4"/>
      <c r="AG17" s="5"/>
      <c r="AH17" s="6"/>
      <c r="AI17" s="6"/>
      <c r="AJ17" s="6"/>
      <c r="AK17" s="7"/>
      <c r="AL17" s="5"/>
      <c r="AM17" s="6"/>
      <c r="AN17" s="6"/>
      <c r="AO17" s="6"/>
      <c r="AP17" s="7"/>
      <c r="AQ17" s="5"/>
      <c r="AR17" s="6"/>
      <c r="AS17" s="6"/>
      <c r="AT17" s="6"/>
      <c r="AU17" s="7"/>
    </row>
    <row r="18" spans="1:257" ht="16.5" customHeight="1" x14ac:dyDescent="0.3">
      <c r="A18" s="156">
        <v>15</v>
      </c>
      <c r="B18" s="120" t="s">
        <v>52</v>
      </c>
      <c r="C18" s="86" t="s">
        <v>53</v>
      </c>
      <c r="D18" s="80">
        <v>362334556.60000002</v>
      </c>
      <c r="E18" s="104"/>
      <c r="F18" s="81">
        <v>16071013.67</v>
      </c>
      <c r="G18" s="81">
        <v>50581958.719999999</v>
      </c>
      <c r="H18" s="81"/>
      <c r="I18" s="81"/>
      <c r="J18" s="82">
        <v>428987528.99000001</v>
      </c>
      <c r="K18" s="82">
        <v>5227262.79</v>
      </c>
      <c r="L18" s="82">
        <v>3827698.84</v>
      </c>
      <c r="M18" s="46">
        <v>1399563.95</v>
      </c>
      <c r="N18" s="45">
        <v>432258056.91000003</v>
      </c>
      <c r="O18" s="45">
        <v>3827698.84</v>
      </c>
      <c r="P18" s="224">
        <v>354398003.36000001</v>
      </c>
      <c r="Q18" s="48">
        <f t="shared" si="0"/>
        <v>2.2392071529279883E-2</v>
      </c>
      <c r="R18" s="47">
        <v>428430358.06999999</v>
      </c>
      <c r="S18" s="48">
        <f t="shared" si="1"/>
        <v>2.7191343032783956E-2</v>
      </c>
      <c r="T18" s="49">
        <f>((R18-P18)/P18)</f>
        <v>0.20889608295788673</v>
      </c>
      <c r="U18" s="87">
        <f>(L18/R18)</f>
        <v>8.934238127389197E-3</v>
      </c>
      <c r="V18" s="50">
        <f t="shared" si="4"/>
        <v>3.266724506416348E-3</v>
      </c>
      <c r="W18" s="51">
        <f t="shared" si="5"/>
        <v>139.80864537590398</v>
      </c>
      <c r="X18" s="51">
        <f t="shared" si="6"/>
        <v>0.45671632805833812</v>
      </c>
      <c r="Y18" s="81">
        <v>139.69</v>
      </c>
      <c r="Z18" s="81">
        <v>141.44999999999999</v>
      </c>
      <c r="AA18" s="205">
        <v>139</v>
      </c>
      <c r="AB18" s="207">
        <v>3064405.33</v>
      </c>
      <c r="AC18" s="3"/>
      <c r="AD18" s="9"/>
      <c r="AE18" s="4"/>
      <c r="AF18" s="4"/>
      <c r="AG18" s="5"/>
      <c r="AH18" s="6"/>
      <c r="AI18" s="6"/>
      <c r="AJ18" s="6"/>
      <c r="AK18" s="7"/>
      <c r="AL18" s="5"/>
      <c r="AM18" s="6"/>
      <c r="AN18" s="6"/>
      <c r="AO18" s="6"/>
      <c r="AP18" s="7"/>
      <c r="AQ18" s="5"/>
      <c r="AR18" s="6"/>
      <c r="AS18" s="6"/>
      <c r="AT18" s="6"/>
      <c r="AU18" s="7"/>
    </row>
    <row r="19" spans="1:257" ht="16.5" customHeight="1" x14ac:dyDescent="0.3">
      <c r="A19" s="230">
        <v>16</v>
      </c>
      <c r="B19" s="231" t="s">
        <v>176</v>
      </c>
      <c r="C19" s="148" t="s">
        <v>177</v>
      </c>
      <c r="D19" s="80">
        <v>17887574.449999999</v>
      </c>
      <c r="E19" s="104"/>
      <c r="F19" s="81">
        <v>5503901.6799999997</v>
      </c>
      <c r="G19" s="81"/>
      <c r="H19" s="81"/>
      <c r="I19" s="81"/>
      <c r="J19" s="82">
        <v>23391476.129999999</v>
      </c>
      <c r="K19" s="82">
        <v>61064.160000000003</v>
      </c>
      <c r="L19" s="82">
        <v>21526.47</v>
      </c>
      <c r="M19" s="46">
        <v>39537.69</v>
      </c>
      <c r="N19" s="45">
        <v>24322268.52</v>
      </c>
      <c r="O19" s="45">
        <v>356720.65</v>
      </c>
      <c r="P19" s="224">
        <v>23899049.1871964</v>
      </c>
      <c r="Q19" s="48">
        <f t="shared" si="0"/>
        <v>1.510023233223105E-3</v>
      </c>
      <c r="R19" s="47">
        <v>23965547.870000001</v>
      </c>
      <c r="S19" s="48">
        <f t="shared" si="1"/>
        <v>1.5210300129929234E-3</v>
      </c>
      <c r="T19" s="49">
        <f>((R19-P19)/P19)</f>
        <v>2.7824823608140368E-3</v>
      </c>
      <c r="U19" s="149">
        <f>(L18/R19)</f>
        <v>0.15971672589181662</v>
      </c>
      <c r="V19" s="150" t="e">
        <v>#DIV/0!</v>
      </c>
      <c r="W19" s="151" t="e">
        <v>#DIV/0!</v>
      </c>
      <c r="X19" s="151" t="e">
        <v>#DIV/0!</v>
      </c>
      <c r="Y19" s="81">
        <v>93.19</v>
      </c>
      <c r="Z19" s="81">
        <v>96.04</v>
      </c>
      <c r="AA19" s="205">
        <v>3</v>
      </c>
      <c r="AB19" s="207">
        <v>253000</v>
      </c>
      <c r="AC19" s="113"/>
      <c r="AD19" s="113"/>
      <c r="AE19" s="114"/>
      <c r="AF19" s="114"/>
      <c r="AG19" s="115"/>
      <c r="AH19" s="115"/>
      <c r="AI19" s="115"/>
      <c r="AJ19" s="115"/>
      <c r="AK19" s="116"/>
      <c r="AL19" s="115"/>
      <c r="AM19" s="115"/>
      <c r="AN19" s="115"/>
      <c r="AO19" s="115"/>
      <c r="AP19" s="116"/>
      <c r="AQ19" s="115"/>
      <c r="AR19" s="115"/>
      <c r="AS19" s="115"/>
      <c r="AT19" s="115"/>
      <c r="AU19" s="116"/>
      <c r="AV19" s="117"/>
      <c r="AW19" s="117"/>
      <c r="AX19" s="117"/>
      <c r="AY19" s="117"/>
      <c r="AZ19" s="117"/>
      <c r="BA19" s="117"/>
      <c r="BB19" s="117"/>
      <c r="BC19" s="117"/>
      <c r="BD19" s="117"/>
      <c r="BE19" s="117"/>
      <c r="BF19" s="117"/>
      <c r="BG19" s="117"/>
      <c r="BH19" s="117"/>
      <c r="BI19" s="117"/>
      <c r="BJ19" s="117"/>
      <c r="BK19" s="117"/>
      <c r="BL19" s="117"/>
      <c r="BM19" s="117"/>
      <c r="BN19" s="117"/>
      <c r="BO19" s="117"/>
      <c r="BP19" s="117"/>
      <c r="BQ19" s="117"/>
      <c r="BR19" s="117"/>
      <c r="BS19" s="117"/>
      <c r="BT19" s="117"/>
      <c r="BU19" s="117"/>
      <c r="BV19" s="117"/>
      <c r="BW19" s="117"/>
      <c r="BX19" s="117"/>
      <c r="BY19" s="117"/>
      <c r="BZ19" s="117"/>
      <c r="CA19" s="117"/>
      <c r="CB19" s="117"/>
      <c r="CC19" s="117"/>
      <c r="CD19" s="117"/>
      <c r="CE19" s="117"/>
      <c r="CF19" s="117"/>
      <c r="CG19" s="117"/>
      <c r="CH19" s="117"/>
      <c r="CI19" s="117"/>
      <c r="CJ19" s="117"/>
      <c r="CK19" s="117"/>
      <c r="CL19" s="117"/>
      <c r="CM19" s="117"/>
      <c r="CN19" s="117"/>
      <c r="CO19" s="117"/>
      <c r="CP19" s="117"/>
      <c r="CQ19" s="117"/>
      <c r="CR19" s="117"/>
      <c r="CS19" s="117"/>
      <c r="CT19" s="117"/>
      <c r="CU19" s="117"/>
      <c r="CV19" s="117"/>
      <c r="CW19" s="117"/>
      <c r="CX19" s="117"/>
      <c r="CY19" s="117"/>
      <c r="CZ19" s="117"/>
      <c r="DA19" s="117"/>
      <c r="DB19" s="117"/>
      <c r="DC19" s="117"/>
      <c r="DD19" s="117"/>
      <c r="DE19" s="117"/>
      <c r="DF19" s="117"/>
      <c r="DG19" s="117"/>
      <c r="DH19" s="117"/>
      <c r="DI19" s="117"/>
      <c r="DJ19" s="117"/>
      <c r="DK19" s="117"/>
      <c r="DL19" s="117"/>
      <c r="DM19" s="117"/>
      <c r="DN19" s="117"/>
      <c r="DO19" s="117"/>
      <c r="DP19" s="117"/>
      <c r="DQ19" s="117"/>
      <c r="DR19" s="117"/>
      <c r="DS19" s="117"/>
      <c r="DT19" s="117"/>
      <c r="DU19" s="117"/>
      <c r="DV19" s="117"/>
      <c r="DW19" s="117"/>
      <c r="DX19" s="117"/>
      <c r="DY19" s="117"/>
      <c r="DZ19" s="117"/>
      <c r="EA19" s="117"/>
      <c r="EB19" s="117"/>
      <c r="EC19" s="117"/>
      <c r="ED19" s="117"/>
      <c r="EE19" s="117"/>
      <c r="EF19" s="117"/>
      <c r="EG19" s="117"/>
      <c r="EH19" s="117"/>
      <c r="EI19" s="117"/>
      <c r="EJ19" s="117"/>
      <c r="EK19" s="117"/>
      <c r="EL19" s="117"/>
      <c r="EM19" s="117"/>
      <c r="EN19" s="117"/>
      <c r="EO19" s="117"/>
      <c r="EP19" s="117"/>
      <c r="EQ19" s="117"/>
      <c r="ER19" s="117"/>
      <c r="ES19" s="117"/>
      <c r="ET19" s="117"/>
      <c r="EU19" s="117"/>
      <c r="EV19" s="117"/>
      <c r="EW19" s="117"/>
      <c r="EX19" s="117"/>
      <c r="EY19" s="117"/>
      <c r="EZ19" s="117"/>
      <c r="FA19" s="117"/>
      <c r="FB19" s="117"/>
      <c r="FC19" s="117"/>
      <c r="FD19" s="117"/>
      <c r="FE19" s="117"/>
      <c r="FF19" s="117"/>
      <c r="FG19" s="117"/>
      <c r="FH19" s="117"/>
      <c r="FI19" s="117"/>
      <c r="FJ19" s="117"/>
      <c r="FK19" s="117"/>
      <c r="FL19" s="117"/>
      <c r="FM19" s="117"/>
      <c r="FN19" s="117"/>
      <c r="FO19" s="117"/>
      <c r="FP19" s="117"/>
      <c r="FQ19" s="117"/>
      <c r="FR19" s="117"/>
      <c r="FS19" s="117"/>
      <c r="FT19" s="117"/>
      <c r="FU19" s="117"/>
      <c r="FV19" s="117"/>
      <c r="FW19" s="117"/>
      <c r="FX19" s="117"/>
      <c r="FY19" s="117"/>
      <c r="FZ19" s="117"/>
      <c r="GA19" s="117"/>
      <c r="GB19" s="117"/>
      <c r="GC19" s="117"/>
      <c r="GD19" s="117"/>
      <c r="GE19" s="117"/>
      <c r="GF19" s="117"/>
      <c r="GG19" s="117"/>
      <c r="GH19" s="117"/>
      <c r="GI19" s="117"/>
      <c r="GJ19" s="117"/>
      <c r="GK19" s="117"/>
      <c r="GL19" s="117"/>
      <c r="GM19" s="117"/>
      <c r="GN19" s="117"/>
      <c r="GO19" s="117"/>
      <c r="GP19" s="117"/>
      <c r="GQ19" s="117"/>
      <c r="GR19" s="117"/>
      <c r="GS19" s="117"/>
      <c r="GT19" s="117"/>
      <c r="GU19" s="117"/>
      <c r="GV19" s="117"/>
      <c r="GW19" s="117"/>
      <c r="GX19" s="117"/>
      <c r="GY19" s="117"/>
      <c r="GZ19" s="117"/>
      <c r="HA19" s="117"/>
      <c r="HB19" s="117"/>
      <c r="HC19" s="117"/>
      <c r="HD19" s="117"/>
      <c r="HE19" s="117"/>
      <c r="HF19" s="117"/>
      <c r="HG19" s="117"/>
      <c r="HH19" s="117"/>
      <c r="HI19" s="117"/>
      <c r="HJ19" s="117"/>
      <c r="HK19" s="117"/>
      <c r="HL19" s="117"/>
      <c r="HM19" s="117"/>
      <c r="HN19" s="117"/>
      <c r="HO19" s="117"/>
      <c r="HP19" s="117"/>
      <c r="HQ19" s="117"/>
      <c r="HR19" s="117"/>
      <c r="HS19" s="117"/>
      <c r="HT19" s="117"/>
      <c r="HU19" s="117"/>
      <c r="HV19" s="117"/>
      <c r="HW19" s="117"/>
      <c r="HX19" s="117"/>
      <c r="HY19" s="117"/>
      <c r="HZ19" s="117"/>
      <c r="IA19" s="117"/>
      <c r="IB19" s="117"/>
      <c r="IC19" s="117"/>
      <c r="ID19" s="117"/>
      <c r="IE19" s="117"/>
      <c r="IF19" s="117"/>
      <c r="IG19" s="117"/>
      <c r="IH19" s="117"/>
      <c r="II19" s="117"/>
      <c r="IJ19" s="117"/>
      <c r="IK19" s="117"/>
      <c r="IL19" s="117"/>
      <c r="IM19" s="117"/>
      <c r="IN19" s="117"/>
      <c r="IO19" s="117"/>
      <c r="IP19" s="117"/>
      <c r="IQ19" s="117"/>
      <c r="IR19" s="117"/>
      <c r="IS19" s="117"/>
      <c r="IT19" s="117"/>
      <c r="IU19" s="117"/>
      <c r="IV19" s="117"/>
      <c r="IW19" s="117"/>
    </row>
    <row r="20" spans="1:257" ht="16.5" customHeight="1" x14ac:dyDescent="0.3">
      <c r="A20" s="159"/>
      <c r="B20" s="60"/>
      <c r="C20" s="61" t="s">
        <v>54</v>
      </c>
      <c r="D20" s="62"/>
      <c r="E20" s="62"/>
      <c r="F20" s="62"/>
      <c r="G20" s="62"/>
      <c r="H20" s="62"/>
      <c r="I20" s="62"/>
      <c r="J20" s="62"/>
      <c r="K20" s="62"/>
      <c r="L20" s="62"/>
      <c r="M20" s="126"/>
      <c r="N20" s="62"/>
      <c r="O20" s="62"/>
      <c r="P20" s="192">
        <f>SUM(P4:P19)</f>
        <v>15826941375.057194</v>
      </c>
      <c r="Q20" s="125">
        <f>(P20/$P$146)</f>
        <v>1.2249150623319039E-2</v>
      </c>
      <c r="R20" s="226">
        <f>SUM(R4:R19)</f>
        <v>15756130822.719999</v>
      </c>
      <c r="S20" s="125">
        <f>(R20/$R$146)</f>
        <v>1.2104103842155201E-2</v>
      </c>
      <c r="T20" s="64">
        <f>((R20-P20)/P20)</f>
        <v>-4.4740515971576069E-3</v>
      </c>
      <c r="U20" s="79"/>
      <c r="V20" s="65"/>
      <c r="W20" s="66"/>
      <c r="X20" s="66"/>
      <c r="Y20" s="62"/>
      <c r="Z20" s="62"/>
      <c r="AA20" s="67">
        <f>SUM(AA4:AA19)</f>
        <v>53748</v>
      </c>
      <c r="AB20" s="160"/>
      <c r="AC20" s="10"/>
      <c r="AD20" s="10"/>
      <c r="AE20" s="13"/>
      <c r="AF20" s="4"/>
      <c r="AG20" s="5"/>
      <c r="AH20" s="6"/>
      <c r="AI20" s="6"/>
      <c r="AJ20" s="6"/>
      <c r="AK20" s="7"/>
      <c r="AL20" s="5"/>
      <c r="AM20" s="6"/>
      <c r="AN20" s="6"/>
      <c r="AO20" s="6"/>
      <c r="AP20" s="7"/>
      <c r="AQ20" s="5"/>
      <c r="AR20" s="6"/>
      <c r="AS20" s="6"/>
      <c r="AT20" s="6"/>
      <c r="AU20" s="7"/>
    </row>
    <row r="21" spans="1:257" ht="15.75" customHeight="1" x14ac:dyDescent="0.3">
      <c r="A21" s="240" t="s">
        <v>55</v>
      </c>
      <c r="B21" s="241"/>
      <c r="C21" s="241"/>
      <c r="D21" s="68"/>
      <c r="E21" s="68"/>
      <c r="F21" s="68"/>
      <c r="G21" s="68"/>
      <c r="H21" s="68"/>
      <c r="I21" s="68"/>
      <c r="J21" s="68"/>
      <c r="K21" s="68"/>
      <c r="L21" s="68"/>
      <c r="M21" s="68"/>
      <c r="N21" s="68"/>
      <c r="O21" s="68"/>
      <c r="P21" s="121"/>
      <c r="Q21" s="68"/>
      <c r="R21" s="68"/>
      <c r="S21" s="68"/>
      <c r="T21" s="49"/>
      <c r="U21" s="49"/>
      <c r="V21" s="68"/>
      <c r="W21" s="68"/>
      <c r="X21" s="68"/>
      <c r="Y21" s="68"/>
      <c r="Z21" s="68"/>
      <c r="AA21" s="68"/>
      <c r="AB21" s="161"/>
      <c r="AC21" s="10"/>
      <c r="AD21" s="10"/>
      <c r="AE21" s="13"/>
      <c r="AF21" s="4"/>
      <c r="AG21" s="5"/>
      <c r="AH21" s="6"/>
      <c r="AI21" s="6"/>
      <c r="AJ21" s="6"/>
      <c r="AK21" s="7"/>
      <c r="AL21" s="5"/>
      <c r="AM21" s="6"/>
      <c r="AN21" s="6"/>
      <c r="AO21" s="6"/>
      <c r="AP21" s="7"/>
      <c r="AQ21" s="5"/>
      <c r="AR21" s="6"/>
      <c r="AS21" s="6"/>
      <c r="AT21" s="6"/>
      <c r="AU21" s="7"/>
    </row>
    <row r="22" spans="1:257" ht="18" customHeight="1" x14ac:dyDescent="0.35">
      <c r="A22" s="156">
        <v>17</v>
      </c>
      <c r="B22" s="120" t="s">
        <v>25</v>
      </c>
      <c r="C22" s="86" t="s">
        <v>56</v>
      </c>
      <c r="D22" s="81"/>
      <c r="E22" s="81"/>
      <c r="F22" s="81">
        <v>201185399631.54001</v>
      </c>
      <c r="G22" s="81">
        <v>17783252039.470001</v>
      </c>
      <c r="H22" s="81"/>
      <c r="I22" s="81"/>
      <c r="J22" s="81">
        <v>218968651671.01001</v>
      </c>
      <c r="K22" s="81">
        <v>1759277078.3</v>
      </c>
      <c r="L22" s="81">
        <v>324475530.87</v>
      </c>
      <c r="M22" s="54">
        <v>1434801547.4300001</v>
      </c>
      <c r="N22" s="44">
        <v>220606430302.39999</v>
      </c>
      <c r="O22" s="44">
        <v>1009717277.3200001</v>
      </c>
      <c r="P22" s="224">
        <v>217635743454.04999</v>
      </c>
      <c r="Q22" s="48">
        <f t="shared" ref="Q22:Q50" si="7">(P22/$P$51)</f>
        <v>0.40450654550669107</v>
      </c>
      <c r="R22" s="56">
        <v>219596713025.07999</v>
      </c>
      <c r="S22" s="48">
        <f t="shared" ref="S22:S50" si="8">(R22/$R$51)</f>
        <v>0.40053385174244266</v>
      </c>
      <c r="T22" s="49">
        <f t="shared" ref="T22:T51" si="9">((R22-P22)/P22)</f>
        <v>9.0103286340188112E-3</v>
      </c>
      <c r="U22" s="87">
        <f t="shared" ref="U22:U50" si="10">(L22/R22)</f>
        <v>1.4775973938778487E-3</v>
      </c>
      <c r="V22" s="50">
        <f t="shared" ref="V22:V50" si="11">M22/R22</f>
        <v>6.5338024766615358E-3</v>
      </c>
      <c r="W22" s="51">
        <f t="shared" ref="W22:W50" si="12">R22/AB22</f>
        <v>100.00000000003642</v>
      </c>
      <c r="X22" s="51">
        <f t="shared" ref="X22:X50" si="13">M22/AB22</f>
        <v>0.65338024766639158</v>
      </c>
      <c r="Y22" s="44">
        <v>100</v>
      </c>
      <c r="Z22" s="44">
        <v>100</v>
      </c>
      <c r="AA22" s="205">
        <v>90465</v>
      </c>
      <c r="AB22" s="206">
        <v>2195967130.25</v>
      </c>
      <c r="AC22" s="37"/>
      <c r="AD22" s="10"/>
      <c r="AE22" s="13"/>
      <c r="AF22" s="4"/>
      <c r="AG22" s="5"/>
      <c r="AH22" s="6"/>
      <c r="AI22" s="6"/>
      <c r="AJ22" s="6"/>
      <c r="AK22" s="7"/>
      <c r="AL22" s="5"/>
      <c r="AM22" s="6"/>
      <c r="AN22" s="6"/>
      <c r="AO22" s="6"/>
      <c r="AP22" s="7"/>
      <c r="AQ22" s="5"/>
      <c r="AR22" s="6"/>
      <c r="AS22" s="6"/>
      <c r="AT22" s="6"/>
      <c r="AU22" s="7"/>
    </row>
    <row r="23" spans="1:257" ht="18" customHeight="1" x14ac:dyDescent="0.35">
      <c r="A23" s="156">
        <v>18</v>
      </c>
      <c r="B23" s="120" t="s">
        <v>57</v>
      </c>
      <c r="C23" s="86" t="s">
        <v>58</v>
      </c>
      <c r="D23" s="81"/>
      <c r="E23" s="81"/>
      <c r="F23" s="81">
        <v>156381367539.5</v>
      </c>
      <c r="G23" s="81">
        <v>2151763206.52</v>
      </c>
      <c r="H23" s="81"/>
      <c r="I23" s="81"/>
      <c r="J23" s="81">
        <v>155636512576.94</v>
      </c>
      <c r="K23" s="81">
        <v>2669312879</v>
      </c>
      <c r="L23" s="81">
        <v>186155429.47999999</v>
      </c>
      <c r="M23" s="54">
        <v>2483157449.52</v>
      </c>
      <c r="N23" s="44">
        <v>159316260228.45001</v>
      </c>
      <c r="O23" s="44">
        <v>3679747651.5100002</v>
      </c>
      <c r="P23" s="224">
        <v>151491730259.45999</v>
      </c>
      <c r="Q23" s="48">
        <f t="shared" si="7"/>
        <v>0.28156862244929776</v>
      </c>
      <c r="R23" s="56">
        <v>155636512576.94</v>
      </c>
      <c r="S23" s="48">
        <f t="shared" si="8"/>
        <v>0.28387351976021313</v>
      </c>
      <c r="T23" s="49">
        <f t="shared" si="9"/>
        <v>2.7359792579972779E-2</v>
      </c>
      <c r="U23" s="87">
        <f t="shared" si="10"/>
        <v>1.1960909840354637E-3</v>
      </c>
      <c r="V23" s="50">
        <f t="shared" si="11"/>
        <v>1.595485152169825E-2</v>
      </c>
      <c r="W23" s="51">
        <f t="shared" si="12"/>
        <v>100.02629095914374</v>
      </c>
      <c r="X23" s="51">
        <f t="shared" si="13"/>
        <v>1.5959046205193264</v>
      </c>
      <c r="Y23" s="44">
        <v>100</v>
      </c>
      <c r="Z23" s="44">
        <v>100</v>
      </c>
      <c r="AA23" s="205">
        <v>22586</v>
      </c>
      <c r="AB23" s="206">
        <v>1555956050</v>
      </c>
      <c r="AC23" s="37"/>
      <c r="AD23" s="10"/>
      <c r="AE23" s="13"/>
      <c r="AF23" s="4"/>
      <c r="AG23" s="5"/>
      <c r="AH23" s="6"/>
      <c r="AI23" s="6"/>
      <c r="AJ23" s="6"/>
      <c r="AK23" s="7"/>
      <c r="AL23" s="5"/>
      <c r="AM23" s="6"/>
      <c r="AN23" s="6"/>
      <c r="AO23" s="6"/>
      <c r="AP23" s="7"/>
      <c r="AQ23" s="5"/>
      <c r="AR23" s="6"/>
      <c r="AS23" s="6"/>
      <c r="AT23" s="6"/>
      <c r="AU23" s="7"/>
    </row>
    <row r="24" spans="1:257" ht="18" customHeight="1" x14ac:dyDescent="0.35">
      <c r="A24" s="156">
        <v>19</v>
      </c>
      <c r="B24" s="120" t="s">
        <v>35</v>
      </c>
      <c r="C24" s="86" t="s">
        <v>59</v>
      </c>
      <c r="D24" s="81"/>
      <c r="E24" s="81"/>
      <c r="F24" s="81">
        <v>7661288004</v>
      </c>
      <c r="G24" s="81"/>
      <c r="H24" s="81"/>
      <c r="I24" s="81"/>
      <c r="J24" s="81">
        <v>7661288004</v>
      </c>
      <c r="K24" s="81">
        <v>185819327</v>
      </c>
      <c r="L24" s="81">
        <v>23004695</v>
      </c>
      <c r="M24" s="54">
        <v>162814632</v>
      </c>
      <c r="N24" s="44">
        <v>22152456442.540001</v>
      </c>
      <c r="O24" s="44">
        <v>508312140.74000001</v>
      </c>
      <c r="P24" s="224">
        <v>21988012261</v>
      </c>
      <c r="Q24" s="48">
        <f t="shared" si="7"/>
        <v>4.0867803886882E-2</v>
      </c>
      <c r="R24" s="56">
        <v>21644144302</v>
      </c>
      <c r="S24" s="48">
        <f t="shared" si="8"/>
        <v>3.9477879088104559E-2</v>
      </c>
      <c r="T24" s="49">
        <f t="shared" si="9"/>
        <v>-1.5638883356906091E-2</v>
      </c>
      <c r="U24" s="87">
        <f t="shared" si="10"/>
        <v>1.0628599901671455E-3</v>
      </c>
      <c r="V24" s="50">
        <f t="shared" si="11"/>
        <v>7.5223409033063652E-3</v>
      </c>
      <c r="W24" s="51">
        <f t="shared" si="12"/>
        <v>1.024690244352956</v>
      </c>
      <c r="X24" s="51">
        <f t="shared" si="13"/>
        <v>7.7080693383152358E-3</v>
      </c>
      <c r="Y24" s="44">
        <v>1</v>
      </c>
      <c r="Z24" s="44">
        <v>1</v>
      </c>
      <c r="AA24" s="205">
        <v>3535</v>
      </c>
      <c r="AB24" s="206">
        <v>21122621613</v>
      </c>
      <c r="AC24" s="37"/>
      <c r="AD24" s="10"/>
      <c r="AE24" s="13"/>
      <c r="AF24" s="4"/>
      <c r="AG24" s="5"/>
      <c r="AH24" s="6"/>
      <c r="AI24" s="6"/>
      <c r="AJ24" s="6"/>
      <c r="AK24" s="7"/>
      <c r="AL24" s="5"/>
      <c r="AM24" s="6"/>
      <c r="AN24" s="6"/>
      <c r="AO24" s="6"/>
      <c r="AP24" s="7"/>
      <c r="AQ24" s="5"/>
      <c r="AR24" s="6"/>
      <c r="AS24" s="6"/>
      <c r="AT24" s="6"/>
      <c r="AU24" s="7"/>
    </row>
    <row r="25" spans="1:257" ht="18" customHeight="1" x14ac:dyDescent="0.35">
      <c r="A25" s="156">
        <v>20</v>
      </c>
      <c r="B25" s="120" t="s">
        <v>60</v>
      </c>
      <c r="C25" s="86" t="s">
        <v>61</v>
      </c>
      <c r="D25" s="81"/>
      <c r="E25" s="81"/>
      <c r="F25" s="81">
        <v>821893848.38</v>
      </c>
      <c r="G25" s="81"/>
      <c r="H25" s="81"/>
      <c r="I25" s="81">
        <f>SUM(J25-F25)</f>
        <v>8466063.9700000286</v>
      </c>
      <c r="J25" s="81">
        <v>830359912.35000002</v>
      </c>
      <c r="K25" s="81">
        <v>7946040.2000000002</v>
      </c>
      <c r="L25" s="81">
        <v>1551238.84</v>
      </c>
      <c r="M25" s="54">
        <v>6394801.3600000003</v>
      </c>
      <c r="N25" s="44">
        <v>830359912.35000002</v>
      </c>
      <c r="O25" s="44">
        <v>27477456.399999999</v>
      </c>
      <c r="P25" s="224">
        <v>785917646.33000004</v>
      </c>
      <c r="Q25" s="48">
        <f t="shared" si="7"/>
        <v>1.4607381449583379E-3</v>
      </c>
      <c r="R25" s="56">
        <v>802882445.95000005</v>
      </c>
      <c r="S25" s="48">
        <f t="shared" si="8"/>
        <v>1.4644189985485777E-3</v>
      </c>
      <c r="T25" s="49">
        <f t="shared" si="9"/>
        <v>2.1585976214200733E-2</v>
      </c>
      <c r="U25" s="87">
        <f t="shared" si="10"/>
        <v>1.9320871290995996E-3</v>
      </c>
      <c r="V25" s="50">
        <f t="shared" si="11"/>
        <v>7.9648040535167455E-3</v>
      </c>
      <c r="W25" s="51">
        <f t="shared" si="12"/>
        <v>102.64064826417888</v>
      </c>
      <c r="X25" s="51">
        <f t="shared" si="13"/>
        <v>0.81751265135011852</v>
      </c>
      <c r="Y25" s="44">
        <v>100</v>
      </c>
      <c r="Z25" s="44">
        <v>100</v>
      </c>
      <c r="AA25" s="205">
        <v>743</v>
      </c>
      <c r="AB25" s="206">
        <v>7822265.9299999997</v>
      </c>
      <c r="AC25" s="37"/>
      <c r="AD25" s="10"/>
      <c r="AE25" s="13"/>
      <c r="AF25" s="4"/>
      <c r="AG25" s="5"/>
      <c r="AH25" s="6"/>
      <c r="AI25" s="6"/>
      <c r="AJ25" s="6"/>
      <c r="AK25" s="7"/>
      <c r="AL25" s="5"/>
      <c r="AM25" s="6"/>
      <c r="AN25" s="6"/>
      <c r="AO25" s="6"/>
      <c r="AP25" s="7"/>
      <c r="AQ25" s="5"/>
      <c r="AR25" s="6"/>
      <c r="AS25" s="6"/>
      <c r="AT25" s="6"/>
      <c r="AU25" s="7"/>
    </row>
    <row r="26" spans="1:257" ht="18" customHeight="1" x14ac:dyDescent="0.35">
      <c r="A26" s="156">
        <v>21</v>
      </c>
      <c r="B26" s="122" t="s">
        <v>37</v>
      </c>
      <c r="C26" s="86" t="s">
        <v>62</v>
      </c>
      <c r="D26" s="81"/>
      <c r="E26" s="81"/>
      <c r="F26" s="81">
        <v>17198569476.720001</v>
      </c>
      <c r="G26" s="81"/>
      <c r="H26" s="81"/>
      <c r="I26" s="81"/>
      <c r="J26" s="81">
        <v>17198569476.720001</v>
      </c>
      <c r="K26" s="81">
        <v>514693990.81</v>
      </c>
      <c r="L26" s="81">
        <v>52722532.090000004</v>
      </c>
      <c r="M26" s="54">
        <v>461971458.72000003</v>
      </c>
      <c r="N26" s="44">
        <v>59978095609</v>
      </c>
      <c r="O26" s="44">
        <v>6742594</v>
      </c>
      <c r="P26" s="224">
        <v>58784446053</v>
      </c>
      <c r="Q26" s="48">
        <f t="shared" si="7"/>
        <v>0.10925913558608046</v>
      </c>
      <c r="R26" s="56">
        <v>59971353015</v>
      </c>
      <c r="S26" s="48">
        <f t="shared" si="8"/>
        <v>0.1093848659499759</v>
      </c>
      <c r="T26" s="49">
        <f t="shared" si="9"/>
        <v>2.0190833489013162E-2</v>
      </c>
      <c r="U26" s="87">
        <f t="shared" si="10"/>
        <v>8.7912860790072679E-4</v>
      </c>
      <c r="V26" s="50">
        <f t="shared" si="11"/>
        <v>7.7032022039664836E-3</v>
      </c>
      <c r="W26" s="51">
        <f t="shared" si="12"/>
        <v>1</v>
      </c>
      <c r="X26" s="51">
        <f t="shared" si="13"/>
        <v>7.7032022039664836E-3</v>
      </c>
      <c r="Y26" s="44">
        <v>1</v>
      </c>
      <c r="Z26" s="44">
        <v>1</v>
      </c>
      <c r="AA26" s="205">
        <v>78445</v>
      </c>
      <c r="AB26" s="206">
        <v>59971353015</v>
      </c>
      <c r="AC26" s="37"/>
      <c r="AD26" s="10"/>
      <c r="AE26" s="13"/>
      <c r="AF26" s="4"/>
      <c r="AG26" s="5"/>
      <c r="AH26" s="6"/>
      <c r="AI26" s="6"/>
      <c r="AJ26" s="6"/>
      <c r="AK26" s="7"/>
      <c r="AL26" s="5"/>
      <c r="AM26" s="6"/>
      <c r="AN26" s="6"/>
      <c r="AO26" s="6"/>
      <c r="AP26" s="7"/>
      <c r="AQ26" s="5"/>
      <c r="AR26" s="6"/>
      <c r="AS26" s="6"/>
      <c r="AT26" s="6"/>
      <c r="AU26" s="7"/>
    </row>
    <row r="27" spans="1:257" ht="18" customHeight="1" x14ac:dyDescent="0.35">
      <c r="A27" s="156">
        <v>22</v>
      </c>
      <c r="B27" s="120" t="s">
        <v>41</v>
      </c>
      <c r="C27" s="86" t="s">
        <v>63</v>
      </c>
      <c r="D27" s="81"/>
      <c r="E27" s="81"/>
      <c r="F27" s="81">
        <v>1084762546.8900001</v>
      </c>
      <c r="G27" s="81"/>
      <c r="H27" s="81"/>
      <c r="I27" s="81"/>
      <c r="J27" s="81">
        <v>1736906216.6300001</v>
      </c>
      <c r="K27" s="81">
        <v>15485296.5</v>
      </c>
      <c r="L27" s="81">
        <v>2527401.35</v>
      </c>
      <c r="M27" s="54">
        <v>12957895.15</v>
      </c>
      <c r="N27" s="44">
        <v>1765818558.1900001</v>
      </c>
      <c r="O27" s="44">
        <v>7384851.8300000001</v>
      </c>
      <c r="P27" s="224">
        <v>1612984504.96</v>
      </c>
      <c r="Q27" s="48">
        <f t="shared" si="7"/>
        <v>2.9979578708078623E-3</v>
      </c>
      <c r="R27" s="56">
        <v>1758433706.3599999</v>
      </c>
      <c r="S27" s="48">
        <f t="shared" si="8"/>
        <v>3.2072985781060903E-3</v>
      </c>
      <c r="T27" s="49">
        <f t="shared" si="9"/>
        <v>9.0173960724816024E-2</v>
      </c>
      <c r="U27" s="87">
        <f t="shared" si="10"/>
        <v>1.4373026067794059E-3</v>
      </c>
      <c r="V27" s="50">
        <f t="shared" si="11"/>
        <v>7.3689983893809423E-3</v>
      </c>
      <c r="W27" s="51">
        <f t="shared" si="12"/>
        <v>10.106182089655466</v>
      </c>
      <c r="X27" s="51">
        <f t="shared" si="13"/>
        <v>7.4472439541461655E-2</v>
      </c>
      <c r="Y27" s="44">
        <v>100</v>
      </c>
      <c r="Z27" s="44">
        <v>100</v>
      </c>
      <c r="AA27" s="205">
        <v>1305</v>
      </c>
      <c r="AB27" s="206">
        <v>173995846.38</v>
      </c>
      <c r="AC27" s="37"/>
      <c r="AD27" s="10"/>
      <c r="AE27" s="3"/>
      <c r="AF27" s="9"/>
      <c r="AG27" s="5"/>
      <c r="AH27" s="6"/>
      <c r="AI27" s="6"/>
      <c r="AJ27" s="6"/>
      <c r="AK27" s="7"/>
      <c r="AL27" s="5"/>
      <c r="AM27" s="6"/>
      <c r="AN27" s="6"/>
      <c r="AO27" s="6"/>
      <c r="AP27" s="7"/>
      <c r="AQ27" s="5"/>
      <c r="AR27" s="6"/>
      <c r="AS27" s="6"/>
      <c r="AT27" s="6"/>
      <c r="AU27" s="7"/>
    </row>
    <row r="28" spans="1:257" ht="18" customHeight="1" x14ac:dyDescent="0.35">
      <c r="A28" s="156">
        <v>23</v>
      </c>
      <c r="B28" s="120" t="s">
        <v>64</v>
      </c>
      <c r="C28" s="86" t="s">
        <v>65</v>
      </c>
      <c r="D28" s="81"/>
      <c r="E28" s="81"/>
      <c r="F28" s="81">
        <v>8276168080.4200001</v>
      </c>
      <c r="G28" s="81"/>
      <c r="H28" s="81"/>
      <c r="I28" s="81"/>
      <c r="J28" s="81">
        <v>8276168080.4200001</v>
      </c>
      <c r="K28" s="81">
        <v>227160713.75</v>
      </c>
      <c r="L28" s="81">
        <v>31465121.030000001</v>
      </c>
      <c r="M28" s="54">
        <v>195695592.72</v>
      </c>
      <c r="N28" s="44">
        <v>27687205159.919998</v>
      </c>
      <c r="O28" s="44">
        <v>124203067.91</v>
      </c>
      <c r="P28" s="224">
        <v>26904352414.419998</v>
      </c>
      <c r="Q28" s="48">
        <f t="shared" si="7"/>
        <v>5.0005511417978044E-2</v>
      </c>
      <c r="R28" s="56">
        <v>27563002092.009998</v>
      </c>
      <c r="S28" s="48">
        <f t="shared" si="8"/>
        <v>5.0273591263804158E-2</v>
      </c>
      <c r="T28" s="49">
        <f t="shared" si="9"/>
        <v>2.4481157079885033E-2</v>
      </c>
      <c r="U28" s="87">
        <f>(L28/R28)</f>
        <v>1.1415708972833971E-3</v>
      </c>
      <c r="V28" s="50">
        <f t="shared" si="11"/>
        <v>7.0999375201124598E-3</v>
      </c>
      <c r="W28" s="51">
        <f t="shared" si="12"/>
        <v>1.0071507070937022</v>
      </c>
      <c r="X28" s="51">
        <f t="shared" si="13"/>
        <v>7.1507070937023706E-3</v>
      </c>
      <c r="Y28" s="44">
        <v>1</v>
      </c>
      <c r="Z28" s="44">
        <v>1</v>
      </c>
      <c r="AA28" s="44">
        <v>19142</v>
      </c>
      <c r="AB28" s="206">
        <v>27367306499.290001</v>
      </c>
      <c r="AC28" s="37"/>
      <c r="AD28" s="10"/>
      <c r="AE28" s="10"/>
      <c r="AF28" s="11"/>
      <c r="AG28" s="5"/>
      <c r="AH28" s="6"/>
      <c r="AI28" s="6"/>
      <c r="AJ28" s="6"/>
      <c r="AK28" s="7"/>
      <c r="AL28" s="5"/>
      <c r="AM28" s="6"/>
      <c r="AN28" s="6"/>
      <c r="AO28" s="6"/>
      <c r="AP28" s="7"/>
      <c r="AQ28" s="5"/>
      <c r="AR28" s="6"/>
      <c r="AS28" s="6"/>
      <c r="AT28" s="6"/>
      <c r="AU28" s="7"/>
    </row>
    <row r="29" spans="1:257" ht="16.5" customHeight="1" x14ac:dyDescent="0.3">
      <c r="A29" s="156">
        <v>24</v>
      </c>
      <c r="B29" s="120" t="s">
        <v>66</v>
      </c>
      <c r="C29" s="86" t="s">
        <v>67</v>
      </c>
      <c r="D29" s="81"/>
      <c r="E29" s="81"/>
      <c r="F29" s="81">
        <v>604887232.87</v>
      </c>
      <c r="G29" s="81"/>
      <c r="H29" s="81"/>
      <c r="I29" s="81"/>
      <c r="J29" s="81">
        <v>604887232.87</v>
      </c>
      <c r="K29" s="81">
        <v>15782402.060000001</v>
      </c>
      <c r="L29" s="81">
        <v>3491021.67</v>
      </c>
      <c r="M29" s="54">
        <v>12291380.390000001</v>
      </c>
      <c r="N29" s="44">
        <v>2082899489.29</v>
      </c>
      <c r="O29" s="44">
        <v>58470568.380000003</v>
      </c>
      <c r="P29" s="224">
        <v>1974611178.5</v>
      </c>
      <c r="Q29" s="48">
        <f t="shared" si="7"/>
        <v>3.6700917498993998E-3</v>
      </c>
      <c r="R29" s="56">
        <v>2082783653.0999999</v>
      </c>
      <c r="S29" s="48">
        <f t="shared" si="8"/>
        <v>3.7988972941824599E-3</v>
      </c>
      <c r="T29" s="49">
        <f t="shared" si="9"/>
        <v>5.4781658170380859E-2</v>
      </c>
      <c r="U29" s="87">
        <f t="shared" si="10"/>
        <v>1.6761326433515978E-3</v>
      </c>
      <c r="V29" s="50">
        <f t="shared" si="11"/>
        <v>5.9014196561921351E-3</v>
      </c>
      <c r="W29" s="51">
        <f t="shared" si="12"/>
        <v>99.999997748205914</v>
      </c>
      <c r="X29" s="51">
        <f t="shared" si="13"/>
        <v>0.59014195233043165</v>
      </c>
      <c r="Y29" s="44">
        <v>100</v>
      </c>
      <c r="Z29" s="44">
        <v>100</v>
      </c>
      <c r="AA29" s="205">
        <v>566</v>
      </c>
      <c r="AB29" s="206">
        <v>20827837</v>
      </c>
      <c r="AC29" s="11"/>
      <c r="AD29" s="14"/>
      <c r="AE29" s="15"/>
      <c r="AF29" s="15"/>
      <c r="AG29" s="5"/>
      <c r="AH29" s="6"/>
      <c r="AI29" s="6"/>
      <c r="AJ29" s="6"/>
      <c r="AK29" s="7"/>
      <c r="AL29" s="5"/>
      <c r="AM29" s="6"/>
      <c r="AN29" s="6"/>
      <c r="AO29" s="6"/>
      <c r="AP29" s="7"/>
      <c r="AQ29" s="5"/>
      <c r="AR29" s="6"/>
      <c r="AS29" s="6"/>
      <c r="AT29" s="6"/>
      <c r="AU29" s="7"/>
    </row>
    <row r="30" spans="1:257" ht="18" customHeight="1" x14ac:dyDescent="0.35">
      <c r="A30" s="156">
        <v>25</v>
      </c>
      <c r="B30" s="120" t="s">
        <v>68</v>
      </c>
      <c r="C30" s="86" t="s">
        <v>69</v>
      </c>
      <c r="D30" s="81"/>
      <c r="E30" s="81"/>
      <c r="F30" s="81">
        <v>2118494003.0799999</v>
      </c>
      <c r="G30" s="81"/>
      <c r="H30" s="81"/>
      <c r="I30" s="81"/>
      <c r="J30" s="81">
        <v>2118494003.0799999</v>
      </c>
      <c r="K30" s="81">
        <v>38383027.520000003</v>
      </c>
      <c r="L30" s="81">
        <v>2856897.6</v>
      </c>
      <c r="M30" s="54">
        <v>35526129.920000002</v>
      </c>
      <c r="N30" s="44">
        <v>5148170282.04</v>
      </c>
      <c r="O30" s="44">
        <v>113290840.41</v>
      </c>
      <c r="P30" s="224">
        <v>4869003893.4200001</v>
      </c>
      <c r="Q30" s="48">
        <f t="shared" si="7"/>
        <v>9.0497264545232586E-3</v>
      </c>
      <c r="R30" s="56">
        <v>5034879441.6300001</v>
      </c>
      <c r="S30" s="48">
        <f t="shared" si="8"/>
        <v>9.1833781482174737E-3</v>
      </c>
      <c r="T30" s="49">
        <f t="shared" si="9"/>
        <v>3.4067655693224071E-2</v>
      </c>
      <c r="U30" s="87">
        <f t="shared" si="10"/>
        <v>5.6742125270731474E-4</v>
      </c>
      <c r="V30" s="50">
        <f t="shared" si="11"/>
        <v>7.0560040874580931E-3</v>
      </c>
      <c r="W30" s="51">
        <f t="shared" si="12"/>
        <v>99.845820116517217</v>
      </c>
      <c r="X30" s="51">
        <f t="shared" si="13"/>
        <v>0.7045125148577509</v>
      </c>
      <c r="Y30" s="44">
        <v>100</v>
      </c>
      <c r="Z30" s="44">
        <v>100</v>
      </c>
      <c r="AA30" s="205">
        <f>5128+210+104</f>
        <v>5442</v>
      </c>
      <c r="AB30" s="206">
        <v>50426542</v>
      </c>
      <c r="AC30" s="37"/>
      <c r="AD30" s="44"/>
      <c r="AE30" s="13"/>
      <c r="AF30" s="4"/>
      <c r="AG30" s="5"/>
      <c r="AH30" s="6"/>
      <c r="AI30" s="6"/>
      <c r="AJ30" s="6"/>
      <c r="AK30" s="7"/>
      <c r="AL30" s="5"/>
      <c r="AM30" s="6"/>
      <c r="AN30" s="6"/>
      <c r="AO30" s="6"/>
      <c r="AP30" s="7"/>
      <c r="AQ30" s="5"/>
      <c r="AR30" s="6"/>
      <c r="AS30" s="6"/>
      <c r="AT30" s="6"/>
      <c r="AU30" s="7"/>
    </row>
    <row r="31" spans="1:257" ht="18" customHeight="1" x14ac:dyDescent="0.35">
      <c r="A31" s="156">
        <v>26</v>
      </c>
      <c r="B31" s="122" t="s">
        <v>48</v>
      </c>
      <c r="C31" s="85" t="s">
        <v>70</v>
      </c>
      <c r="D31" s="81"/>
      <c r="E31" s="81"/>
      <c r="F31" s="81">
        <v>760146421.97000003</v>
      </c>
      <c r="G31" s="81"/>
      <c r="H31" s="81"/>
      <c r="I31" s="81"/>
      <c r="J31" s="81">
        <v>760146421.97000003</v>
      </c>
      <c r="K31" s="81">
        <v>6472694.8799999999</v>
      </c>
      <c r="L31" s="81">
        <v>1009798.35</v>
      </c>
      <c r="M31" s="54">
        <v>5462896.5300000003</v>
      </c>
      <c r="N31" s="44">
        <v>782209406.36000001</v>
      </c>
      <c r="O31" s="44">
        <v>5353830.33</v>
      </c>
      <c r="P31" s="224">
        <v>902110290.74000001</v>
      </c>
      <c r="Q31" s="48">
        <f t="shared" si="7"/>
        <v>1.6766984668137403E-3</v>
      </c>
      <c r="R31" s="56">
        <v>776855576.02999997</v>
      </c>
      <c r="S31" s="48">
        <f t="shared" si="8"/>
        <v>1.4169472385470218E-3</v>
      </c>
      <c r="T31" s="49">
        <f t="shared" si="9"/>
        <v>-0.13884634284268474</v>
      </c>
      <c r="U31" s="87">
        <f t="shared" si="10"/>
        <v>1.2998533847956887E-3</v>
      </c>
      <c r="V31" s="50">
        <f t="shared" si="11"/>
        <v>7.0320619411876869E-3</v>
      </c>
      <c r="W31" s="51">
        <f t="shared" si="12"/>
        <v>10.100679013126602</v>
      </c>
      <c r="X31" s="51">
        <f t="shared" si="13"/>
        <v>7.1028600468360778E-2</v>
      </c>
      <c r="Y31" s="44">
        <v>10</v>
      </c>
      <c r="Z31" s="44">
        <v>10</v>
      </c>
      <c r="AA31" s="205">
        <v>466</v>
      </c>
      <c r="AB31" s="206">
        <v>76911223</v>
      </c>
      <c r="AC31" s="37"/>
      <c r="AD31" s="10"/>
      <c r="AE31" s="13"/>
      <c r="AF31" s="4"/>
      <c r="AG31" s="5"/>
      <c r="AH31" s="6"/>
      <c r="AI31" s="6"/>
      <c r="AJ31" s="6"/>
      <c r="AK31" s="7"/>
      <c r="AL31" s="5"/>
      <c r="AM31" s="6"/>
      <c r="AN31" s="6"/>
      <c r="AO31" s="6"/>
      <c r="AP31" s="7"/>
      <c r="AQ31" s="5"/>
      <c r="AR31" s="6"/>
      <c r="AS31" s="6"/>
      <c r="AT31" s="6"/>
      <c r="AU31" s="7"/>
    </row>
    <row r="32" spans="1:257" ht="18" customHeight="1" x14ac:dyDescent="0.35">
      <c r="A32" s="156">
        <v>27</v>
      </c>
      <c r="B32" s="122" t="s">
        <v>31</v>
      </c>
      <c r="C32" s="85" t="s">
        <v>71</v>
      </c>
      <c r="D32" s="81"/>
      <c r="E32" s="81"/>
      <c r="F32" s="81">
        <v>2103774828.9000001</v>
      </c>
      <c r="G32" s="81"/>
      <c r="H32" s="81"/>
      <c r="I32" s="81">
        <f>J32-F32</f>
        <v>13542877.619999886</v>
      </c>
      <c r="J32" s="81">
        <v>2117317706.52</v>
      </c>
      <c r="K32" s="81">
        <v>16354383.52</v>
      </c>
      <c r="L32" s="81">
        <v>3124871.71</v>
      </c>
      <c r="M32" s="54">
        <v>13229511.810000001</v>
      </c>
      <c r="N32" s="44">
        <v>2117317706.52</v>
      </c>
      <c r="O32" s="44">
        <v>41642919.009999998</v>
      </c>
      <c r="P32" s="224">
        <v>1988024484.1199999</v>
      </c>
      <c r="Q32" s="48">
        <f t="shared" si="7"/>
        <v>3.6950222591717297E-3</v>
      </c>
      <c r="R32" s="56">
        <v>2075674787.51</v>
      </c>
      <c r="S32" s="48">
        <f t="shared" si="8"/>
        <v>3.7859310649659196E-3</v>
      </c>
      <c r="T32" s="49">
        <f t="shared" si="9"/>
        <v>4.4089146834023304E-2</v>
      </c>
      <c r="U32" s="87">
        <f t="shared" si="10"/>
        <v>1.5054726919666577E-3</v>
      </c>
      <c r="V32" s="50">
        <f t="shared" si="11"/>
        <v>6.3735956565094927E-3</v>
      </c>
      <c r="W32" s="51">
        <f t="shared" si="12"/>
        <v>99.999999976393227</v>
      </c>
      <c r="X32" s="51">
        <f t="shared" si="13"/>
        <v>0.63735956550048922</v>
      </c>
      <c r="Y32" s="44">
        <v>100</v>
      </c>
      <c r="Z32" s="44">
        <v>100</v>
      </c>
      <c r="AA32" s="205">
        <v>1236</v>
      </c>
      <c r="AB32" s="206">
        <v>20756747.879999999</v>
      </c>
      <c r="AC32" s="37"/>
      <c r="AD32" s="10"/>
      <c r="AE32" s="13"/>
      <c r="AF32" s="4"/>
      <c r="AG32" s="5"/>
      <c r="AH32" s="6"/>
      <c r="AI32" s="6"/>
      <c r="AJ32" s="6"/>
      <c r="AK32" s="7"/>
      <c r="AL32" s="5"/>
      <c r="AM32" s="6"/>
      <c r="AN32" s="6"/>
      <c r="AO32" s="6"/>
      <c r="AP32" s="7"/>
      <c r="AQ32" s="5"/>
      <c r="AR32" s="6"/>
      <c r="AS32" s="6"/>
      <c r="AT32" s="6"/>
      <c r="AU32" s="7"/>
    </row>
    <row r="33" spans="1:257" ht="16.5" customHeight="1" x14ac:dyDescent="0.3">
      <c r="A33" s="156">
        <v>28</v>
      </c>
      <c r="B33" s="120" t="s">
        <v>46</v>
      </c>
      <c r="C33" s="86" t="s">
        <v>72</v>
      </c>
      <c r="D33" s="81"/>
      <c r="E33" s="81"/>
      <c r="F33" s="81">
        <v>8671517027.1200008</v>
      </c>
      <c r="G33" s="81"/>
      <c r="H33" s="81"/>
      <c r="I33" s="81"/>
      <c r="J33" s="81">
        <v>8671517027.1200008</v>
      </c>
      <c r="K33" s="81">
        <v>66826540.159999996</v>
      </c>
      <c r="L33" s="81">
        <v>12073084.550000001</v>
      </c>
      <c r="M33" s="208">
        <v>54753455.609999999</v>
      </c>
      <c r="N33" s="44">
        <v>8737884849.6599998</v>
      </c>
      <c r="O33" s="44">
        <v>184382625.41999999</v>
      </c>
      <c r="P33" s="224">
        <v>8291053563.7799997</v>
      </c>
      <c r="Q33" s="48">
        <f t="shared" si="7"/>
        <v>1.5410085597468419E-2</v>
      </c>
      <c r="R33" s="56">
        <v>8553502224.2399998</v>
      </c>
      <c r="S33" s="48">
        <f t="shared" si="8"/>
        <v>1.5601177014753952E-2</v>
      </c>
      <c r="T33" s="49">
        <f t="shared" si="9"/>
        <v>3.1654440348392376E-2</v>
      </c>
      <c r="U33" s="87">
        <f t="shared" si="10"/>
        <v>1.4114785071062193E-3</v>
      </c>
      <c r="V33" s="50">
        <f t="shared" si="11"/>
        <v>6.4012908601149025E-3</v>
      </c>
      <c r="W33" s="51">
        <f t="shared" si="12"/>
        <v>99.9999658998276</v>
      </c>
      <c r="X33" s="51">
        <f t="shared" si="13"/>
        <v>0.64012886772636834</v>
      </c>
      <c r="Y33" s="44">
        <v>100</v>
      </c>
      <c r="Z33" s="44">
        <v>100</v>
      </c>
      <c r="AA33" s="205">
        <v>5525</v>
      </c>
      <c r="AB33" s="206">
        <v>85535051.409999996</v>
      </c>
      <c r="AC33" s="25"/>
      <c r="AD33" s="12"/>
      <c r="AE33" s="4"/>
      <c r="AF33" s="4"/>
      <c r="AG33" s="5"/>
      <c r="AH33" s="6"/>
      <c r="AI33" s="6"/>
      <c r="AJ33" s="6"/>
      <c r="AK33" s="7"/>
      <c r="AL33" s="5"/>
      <c r="AM33" s="6"/>
      <c r="AN33" s="6"/>
      <c r="AO33" s="6"/>
      <c r="AP33" s="7"/>
      <c r="AQ33" s="5"/>
      <c r="AR33" s="6"/>
      <c r="AS33" s="6"/>
      <c r="AT33" s="6"/>
      <c r="AU33" s="7"/>
    </row>
    <row r="34" spans="1:257" ht="16.5" customHeight="1" x14ac:dyDescent="0.3">
      <c r="A34" s="156">
        <v>29</v>
      </c>
      <c r="B34" s="120" t="s">
        <v>73</v>
      </c>
      <c r="C34" s="86" t="s">
        <v>174</v>
      </c>
      <c r="D34" s="81"/>
      <c r="E34" s="81"/>
      <c r="F34" s="81">
        <v>3089148154.6199999</v>
      </c>
      <c r="G34" s="81"/>
      <c r="H34" s="81"/>
      <c r="I34" s="81"/>
      <c r="J34" s="81">
        <v>9160868302.5599995</v>
      </c>
      <c r="K34" s="81">
        <v>71379091.780000001</v>
      </c>
      <c r="L34" s="81">
        <v>12569789.9</v>
      </c>
      <c r="M34" s="54">
        <v>58809301.880000003</v>
      </c>
      <c r="N34" s="44">
        <v>9159857259.9400005</v>
      </c>
      <c r="O34" s="44">
        <v>111416734.73999999</v>
      </c>
      <c r="P34" s="224">
        <v>8450687923.2399998</v>
      </c>
      <c r="Q34" s="48">
        <f t="shared" si="7"/>
        <v>1.5706788438024439E-2</v>
      </c>
      <c r="R34" s="56">
        <v>9048440525.2000008</v>
      </c>
      <c r="S34" s="48">
        <f t="shared" si="8"/>
        <v>1.6503920691230241E-2</v>
      </c>
      <c r="T34" s="49">
        <f t="shared" si="9"/>
        <v>7.0734194350750818E-2</v>
      </c>
      <c r="U34" s="87">
        <f t="shared" si="10"/>
        <v>1.389166438680014E-3</v>
      </c>
      <c r="V34" s="50">
        <f>M34/R34</f>
        <v>6.4993853599651218E-3</v>
      </c>
      <c r="W34" s="51">
        <f t="shared" si="12"/>
        <v>100.86727504092129</v>
      </c>
      <c r="X34" s="51">
        <f t="shared" si="13"/>
        <v>0.6555752907005391</v>
      </c>
      <c r="Y34" s="44">
        <v>100</v>
      </c>
      <c r="Z34" s="44">
        <v>100</v>
      </c>
      <c r="AA34" s="205">
        <v>2144</v>
      </c>
      <c r="AB34" s="206">
        <v>89706404</v>
      </c>
      <c r="AC34" s="13"/>
      <c r="AD34" s="4"/>
      <c r="AE34" s="4"/>
      <c r="AF34" s="4"/>
      <c r="AG34" s="5"/>
      <c r="AH34" s="6"/>
      <c r="AI34" s="6"/>
      <c r="AJ34" s="6"/>
      <c r="AK34" s="7"/>
      <c r="AL34" s="5"/>
      <c r="AM34" s="6"/>
      <c r="AN34" s="6"/>
      <c r="AO34" s="6"/>
      <c r="AP34" s="7"/>
      <c r="AQ34" s="5"/>
      <c r="AR34" s="6"/>
      <c r="AS34" s="6"/>
      <c r="AT34" s="6"/>
      <c r="AU34" s="7"/>
    </row>
    <row r="35" spans="1:257" ht="16.5" customHeight="1" x14ac:dyDescent="0.3">
      <c r="A35" s="156">
        <v>30</v>
      </c>
      <c r="B35" s="120" t="s">
        <v>73</v>
      </c>
      <c r="C35" s="86" t="s">
        <v>74</v>
      </c>
      <c r="D35" s="81"/>
      <c r="E35" s="81"/>
      <c r="F35" s="81">
        <v>141833495.34</v>
      </c>
      <c r="G35" s="81"/>
      <c r="H35" s="81"/>
      <c r="I35" s="81"/>
      <c r="J35" s="81">
        <v>363889969.85000002</v>
      </c>
      <c r="K35" s="81">
        <v>3430203.03</v>
      </c>
      <c r="L35" s="81">
        <v>300821.46000000002</v>
      </c>
      <c r="M35" s="54">
        <v>3129381.57</v>
      </c>
      <c r="N35" s="44">
        <v>363835907.51999998</v>
      </c>
      <c r="O35" s="44">
        <v>2481218.4500000002</v>
      </c>
      <c r="P35" s="224">
        <v>419156457.74000001</v>
      </c>
      <c r="Q35" s="48">
        <f t="shared" si="7"/>
        <v>7.7906104969851435E-4</v>
      </c>
      <c r="R35" s="56">
        <v>361354689.06999999</v>
      </c>
      <c r="S35" s="48">
        <f t="shared" si="8"/>
        <v>6.5909358780734471E-4</v>
      </c>
      <c r="T35" s="49">
        <f t="shared" si="9"/>
        <v>-0.13790022222645576</v>
      </c>
      <c r="U35" s="87">
        <f t="shared" si="10"/>
        <v>8.3248251399257827E-4</v>
      </c>
      <c r="V35" s="50">
        <f>M35/R35</f>
        <v>8.6601382648553108E-3</v>
      </c>
      <c r="W35" s="51">
        <f t="shared" si="12"/>
        <v>1017900.5325915493</v>
      </c>
      <c r="X35" s="51">
        <f>M35/AB35</f>
        <v>8815.1593521126761</v>
      </c>
      <c r="Y35" s="44">
        <v>100</v>
      </c>
      <c r="Z35" s="44">
        <v>100</v>
      </c>
      <c r="AA35" s="205">
        <v>10</v>
      </c>
      <c r="AB35" s="206">
        <v>355</v>
      </c>
      <c r="AC35" s="13"/>
      <c r="AD35" s="4"/>
      <c r="AE35" s="4"/>
      <c r="AF35" s="4"/>
      <c r="AG35" s="5"/>
      <c r="AH35" s="6"/>
      <c r="AI35" s="6"/>
      <c r="AJ35" s="6"/>
      <c r="AK35" s="7"/>
      <c r="AL35" s="5"/>
      <c r="AM35" s="6"/>
      <c r="AN35" s="6"/>
      <c r="AO35" s="6"/>
      <c r="AP35" s="7"/>
      <c r="AQ35" s="5"/>
      <c r="AR35" s="6"/>
      <c r="AS35" s="6"/>
      <c r="AT35" s="6"/>
      <c r="AU35" s="7"/>
    </row>
    <row r="36" spans="1:257" ht="16.5" customHeight="1" x14ac:dyDescent="0.3">
      <c r="A36" s="156">
        <v>31</v>
      </c>
      <c r="B36" s="120" t="s">
        <v>75</v>
      </c>
      <c r="C36" s="86" t="s">
        <v>76</v>
      </c>
      <c r="D36" s="81"/>
      <c r="E36" s="81"/>
      <c r="F36" s="81">
        <v>2057274524.8199999</v>
      </c>
      <c r="G36" s="81"/>
      <c r="H36" s="81"/>
      <c r="I36" s="81"/>
      <c r="J36" s="81">
        <v>2057274524.8199999</v>
      </c>
      <c r="K36" s="81">
        <v>46834874.159999996</v>
      </c>
      <c r="L36" s="81">
        <v>8969191.7200000007</v>
      </c>
      <c r="M36" s="54">
        <v>37865682.43</v>
      </c>
      <c r="N36" s="44">
        <v>6035319506.3500004</v>
      </c>
      <c r="O36" s="44">
        <v>26197441.489999998</v>
      </c>
      <c r="P36" s="224">
        <v>5515936793.2799997</v>
      </c>
      <c r="Q36" s="48">
        <f t="shared" si="7"/>
        <v>1.0252141960100566E-2</v>
      </c>
      <c r="R36" s="56">
        <v>6009122064.8599997</v>
      </c>
      <c r="S36" s="48">
        <f t="shared" si="8"/>
        <v>1.0960349875337116E-2</v>
      </c>
      <c r="T36" s="49">
        <f t="shared" si="9"/>
        <v>8.9410972254221927E-2</v>
      </c>
      <c r="U36" s="87">
        <f t="shared" si="10"/>
        <v>1.4925960270385961E-3</v>
      </c>
      <c r="V36" s="50">
        <f t="shared" si="11"/>
        <v>6.3013668255184948E-3</v>
      </c>
      <c r="W36" s="51">
        <f t="shared" si="12"/>
        <v>1.016883012113001</v>
      </c>
      <c r="X36" s="51">
        <f t="shared" si="13"/>
        <v>6.4077528779621865E-3</v>
      </c>
      <c r="Y36" s="44">
        <v>1</v>
      </c>
      <c r="Z36" s="44">
        <v>1</v>
      </c>
      <c r="AA36" s="205">
        <v>1431</v>
      </c>
      <c r="AB36" s="206">
        <v>5909354363.5600004</v>
      </c>
      <c r="AC36" s="13"/>
      <c r="AD36" s="4"/>
      <c r="AE36" s="4"/>
      <c r="AF36" s="4"/>
      <c r="AG36" s="5"/>
      <c r="AH36" s="6"/>
      <c r="AI36" s="6"/>
      <c r="AJ36" s="6"/>
      <c r="AK36" s="7"/>
      <c r="AL36" s="5"/>
      <c r="AM36" s="6"/>
      <c r="AN36" s="6"/>
      <c r="AO36" s="6"/>
      <c r="AP36" s="7"/>
      <c r="AQ36" s="5"/>
      <c r="AR36" s="6"/>
      <c r="AS36" s="6"/>
      <c r="AT36" s="6"/>
      <c r="AU36" s="7"/>
    </row>
    <row r="37" spans="1:257" ht="16.5" customHeight="1" x14ac:dyDescent="0.3">
      <c r="A37" s="156">
        <v>32</v>
      </c>
      <c r="B37" s="120" t="s">
        <v>77</v>
      </c>
      <c r="C37" s="86" t="s">
        <v>78</v>
      </c>
      <c r="D37" s="81"/>
      <c r="E37" s="81"/>
      <c r="F37" s="81">
        <v>11767278002.059999</v>
      </c>
      <c r="G37" s="81"/>
      <c r="H37" s="81"/>
      <c r="I37" s="81"/>
      <c r="J37" s="81">
        <v>11767278002.059999</v>
      </c>
      <c r="K37" s="81">
        <v>71903381.019999996</v>
      </c>
      <c r="L37" s="81">
        <v>11214692.119999999</v>
      </c>
      <c r="M37" s="54">
        <v>60688688.899999999</v>
      </c>
      <c r="N37" s="44">
        <v>11767278002.059999</v>
      </c>
      <c r="O37" s="44">
        <v>31066346.100000001</v>
      </c>
      <c r="P37" s="224">
        <v>10131602905.98</v>
      </c>
      <c r="Q37" s="48">
        <f t="shared" si="7"/>
        <v>1.8831004626814928E-2</v>
      </c>
      <c r="R37" s="56">
        <v>11736211655.959999</v>
      </c>
      <c r="S37" s="48">
        <f t="shared" si="8"/>
        <v>2.1406286071728862E-2</v>
      </c>
      <c r="T37" s="49">
        <f t="shared" si="9"/>
        <v>0.15837659301006632</v>
      </c>
      <c r="U37" s="87">
        <f t="shared" si="10"/>
        <v>9.5556321313486564E-4</v>
      </c>
      <c r="V37" s="50">
        <f t="shared" si="11"/>
        <v>5.171062918687264E-3</v>
      </c>
      <c r="W37" s="51">
        <f t="shared" si="12"/>
        <v>1.016027211412811</v>
      </c>
      <c r="X37" s="51">
        <f t="shared" si="13"/>
        <v>5.2539406373140127E-3</v>
      </c>
      <c r="Y37" s="44">
        <v>1</v>
      </c>
      <c r="Z37" s="44">
        <v>1</v>
      </c>
      <c r="AA37" s="205">
        <v>2441</v>
      </c>
      <c r="AB37" s="206">
        <v>11551080053.889999</v>
      </c>
      <c r="AC37" s="39"/>
      <c r="AD37" s="16"/>
      <c r="AE37" s="16"/>
      <c r="AF37" s="16"/>
      <c r="AG37" s="5"/>
      <c r="AH37" s="6"/>
      <c r="AI37" s="6"/>
      <c r="AJ37" s="6"/>
      <c r="AK37" s="7"/>
      <c r="AL37" s="5"/>
      <c r="AM37" s="6"/>
      <c r="AN37" s="6"/>
      <c r="AO37" s="6"/>
      <c r="AP37" s="7"/>
      <c r="AQ37" s="5"/>
      <c r="AR37" s="6"/>
      <c r="AS37" s="6"/>
      <c r="AT37" s="6"/>
      <c r="AU37" s="7"/>
    </row>
    <row r="38" spans="1:257" ht="16.5" customHeight="1" x14ac:dyDescent="0.3">
      <c r="A38" s="156">
        <v>33</v>
      </c>
      <c r="B38" s="120" t="s">
        <v>33</v>
      </c>
      <c r="C38" s="86" t="s">
        <v>79</v>
      </c>
      <c r="D38" s="81"/>
      <c r="E38" s="81"/>
      <c r="F38" s="81">
        <v>520573551</v>
      </c>
      <c r="G38" s="81"/>
      <c r="H38" s="81"/>
      <c r="I38" s="81"/>
      <c r="J38" s="81">
        <v>520573551</v>
      </c>
      <c r="K38" s="81">
        <v>3808601</v>
      </c>
      <c r="L38" s="81">
        <v>1081398.28</v>
      </c>
      <c r="M38" s="54">
        <v>2727202.72</v>
      </c>
      <c r="N38" s="44">
        <v>532424670.73000002</v>
      </c>
      <c r="O38" s="44">
        <v>18027729.969999999</v>
      </c>
      <c r="P38" s="224">
        <v>520307562</v>
      </c>
      <c r="Q38" s="48">
        <f t="shared" si="7"/>
        <v>9.6706456010092442E-4</v>
      </c>
      <c r="R38" s="56">
        <v>514396940.75999999</v>
      </c>
      <c r="S38" s="48">
        <f t="shared" si="8"/>
        <v>9.3823530037811164E-4</v>
      </c>
      <c r="T38" s="49">
        <f t="shared" si="9"/>
        <v>-1.1359860343525065E-2</v>
      </c>
      <c r="U38" s="87">
        <f t="shared" si="10"/>
        <v>2.1022642133179861E-3</v>
      </c>
      <c r="V38" s="50">
        <f t="shared" si="11"/>
        <v>5.301747549218843E-3</v>
      </c>
      <c r="W38" s="51">
        <f t="shared" si="12"/>
        <v>103.30527821094243</v>
      </c>
      <c r="X38" s="51">
        <f t="shared" si="13"/>
        <v>0.54769850557623478</v>
      </c>
      <c r="Y38" s="44">
        <v>100</v>
      </c>
      <c r="Z38" s="44">
        <v>100</v>
      </c>
      <c r="AA38" s="205">
        <v>573</v>
      </c>
      <c r="AB38" s="206">
        <v>4979386.82</v>
      </c>
      <c r="AC38" s="13"/>
      <c r="AD38" s="4"/>
      <c r="AE38" s="4"/>
      <c r="AF38" s="4"/>
      <c r="AG38" s="5"/>
      <c r="AH38" s="6"/>
      <c r="AI38" s="6"/>
      <c r="AJ38" s="6"/>
      <c r="AK38" s="7"/>
      <c r="AL38" s="5"/>
      <c r="AM38" s="6"/>
      <c r="AN38" s="6"/>
      <c r="AO38" s="6"/>
      <c r="AP38" s="7"/>
      <c r="AQ38" s="5"/>
      <c r="AR38" s="6"/>
      <c r="AS38" s="6"/>
      <c r="AT38" s="6"/>
      <c r="AU38" s="7"/>
    </row>
    <row r="39" spans="1:257" ht="16.5" customHeight="1" x14ac:dyDescent="0.3">
      <c r="A39" s="156">
        <v>34</v>
      </c>
      <c r="B39" s="120" t="s">
        <v>27</v>
      </c>
      <c r="C39" s="120" t="s">
        <v>80</v>
      </c>
      <c r="D39" s="81"/>
      <c r="E39" s="81"/>
      <c r="F39" s="81">
        <v>37943822.219999999</v>
      </c>
      <c r="G39" s="81"/>
      <c r="H39" s="81"/>
      <c r="I39" s="81"/>
      <c r="J39" s="81">
        <v>37943822.219999999</v>
      </c>
      <c r="K39" s="212">
        <f>M39+L39</f>
        <v>33299911.079999998</v>
      </c>
      <c r="L39" s="81">
        <v>4648.5600000000004</v>
      </c>
      <c r="M39" s="54">
        <v>33295262.52</v>
      </c>
      <c r="N39" s="44">
        <v>4559447759.1599998</v>
      </c>
      <c r="O39" s="44">
        <v>14532698</v>
      </c>
      <c r="P39" s="224">
        <v>4692388642.8199997</v>
      </c>
      <c r="Q39" s="48">
        <f t="shared" si="7"/>
        <v>8.7214622467687609E-3</v>
      </c>
      <c r="R39" s="56">
        <v>4544915061.3500004</v>
      </c>
      <c r="S39" s="48">
        <f t="shared" si="8"/>
        <v>8.2897066640375897E-3</v>
      </c>
      <c r="T39" s="49">
        <f t="shared" si="9"/>
        <v>-3.1428253858651327E-2</v>
      </c>
      <c r="U39" s="87">
        <f t="shared" si="10"/>
        <v>1.0228045931004075E-6</v>
      </c>
      <c r="V39" s="50">
        <f t="shared" si="11"/>
        <v>7.3258272312156543E-3</v>
      </c>
      <c r="W39" s="51">
        <f t="shared" si="12"/>
        <v>1.0093036254243741</v>
      </c>
      <c r="X39" s="51">
        <f t="shared" si="13"/>
        <v>7.3939839836985651E-3</v>
      </c>
      <c r="Y39" s="44">
        <v>1</v>
      </c>
      <c r="Z39" s="44">
        <v>1</v>
      </c>
      <c r="AA39" s="215">
        <f>747+39</f>
        <v>786</v>
      </c>
      <c r="AB39" s="214">
        <v>4503020644</v>
      </c>
      <c r="AC39" s="13"/>
      <c r="AD39" s="4"/>
      <c r="AE39" s="4"/>
      <c r="AF39" s="4"/>
      <c r="AG39" s="5"/>
      <c r="AH39" s="6"/>
      <c r="AI39" s="6"/>
      <c r="AJ39" s="6"/>
      <c r="AK39" s="7"/>
      <c r="AL39" s="5"/>
      <c r="AM39" s="6"/>
      <c r="AN39" s="6"/>
      <c r="AO39" s="6"/>
      <c r="AP39" s="7"/>
      <c r="AQ39" s="5"/>
      <c r="AR39" s="6"/>
      <c r="AS39" s="6"/>
      <c r="AT39" s="6"/>
      <c r="AU39" s="7"/>
    </row>
    <row r="40" spans="1:257" ht="16.5" customHeight="1" x14ac:dyDescent="0.3">
      <c r="A40" s="156">
        <v>35</v>
      </c>
      <c r="B40" s="120" t="s">
        <v>81</v>
      </c>
      <c r="C40" s="86" t="s">
        <v>82</v>
      </c>
      <c r="D40" s="81"/>
      <c r="E40" s="81"/>
      <c r="F40" s="81">
        <v>241817742.46000001</v>
      </c>
      <c r="G40" s="81"/>
      <c r="H40" s="81"/>
      <c r="I40" s="81">
        <v>14173202.09</v>
      </c>
      <c r="J40" s="81">
        <v>7966468365.6599998</v>
      </c>
      <c r="K40" s="81">
        <v>7571065.8899999997</v>
      </c>
      <c r="L40" s="81">
        <v>1625657.86</v>
      </c>
      <c r="M40" s="54">
        <v>5945408.0300000003</v>
      </c>
      <c r="N40" s="44">
        <v>800841277.54999995</v>
      </c>
      <c r="O40" s="44">
        <v>18208592.300000001</v>
      </c>
      <c r="P40" s="224">
        <v>845038042.25999999</v>
      </c>
      <c r="Q40" s="48">
        <f t="shared" si="7"/>
        <v>1.5706216904968089E-3</v>
      </c>
      <c r="R40" s="56">
        <v>782632685.25</v>
      </c>
      <c r="S40" s="48">
        <f t="shared" si="8"/>
        <v>1.4274844081428122E-3</v>
      </c>
      <c r="T40" s="49">
        <f t="shared" si="9"/>
        <v>-7.3849168781917635E-2</v>
      </c>
      <c r="U40" s="87">
        <f t="shared" si="10"/>
        <v>2.0771658156350939E-3</v>
      </c>
      <c r="V40" s="50">
        <f t="shared" si="11"/>
        <v>7.5966773967545594E-3</v>
      </c>
      <c r="W40" s="51">
        <f t="shared" si="12"/>
        <v>9.2548843284740787</v>
      </c>
      <c r="X40" s="51">
        <f t="shared" si="13"/>
        <v>7.0306370587697037E-2</v>
      </c>
      <c r="Y40" s="44">
        <v>10</v>
      </c>
      <c r="Z40" s="44">
        <v>10</v>
      </c>
      <c r="AA40" s="205">
        <v>287</v>
      </c>
      <c r="AB40" s="206">
        <v>84564286</v>
      </c>
      <c r="AC40" s="13"/>
      <c r="AD40" s="4"/>
      <c r="AE40" s="4"/>
      <c r="AF40" s="4"/>
      <c r="AG40" s="5"/>
      <c r="AH40" s="6"/>
      <c r="AI40" s="6"/>
      <c r="AJ40" s="6"/>
      <c r="AK40" s="7"/>
      <c r="AL40" s="5"/>
      <c r="AM40" s="6"/>
      <c r="AN40" s="6"/>
      <c r="AO40" s="6"/>
      <c r="AP40" s="7"/>
      <c r="AQ40" s="5"/>
      <c r="AR40" s="6"/>
      <c r="AS40" s="6"/>
      <c r="AT40" s="6"/>
      <c r="AU40" s="7"/>
    </row>
    <row r="41" spans="1:257" ht="16.5" customHeight="1" x14ac:dyDescent="0.3">
      <c r="A41" s="156">
        <v>36</v>
      </c>
      <c r="B41" s="120" t="s">
        <v>83</v>
      </c>
      <c r="C41" s="86" t="s">
        <v>84</v>
      </c>
      <c r="D41" s="81"/>
      <c r="E41" s="81"/>
      <c r="F41" s="81">
        <v>514933444.36000001</v>
      </c>
      <c r="G41" s="81"/>
      <c r="H41" s="81"/>
      <c r="I41" s="81">
        <f>J41-F41</f>
        <v>34517917.090000033</v>
      </c>
      <c r="J41" s="81">
        <v>549451361.45000005</v>
      </c>
      <c r="K41" s="81">
        <v>5308569.3899999997</v>
      </c>
      <c r="L41" s="81">
        <v>969424.36</v>
      </c>
      <c r="M41" s="54">
        <v>4339145.03</v>
      </c>
      <c r="N41" s="44">
        <v>735192659.69000006</v>
      </c>
      <c r="O41" s="44">
        <v>2253408.02</v>
      </c>
      <c r="P41" s="224">
        <v>734349888.74000001</v>
      </c>
      <c r="Q41" s="48">
        <f t="shared" si="7"/>
        <v>1.3648922367853476E-3</v>
      </c>
      <c r="R41" s="56">
        <v>732939251.66999996</v>
      </c>
      <c r="S41" s="48">
        <f t="shared" si="8"/>
        <v>1.3368459733323994E-3</v>
      </c>
      <c r="T41" s="49">
        <f t="shared" si="9"/>
        <v>-1.920933184071735E-3</v>
      </c>
      <c r="U41" s="87">
        <f t="shared" si="10"/>
        <v>1.3226530818088531E-3</v>
      </c>
      <c r="V41" s="50">
        <f t="shared" si="11"/>
        <v>5.9201973698546923E-3</v>
      </c>
      <c r="W41" s="51">
        <f t="shared" si="12"/>
        <v>1.0171056101085225</v>
      </c>
      <c r="X41" s="51">
        <f t="shared" si="13"/>
        <v>6.0214659578289266E-3</v>
      </c>
      <c r="Y41" s="44">
        <v>1</v>
      </c>
      <c r="Z41" s="44">
        <v>1</v>
      </c>
      <c r="AA41" s="205">
        <v>148</v>
      </c>
      <c r="AB41" s="206">
        <v>720612731.25</v>
      </c>
      <c r="AC41" s="13"/>
      <c r="AD41" s="4"/>
      <c r="AE41" s="4"/>
      <c r="AF41" s="4"/>
      <c r="AG41" s="5"/>
      <c r="AH41" s="6"/>
      <c r="AI41" s="6"/>
      <c r="AJ41" s="6"/>
      <c r="AK41" s="7"/>
      <c r="AL41" s="5"/>
      <c r="AM41" s="6"/>
      <c r="AN41" s="6"/>
      <c r="AO41" s="6"/>
      <c r="AP41" s="7"/>
      <c r="AQ41" s="5"/>
      <c r="AR41" s="6"/>
      <c r="AS41" s="6"/>
      <c r="AT41" s="6"/>
      <c r="AU41" s="7"/>
    </row>
    <row r="42" spans="1:257" ht="16.5" customHeight="1" x14ac:dyDescent="0.3">
      <c r="A42" s="156">
        <v>37</v>
      </c>
      <c r="B42" s="120" t="s">
        <v>85</v>
      </c>
      <c r="C42" s="86" t="s">
        <v>156</v>
      </c>
      <c r="D42" s="81"/>
      <c r="E42" s="81"/>
      <c r="F42" s="81">
        <v>5606006523.3500004</v>
      </c>
      <c r="G42" s="81"/>
      <c r="H42" s="81"/>
      <c r="I42" s="81"/>
      <c r="J42" s="81">
        <v>5606006523.3500004</v>
      </c>
      <c r="K42" s="81">
        <v>40326135</v>
      </c>
      <c r="L42" s="81">
        <v>9237807.6899999995</v>
      </c>
      <c r="M42" s="54">
        <v>31088327.309999999</v>
      </c>
      <c r="N42" s="44">
        <v>5609195461.3199997</v>
      </c>
      <c r="O42" s="44">
        <v>171905313.37</v>
      </c>
      <c r="P42" s="224">
        <v>6018867059.9700003</v>
      </c>
      <c r="Q42" s="48">
        <f t="shared" si="7"/>
        <v>1.1186908380270345E-2</v>
      </c>
      <c r="R42" s="56">
        <v>5437290147.9499998</v>
      </c>
      <c r="S42" s="48">
        <f t="shared" si="8"/>
        <v>9.9173559385240997E-3</v>
      </c>
      <c r="T42" s="49">
        <f>((R42-P42)/P42)</f>
        <v>-9.6625645030096283E-2</v>
      </c>
      <c r="U42" s="87">
        <f t="shared" si="10"/>
        <v>1.6989727306501922E-3</v>
      </c>
      <c r="V42" s="50">
        <f>M42/R42</f>
        <v>5.7176141909074151E-3</v>
      </c>
      <c r="W42" s="51">
        <f t="shared" si="12"/>
        <v>99.99999999908043</v>
      </c>
      <c r="X42" s="51">
        <f t="shared" si="13"/>
        <v>0.57176141908548372</v>
      </c>
      <c r="Y42" s="44">
        <v>100</v>
      </c>
      <c r="Z42" s="44">
        <v>100</v>
      </c>
      <c r="AA42" s="205">
        <v>1133</v>
      </c>
      <c r="AB42" s="206">
        <v>54372901.479999997</v>
      </c>
      <c r="AC42" s="3"/>
      <c r="AD42" s="9"/>
      <c r="AE42" s="9"/>
      <c r="AF42" s="9"/>
      <c r="AG42" s="5"/>
      <c r="AH42" s="6"/>
      <c r="AI42" s="6"/>
      <c r="AJ42" s="6"/>
      <c r="AK42" s="7"/>
      <c r="AL42" s="5"/>
      <c r="AM42" s="6"/>
      <c r="AN42" s="6"/>
      <c r="AO42" s="6"/>
      <c r="AP42" s="7"/>
      <c r="AQ42" s="5"/>
      <c r="AR42" s="6"/>
      <c r="AS42" s="6"/>
      <c r="AT42" s="6"/>
      <c r="AU42" s="7"/>
    </row>
    <row r="43" spans="1:257" ht="16.5" customHeight="1" x14ac:dyDescent="0.3">
      <c r="A43" s="156">
        <v>38</v>
      </c>
      <c r="B43" s="120" t="s">
        <v>178</v>
      </c>
      <c r="C43" s="86" t="s">
        <v>86</v>
      </c>
      <c r="D43" s="81"/>
      <c r="E43" s="81"/>
      <c r="F43" s="81">
        <v>178463576.16</v>
      </c>
      <c r="G43" s="81"/>
      <c r="H43" s="81"/>
      <c r="I43" s="81"/>
      <c r="J43" s="81">
        <v>178463576.16</v>
      </c>
      <c r="K43" s="81">
        <v>2514226.2999999998</v>
      </c>
      <c r="L43" s="81">
        <v>504512.15</v>
      </c>
      <c r="M43" s="54">
        <v>2009714.15</v>
      </c>
      <c r="N43" s="44">
        <v>381737074.37</v>
      </c>
      <c r="O43" s="44">
        <v>5838716.2699999996</v>
      </c>
      <c r="P43" s="224">
        <v>379745812.37</v>
      </c>
      <c r="Q43" s="48">
        <f t="shared" si="7"/>
        <v>7.058108392239016E-4</v>
      </c>
      <c r="R43" s="56">
        <v>375898358.10000002</v>
      </c>
      <c r="S43" s="48">
        <f t="shared" si="8"/>
        <v>6.8562054121574069E-4</v>
      </c>
      <c r="T43" s="49">
        <f t="shared" si="9"/>
        <v>-1.0131656873285723E-2</v>
      </c>
      <c r="U43" s="87">
        <f t="shared" si="10"/>
        <v>1.342150448727911E-3</v>
      </c>
      <c r="V43" s="50">
        <f t="shared" si="11"/>
        <v>5.3464297108351743E-3</v>
      </c>
      <c r="W43" s="51">
        <f t="shared" si="12"/>
        <v>1.0034391260434683</v>
      </c>
      <c r="X43" s="51">
        <f t="shared" si="13"/>
        <v>5.36481675649328E-3</v>
      </c>
      <c r="Y43" s="44">
        <v>1</v>
      </c>
      <c r="Z43" s="44">
        <v>1</v>
      </c>
      <c r="AA43" s="205">
        <v>430</v>
      </c>
      <c r="AB43" s="206">
        <v>374610027</v>
      </c>
      <c r="AC43" s="10"/>
      <c r="AD43" s="10"/>
      <c r="AE43" s="10"/>
      <c r="AF43" s="11"/>
      <c r="AG43" s="5"/>
      <c r="AH43" s="6"/>
      <c r="AI43" s="6"/>
      <c r="AJ43" s="6"/>
      <c r="AK43" s="7"/>
      <c r="AL43" s="5"/>
      <c r="AM43" s="6"/>
      <c r="AN43" s="6"/>
      <c r="AO43" s="6"/>
      <c r="AP43" s="7"/>
      <c r="AQ43" s="5"/>
      <c r="AR43" s="6"/>
      <c r="AS43" s="6"/>
      <c r="AT43" s="6"/>
      <c r="AU43" s="7"/>
    </row>
    <row r="44" spans="1:257" ht="16.5" customHeight="1" x14ac:dyDescent="0.3">
      <c r="A44" s="156">
        <v>39</v>
      </c>
      <c r="B44" s="120" t="s">
        <v>52</v>
      </c>
      <c r="C44" s="86" t="s">
        <v>87</v>
      </c>
      <c r="D44" s="81"/>
      <c r="E44" s="81"/>
      <c r="F44" s="81">
        <v>266417100.52000001</v>
      </c>
      <c r="G44" s="81"/>
      <c r="H44" s="81"/>
      <c r="I44" s="81"/>
      <c r="J44" s="81">
        <v>266417100.52000001</v>
      </c>
      <c r="K44" s="81">
        <v>2678736.14</v>
      </c>
      <c r="L44" s="81">
        <v>366360.38</v>
      </c>
      <c r="M44" s="54">
        <v>2312375.7599999998</v>
      </c>
      <c r="N44" s="44">
        <v>268195687.88999999</v>
      </c>
      <c r="O44" s="44">
        <v>366360.38</v>
      </c>
      <c r="P44" s="224">
        <v>244397673.31</v>
      </c>
      <c r="Q44" s="48">
        <f t="shared" si="7"/>
        <v>4.5424734462964537E-4</v>
      </c>
      <c r="R44" s="56">
        <v>267829327.50999999</v>
      </c>
      <c r="S44" s="48">
        <f t="shared" si="8"/>
        <v>4.8850782272372487E-4</v>
      </c>
      <c r="T44" s="49">
        <f t="shared" si="9"/>
        <v>9.5875111586183975E-2</v>
      </c>
      <c r="U44" s="87">
        <f>(L44/R44)</f>
        <v>1.3678874655215685E-3</v>
      </c>
      <c r="V44" s="50">
        <f t="shared" si="11"/>
        <v>8.6337660684812877E-3</v>
      </c>
      <c r="W44" s="51">
        <f t="shared" si="12"/>
        <v>102.60288166910158</v>
      </c>
      <c r="X44" s="51">
        <f t="shared" si="13"/>
        <v>0.8858492782830899</v>
      </c>
      <c r="Y44" s="44">
        <v>100</v>
      </c>
      <c r="Z44" s="44">
        <v>100</v>
      </c>
      <c r="AA44" s="205">
        <v>658</v>
      </c>
      <c r="AB44" s="206">
        <v>2610348.98</v>
      </c>
      <c r="AC44" s="40"/>
      <c r="AD44" s="15"/>
      <c r="AE44" s="15"/>
      <c r="AF44" s="15"/>
      <c r="AG44" s="5"/>
      <c r="AH44" s="6"/>
      <c r="AI44" s="6"/>
      <c r="AJ44" s="6"/>
      <c r="AK44" s="7"/>
      <c r="AL44" s="5"/>
      <c r="AM44" s="6"/>
      <c r="AN44" s="6"/>
      <c r="AO44" s="6"/>
      <c r="AP44" s="7"/>
      <c r="AQ44" s="5"/>
      <c r="AR44" s="6"/>
      <c r="AS44" s="6"/>
      <c r="AT44" s="6"/>
      <c r="AU44" s="7"/>
    </row>
    <row r="45" spans="1:257" ht="16.5" customHeight="1" x14ac:dyDescent="0.3">
      <c r="A45" s="156">
        <v>40</v>
      </c>
      <c r="B45" s="120" t="s">
        <v>88</v>
      </c>
      <c r="C45" s="86" t="s">
        <v>89</v>
      </c>
      <c r="D45" s="81"/>
      <c r="E45" s="81"/>
      <c r="F45" s="81">
        <v>108109342.73</v>
      </c>
      <c r="G45" s="81"/>
      <c r="H45" s="81"/>
      <c r="I45" s="81"/>
      <c r="J45" s="81">
        <v>108109342.73</v>
      </c>
      <c r="K45" s="81">
        <v>639056.88</v>
      </c>
      <c r="L45" s="81">
        <v>144364.74</v>
      </c>
      <c r="M45" s="54">
        <v>494692.14</v>
      </c>
      <c r="N45" s="44">
        <v>111933783.65000001</v>
      </c>
      <c r="O45" s="44">
        <v>113348878.29000001</v>
      </c>
      <c r="P45" s="224">
        <v>109351856.36</v>
      </c>
      <c r="Q45" s="48">
        <f t="shared" si="7"/>
        <v>2.0324575806761553E-4</v>
      </c>
      <c r="R45" s="56">
        <v>109351856.36</v>
      </c>
      <c r="S45" s="48">
        <f t="shared" si="8"/>
        <v>1.994525310497469E-4</v>
      </c>
      <c r="T45" s="49">
        <f>((R45-P45)/P45)</f>
        <v>0</v>
      </c>
      <c r="U45" s="142">
        <f>(L45/R45)</f>
        <v>1.3201855442191415E-3</v>
      </c>
      <c r="V45" s="50">
        <f t="shared" si="11"/>
        <v>4.5238568092654191E-3</v>
      </c>
      <c r="W45" s="51">
        <f t="shared" si="12"/>
        <v>0.96473699616352848</v>
      </c>
      <c r="X45" s="51">
        <f t="shared" si="13"/>
        <v>4.3643320292446452E-3</v>
      </c>
      <c r="Y45" s="44">
        <v>1</v>
      </c>
      <c r="Z45" s="44">
        <v>1</v>
      </c>
      <c r="AA45" s="205">
        <v>38</v>
      </c>
      <c r="AB45" s="206">
        <v>113348878.29000001</v>
      </c>
      <c r="AC45" s="39"/>
      <c r="AD45" s="16"/>
      <c r="AE45" s="16"/>
      <c r="AF45" s="16"/>
      <c r="AG45" s="5"/>
      <c r="AH45" s="6"/>
      <c r="AI45" s="6"/>
      <c r="AJ45" s="6"/>
      <c r="AK45" s="7"/>
      <c r="AL45" s="5"/>
      <c r="AM45" s="6"/>
      <c r="AN45" s="6"/>
      <c r="AO45" s="6"/>
      <c r="AP45" s="7"/>
      <c r="AQ45" s="5"/>
      <c r="AR45" s="6"/>
      <c r="AS45" s="6"/>
      <c r="AT45" s="6"/>
      <c r="AU45" s="7"/>
    </row>
    <row r="46" spans="1:257" ht="16.5" customHeight="1" x14ac:dyDescent="0.3">
      <c r="A46" s="156">
        <v>41</v>
      </c>
      <c r="B46" s="120" t="s">
        <v>90</v>
      </c>
      <c r="C46" s="89" t="s">
        <v>91</v>
      </c>
      <c r="D46" s="81"/>
      <c r="E46" s="81"/>
      <c r="F46" s="81">
        <v>408459430.29000002</v>
      </c>
      <c r="G46" s="81"/>
      <c r="H46" s="81"/>
      <c r="I46" s="81">
        <v>224599740.59999999</v>
      </c>
      <c r="J46" s="81">
        <v>633059170.88</v>
      </c>
      <c r="K46" s="81">
        <v>8516230.7200000007</v>
      </c>
      <c r="L46" s="81">
        <v>1200422.27</v>
      </c>
      <c r="M46" s="54">
        <v>7315808.46</v>
      </c>
      <c r="N46" s="44">
        <v>1264024757.4200001</v>
      </c>
      <c r="O46" s="44">
        <v>5883110.79</v>
      </c>
      <c r="P46" s="224">
        <v>1277825838.1800001</v>
      </c>
      <c r="Q46" s="48">
        <f t="shared" si="7"/>
        <v>2.3750184935523513E-3</v>
      </c>
      <c r="R46" s="56">
        <v>1258141646.6300001</v>
      </c>
      <c r="S46" s="48">
        <f t="shared" si="8"/>
        <v>2.2947899029105226E-3</v>
      </c>
      <c r="T46" s="49">
        <f t="shared" si="9"/>
        <v>-1.5404440074584837E-2</v>
      </c>
      <c r="U46" s="87">
        <f t="shared" si="10"/>
        <v>9.5412330814689697E-4</v>
      </c>
      <c r="V46" s="50">
        <f t="shared" si="11"/>
        <v>5.8147733044174995E-3</v>
      </c>
      <c r="W46" s="51">
        <f t="shared" si="12"/>
        <v>1.0175497761416068</v>
      </c>
      <c r="X46" s="51">
        <f t="shared" si="13"/>
        <v>5.9168212742242189E-3</v>
      </c>
      <c r="Y46" s="44">
        <v>1</v>
      </c>
      <c r="Z46" s="44">
        <v>1</v>
      </c>
      <c r="AA46" s="205">
        <v>33</v>
      </c>
      <c r="AB46" s="206">
        <v>1236442360</v>
      </c>
      <c r="AC46" s="39"/>
      <c r="AD46" s="16"/>
      <c r="AE46" s="16"/>
      <c r="AF46" s="16"/>
      <c r="AG46" s="5"/>
      <c r="AH46" s="6"/>
      <c r="AI46" s="6"/>
      <c r="AJ46" s="6"/>
      <c r="AK46" s="7"/>
      <c r="AL46" s="5"/>
      <c r="AM46" s="6"/>
      <c r="AN46" s="6"/>
      <c r="AO46" s="6"/>
      <c r="AP46" s="7"/>
      <c r="AQ46" s="5"/>
      <c r="AR46" s="6"/>
      <c r="AS46" s="6"/>
      <c r="AT46" s="6"/>
      <c r="AU46" s="7"/>
    </row>
    <row r="47" spans="1:257" ht="16.5" customHeight="1" x14ac:dyDescent="0.3">
      <c r="A47" s="156">
        <v>42</v>
      </c>
      <c r="B47" s="122" t="s">
        <v>92</v>
      </c>
      <c r="C47" s="86" t="s">
        <v>93</v>
      </c>
      <c r="D47" s="81"/>
      <c r="E47" s="81"/>
      <c r="F47" s="81">
        <v>127325884.31</v>
      </c>
      <c r="G47" s="81"/>
      <c r="H47" s="81"/>
      <c r="I47" s="81">
        <v>211358.88</v>
      </c>
      <c r="J47" s="81">
        <f>SUM(F47:I47)</f>
        <v>127537243.19</v>
      </c>
      <c r="K47" s="81">
        <v>373211.7</v>
      </c>
      <c r="L47" s="81">
        <v>59073.47</v>
      </c>
      <c r="M47" s="54">
        <v>314138.23</v>
      </c>
      <c r="N47" s="44">
        <v>166712385.25</v>
      </c>
      <c r="O47" s="44">
        <v>4345658.57</v>
      </c>
      <c r="P47" s="224">
        <v>161414024.44999999</v>
      </c>
      <c r="Q47" s="48">
        <f t="shared" si="7"/>
        <v>3.000105974797635E-4</v>
      </c>
      <c r="R47" s="56">
        <v>160966379.83000001</v>
      </c>
      <c r="S47" s="48">
        <f t="shared" si="8"/>
        <v>2.935949415007117E-4</v>
      </c>
      <c r="T47" s="49">
        <f>((R47-P47)/P47)</f>
        <v>-2.7732696804089567E-3</v>
      </c>
      <c r="U47" s="87">
        <f>(L47/R47)</f>
        <v>3.6699259846925014E-4</v>
      </c>
      <c r="V47" s="50">
        <f>M47/R47</f>
        <v>1.9515766604912652E-3</v>
      </c>
      <c r="W47" s="51">
        <f>R47/AB47</f>
        <v>0.9985456515227944</v>
      </c>
      <c r="X47" s="51">
        <f>M47/AB47</f>
        <v>1.9487383879469298E-3</v>
      </c>
      <c r="Y47" s="44">
        <v>1</v>
      </c>
      <c r="Z47" s="44">
        <v>1</v>
      </c>
      <c r="AA47" s="205">
        <v>36</v>
      </c>
      <c r="AB47" s="205">
        <v>161200822</v>
      </c>
      <c r="AC47" s="39"/>
      <c r="AD47" s="16"/>
      <c r="AE47" s="16"/>
      <c r="AF47" s="16"/>
      <c r="AG47" s="5"/>
      <c r="AH47" s="6"/>
      <c r="AI47" s="6"/>
      <c r="AJ47" s="6"/>
      <c r="AK47" s="7"/>
      <c r="AL47" s="5"/>
      <c r="AM47" s="6"/>
      <c r="AN47" s="6"/>
      <c r="AO47" s="6"/>
      <c r="AP47" s="7"/>
      <c r="AQ47" s="5"/>
      <c r="AR47" s="6"/>
      <c r="AS47" s="6"/>
      <c r="AT47" s="6"/>
      <c r="AU47" s="7"/>
      <c r="AV47" s="31"/>
      <c r="AW47" s="31"/>
      <c r="AX47" s="31"/>
      <c r="AY47" s="31"/>
      <c r="AZ47" s="31"/>
      <c r="BA47" s="31"/>
      <c r="BB47" s="31"/>
      <c r="BC47" s="31"/>
      <c r="BD47" s="31"/>
      <c r="BE47" s="31"/>
      <c r="BF47" s="31"/>
      <c r="BG47" s="31"/>
      <c r="BH47" s="31"/>
      <c r="BI47" s="31"/>
      <c r="BJ47" s="31"/>
      <c r="BK47" s="31"/>
      <c r="BL47" s="31"/>
      <c r="BM47" s="31"/>
      <c r="BN47" s="31"/>
      <c r="BO47" s="31"/>
      <c r="BP47" s="31"/>
      <c r="BQ47" s="31"/>
      <c r="BR47" s="31"/>
      <c r="BS47" s="31"/>
      <c r="BT47" s="31"/>
      <c r="BU47" s="31"/>
      <c r="BV47" s="31"/>
      <c r="BW47" s="31"/>
      <c r="BX47" s="31"/>
      <c r="BY47" s="31"/>
      <c r="BZ47" s="31"/>
      <c r="CA47" s="31"/>
      <c r="CB47" s="31"/>
      <c r="CC47" s="31"/>
      <c r="CD47" s="31"/>
      <c r="CE47" s="31"/>
      <c r="CF47" s="31"/>
      <c r="CG47" s="31"/>
      <c r="CH47" s="31"/>
      <c r="CI47" s="31"/>
      <c r="CJ47" s="31"/>
      <c r="CK47" s="31"/>
      <c r="CL47" s="31"/>
      <c r="CM47" s="31"/>
      <c r="CN47" s="31"/>
      <c r="CO47" s="31"/>
      <c r="CP47" s="31"/>
      <c r="CQ47" s="31"/>
      <c r="CR47" s="31"/>
      <c r="CS47" s="31"/>
      <c r="CT47" s="31"/>
      <c r="CU47" s="31"/>
      <c r="CV47" s="31"/>
      <c r="CW47" s="31"/>
      <c r="CX47" s="31"/>
      <c r="CY47" s="31"/>
      <c r="CZ47" s="31"/>
      <c r="DA47" s="31"/>
      <c r="DB47" s="31"/>
      <c r="DC47" s="31"/>
      <c r="DD47" s="31"/>
      <c r="DE47" s="31"/>
      <c r="DF47" s="31"/>
      <c r="DG47" s="31"/>
      <c r="DH47" s="31"/>
      <c r="DI47" s="31"/>
      <c r="DJ47" s="31"/>
      <c r="DK47" s="31"/>
      <c r="DL47" s="31"/>
      <c r="DM47" s="31"/>
      <c r="DN47" s="31"/>
      <c r="DO47" s="31"/>
      <c r="DP47" s="31"/>
      <c r="DQ47" s="31"/>
      <c r="DR47" s="31"/>
      <c r="DS47" s="31"/>
      <c r="DT47" s="31"/>
      <c r="DU47" s="31"/>
      <c r="DV47" s="31"/>
      <c r="DW47" s="31"/>
      <c r="DX47" s="31"/>
      <c r="DY47" s="31"/>
      <c r="DZ47" s="31"/>
      <c r="EA47" s="31"/>
      <c r="EB47" s="31"/>
      <c r="EC47" s="31"/>
      <c r="ED47" s="31"/>
      <c r="EE47" s="31"/>
      <c r="EF47" s="31"/>
      <c r="EG47" s="31"/>
      <c r="EH47" s="31"/>
      <c r="EI47" s="31"/>
      <c r="EJ47" s="31"/>
      <c r="EK47" s="31"/>
      <c r="EL47" s="31"/>
      <c r="EM47" s="31"/>
      <c r="EN47" s="31"/>
      <c r="EO47" s="31"/>
      <c r="EP47" s="31"/>
      <c r="EQ47" s="31"/>
      <c r="ER47" s="31"/>
      <c r="ES47" s="31"/>
      <c r="ET47" s="31"/>
      <c r="EU47" s="31"/>
      <c r="EV47" s="31"/>
      <c r="EW47" s="31"/>
      <c r="EX47" s="31"/>
      <c r="EY47" s="31"/>
      <c r="EZ47" s="31"/>
      <c r="FA47" s="31"/>
      <c r="FB47" s="31"/>
      <c r="FC47" s="31"/>
      <c r="FD47" s="31"/>
      <c r="FE47" s="31"/>
      <c r="FF47" s="31"/>
      <c r="FG47" s="31"/>
      <c r="FH47" s="31"/>
      <c r="FI47" s="31"/>
      <c r="FJ47" s="31"/>
      <c r="FK47" s="31"/>
      <c r="FL47" s="31"/>
      <c r="FM47" s="31"/>
      <c r="FN47" s="31"/>
      <c r="FO47" s="31"/>
      <c r="FP47" s="31"/>
      <c r="FQ47" s="31"/>
      <c r="FR47" s="31"/>
      <c r="FS47" s="31"/>
      <c r="FT47" s="31"/>
      <c r="FU47" s="31"/>
      <c r="FV47" s="31"/>
      <c r="FW47" s="31"/>
      <c r="FX47" s="31"/>
      <c r="FY47" s="31"/>
      <c r="FZ47" s="31"/>
      <c r="GA47" s="31"/>
      <c r="GB47" s="31"/>
      <c r="GC47" s="31"/>
      <c r="GD47" s="31"/>
      <c r="GE47" s="31"/>
      <c r="GF47" s="31"/>
      <c r="GG47" s="31"/>
      <c r="GH47" s="31"/>
      <c r="GI47" s="31"/>
      <c r="GJ47" s="31"/>
      <c r="GK47" s="31"/>
      <c r="GL47" s="31"/>
      <c r="GM47" s="31"/>
      <c r="GN47" s="31"/>
      <c r="GO47" s="31"/>
      <c r="GP47" s="31"/>
      <c r="GQ47" s="31"/>
      <c r="GR47" s="31"/>
      <c r="GS47" s="31"/>
      <c r="GT47" s="31"/>
      <c r="GU47" s="31"/>
      <c r="GV47" s="31"/>
      <c r="GW47" s="31"/>
      <c r="GX47" s="31"/>
      <c r="GY47" s="31"/>
      <c r="GZ47" s="31"/>
      <c r="HA47" s="31"/>
      <c r="HB47" s="31"/>
      <c r="HC47" s="31"/>
      <c r="HD47" s="31"/>
      <c r="HE47" s="31"/>
      <c r="HF47" s="31"/>
      <c r="HG47" s="31"/>
      <c r="HH47" s="31"/>
      <c r="HI47" s="31"/>
      <c r="HJ47" s="31"/>
      <c r="HK47" s="31"/>
      <c r="HL47" s="31"/>
      <c r="HM47" s="31"/>
      <c r="HN47" s="31"/>
      <c r="HO47" s="31"/>
      <c r="HP47" s="31"/>
      <c r="HQ47" s="31"/>
      <c r="HR47" s="31"/>
      <c r="HS47" s="31"/>
      <c r="HT47" s="31"/>
      <c r="HU47" s="31"/>
      <c r="HV47" s="31"/>
      <c r="HW47" s="31"/>
      <c r="HX47" s="31"/>
      <c r="HY47" s="31"/>
      <c r="HZ47" s="31"/>
      <c r="IA47" s="31"/>
      <c r="IB47" s="31"/>
      <c r="IC47" s="31"/>
      <c r="ID47" s="31"/>
      <c r="IE47" s="31"/>
      <c r="IF47" s="31"/>
      <c r="IG47" s="31"/>
      <c r="IH47" s="31"/>
      <c r="II47" s="31"/>
      <c r="IJ47" s="31"/>
      <c r="IK47" s="31"/>
      <c r="IL47" s="31"/>
      <c r="IM47" s="31"/>
      <c r="IN47" s="31"/>
      <c r="IO47" s="31"/>
      <c r="IP47" s="31"/>
      <c r="IQ47" s="31"/>
      <c r="IR47" s="31"/>
      <c r="IS47" s="31"/>
      <c r="IT47" s="31"/>
      <c r="IU47" s="31"/>
      <c r="IV47" s="31"/>
      <c r="IW47" s="31"/>
    </row>
    <row r="48" spans="1:257" ht="16.5" customHeight="1" x14ac:dyDescent="0.3">
      <c r="A48" s="156">
        <v>43</v>
      </c>
      <c r="B48" s="122" t="s">
        <v>164</v>
      </c>
      <c r="C48" s="85" t="s">
        <v>165</v>
      </c>
      <c r="D48" s="81"/>
      <c r="E48" s="81"/>
      <c r="F48" s="81">
        <v>216741606.09</v>
      </c>
      <c r="G48" s="81"/>
      <c r="H48" s="81"/>
      <c r="I48" s="81">
        <f>J48-F48</f>
        <v>615589.90999999642</v>
      </c>
      <c r="J48" s="81">
        <v>217357196</v>
      </c>
      <c r="K48" s="81">
        <v>6684396.4000000004</v>
      </c>
      <c r="L48" s="81">
        <v>1376637.1</v>
      </c>
      <c r="M48" s="54">
        <v>5307759.3</v>
      </c>
      <c r="N48" s="44">
        <v>742346072.63999999</v>
      </c>
      <c r="O48" s="44">
        <v>720662009.53999996</v>
      </c>
      <c r="P48" s="224">
        <v>705994264.50999999</v>
      </c>
      <c r="Q48" s="48">
        <f t="shared" si="7"/>
        <v>1.3121893332046918E-3</v>
      </c>
      <c r="R48" s="56">
        <v>720864449.10000002</v>
      </c>
      <c r="S48" s="48">
        <f t="shared" si="8"/>
        <v>1.314822113704595E-3</v>
      </c>
      <c r="T48" s="49">
        <f>((R48-P48)/P48)</f>
        <v>2.1062755517313989E-2</v>
      </c>
      <c r="U48" s="87">
        <f>(L48/R48)</f>
        <v>1.9097031372801543E-3</v>
      </c>
      <c r="V48" s="50">
        <f>M48/R48</f>
        <v>7.3630476667655657E-3</v>
      </c>
      <c r="W48" s="51">
        <f>R48/AB48</f>
        <v>1.0002809077727426</v>
      </c>
      <c r="X48" s="51">
        <f>M48/AB48</f>
        <v>7.3651160040862336E-3</v>
      </c>
      <c r="Y48" s="44">
        <v>1</v>
      </c>
      <c r="Z48" s="44">
        <v>1</v>
      </c>
      <c r="AA48" s="205">
        <v>120</v>
      </c>
      <c r="AB48" s="206">
        <v>720662009.53999996</v>
      </c>
      <c r="AC48" s="39"/>
      <c r="AD48" s="16"/>
      <c r="AE48" s="16"/>
      <c r="AF48" s="16"/>
      <c r="AG48" s="5"/>
      <c r="AH48" s="6"/>
      <c r="AI48" s="6"/>
      <c r="AJ48" s="6"/>
      <c r="AK48" s="7"/>
      <c r="AL48" s="5"/>
      <c r="AM48" s="6"/>
      <c r="AN48" s="6"/>
      <c r="AO48" s="6"/>
      <c r="AP48" s="7"/>
      <c r="AQ48" s="5"/>
      <c r="AR48" s="6"/>
      <c r="AS48" s="6"/>
      <c r="AT48" s="6"/>
      <c r="AU48" s="7"/>
      <c r="AV48" s="31"/>
      <c r="AW48" s="31"/>
      <c r="AX48" s="31"/>
      <c r="AY48" s="31"/>
      <c r="AZ48" s="31"/>
      <c r="BA48" s="31"/>
      <c r="BB48" s="31"/>
      <c r="BC48" s="31"/>
      <c r="BD48" s="31"/>
      <c r="BE48" s="31"/>
      <c r="BF48" s="31"/>
      <c r="BG48" s="31"/>
      <c r="BH48" s="31"/>
      <c r="BI48" s="31"/>
      <c r="BJ48" s="31"/>
      <c r="BK48" s="31"/>
      <c r="BL48" s="31"/>
      <c r="BM48" s="31"/>
      <c r="BN48" s="31"/>
      <c r="BO48" s="31"/>
      <c r="BP48" s="31"/>
      <c r="BQ48" s="31"/>
      <c r="BR48" s="31"/>
      <c r="BS48" s="31"/>
      <c r="BT48" s="31"/>
      <c r="BU48" s="31"/>
      <c r="BV48" s="31"/>
      <c r="BW48" s="31"/>
      <c r="BX48" s="31"/>
      <c r="BY48" s="31"/>
      <c r="BZ48" s="31"/>
      <c r="CA48" s="31"/>
      <c r="CB48" s="31"/>
      <c r="CC48" s="31"/>
      <c r="CD48" s="31"/>
      <c r="CE48" s="31"/>
      <c r="CF48" s="31"/>
      <c r="CG48" s="31"/>
      <c r="CH48" s="31"/>
      <c r="CI48" s="31"/>
      <c r="CJ48" s="31"/>
      <c r="CK48" s="31"/>
      <c r="CL48" s="31"/>
      <c r="CM48" s="31"/>
      <c r="CN48" s="31"/>
      <c r="CO48" s="31"/>
      <c r="CP48" s="31"/>
      <c r="CQ48" s="31"/>
      <c r="CR48" s="31"/>
      <c r="CS48" s="31"/>
      <c r="CT48" s="31"/>
      <c r="CU48" s="31"/>
      <c r="CV48" s="31"/>
      <c r="CW48" s="31"/>
      <c r="CX48" s="31"/>
      <c r="CY48" s="31"/>
      <c r="CZ48" s="31"/>
      <c r="DA48" s="31"/>
      <c r="DB48" s="31"/>
      <c r="DC48" s="31"/>
      <c r="DD48" s="31"/>
      <c r="DE48" s="31"/>
      <c r="DF48" s="31"/>
      <c r="DG48" s="31"/>
      <c r="DH48" s="31"/>
      <c r="DI48" s="31"/>
      <c r="DJ48" s="31"/>
      <c r="DK48" s="31"/>
      <c r="DL48" s="31"/>
      <c r="DM48" s="31"/>
      <c r="DN48" s="31"/>
      <c r="DO48" s="31"/>
      <c r="DP48" s="31"/>
      <c r="DQ48" s="31"/>
      <c r="DR48" s="31"/>
      <c r="DS48" s="31"/>
      <c r="DT48" s="31"/>
      <c r="DU48" s="31"/>
      <c r="DV48" s="31"/>
      <c r="DW48" s="31"/>
      <c r="DX48" s="31"/>
      <c r="DY48" s="31"/>
      <c r="DZ48" s="31"/>
      <c r="EA48" s="31"/>
      <c r="EB48" s="31"/>
      <c r="EC48" s="31"/>
      <c r="ED48" s="31"/>
      <c r="EE48" s="31"/>
      <c r="EF48" s="31"/>
      <c r="EG48" s="31"/>
      <c r="EH48" s="31"/>
      <c r="EI48" s="31"/>
      <c r="EJ48" s="31"/>
      <c r="EK48" s="31"/>
      <c r="EL48" s="31"/>
      <c r="EM48" s="31"/>
      <c r="EN48" s="31"/>
      <c r="EO48" s="31"/>
      <c r="EP48" s="31"/>
      <c r="EQ48" s="31"/>
      <c r="ER48" s="31"/>
      <c r="ES48" s="31"/>
      <c r="ET48" s="31"/>
      <c r="EU48" s="31"/>
      <c r="EV48" s="31"/>
      <c r="EW48" s="31"/>
      <c r="EX48" s="31"/>
      <c r="EY48" s="31"/>
      <c r="EZ48" s="31"/>
      <c r="FA48" s="31"/>
      <c r="FB48" s="31"/>
      <c r="FC48" s="31"/>
      <c r="FD48" s="31"/>
      <c r="FE48" s="31"/>
      <c r="FF48" s="31"/>
      <c r="FG48" s="31"/>
      <c r="FH48" s="31"/>
      <c r="FI48" s="31"/>
      <c r="FJ48" s="31"/>
      <c r="FK48" s="31"/>
      <c r="FL48" s="31"/>
      <c r="FM48" s="31"/>
      <c r="FN48" s="31"/>
      <c r="FO48" s="31"/>
      <c r="FP48" s="31"/>
      <c r="FQ48" s="31"/>
      <c r="FR48" s="31"/>
      <c r="FS48" s="31"/>
      <c r="FT48" s="31"/>
      <c r="FU48" s="31"/>
      <c r="FV48" s="31"/>
      <c r="FW48" s="31"/>
      <c r="FX48" s="31"/>
      <c r="FY48" s="31"/>
      <c r="FZ48" s="31"/>
      <c r="GA48" s="31"/>
      <c r="GB48" s="31"/>
      <c r="GC48" s="31"/>
      <c r="GD48" s="31"/>
      <c r="GE48" s="31"/>
      <c r="GF48" s="31"/>
      <c r="GG48" s="31"/>
      <c r="GH48" s="31"/>
      <c r="GI48" s="31"/>
      <c r="GJ48" s="31"/>
      <c r="GK48" s="31"/>
      <c r="GL48" s="31"/>
      <c r="GM48" s="31"/>
      <c r="GN48" s="31"/>
      <c r="GO48" s="31"/>
      <c r="GP48" s="31"/>
      <c r="GQ48" s="31"/>
      <c r="GR48" s="31"/>
      <c r="GS48" s="31"/>
      <c r="GT48" s="31"/>
      <c r="GU48" s="31"/>
      <c r="GV48" s="31"/>
      <c r="GW48" s="31"/>
      <c r="GX48" s="31"/>
      <c r="GY48" s="31"/>
      <c r="GZ48" s="31"/>
      <c r="HA48" s="31"/>
      <c r="HB48" s="31"/>
      <c r="HC48" s="31"/>
      <c r="HD48" s="31"/>
      <c r="HE48" s="31"/>
      <c r="HF48" s="31"/>
      <c r="HG48" s="31"/>
      <c r="HH48" s="31"/>
      <c r="HI48" s="31"/>
      <c r="HJ48" s="31"/>
      <c r="HK48" s="31"/>
      <c r="HL48" s="31"/>
      <c r="HM48" s="31"/>
      <c r="HN48" s="31"/>
      <c r="HO48" s="31"/>
      <c r="HP48" s="31"/>
      <c r="HQ48" s="31"/>
      <c r="HR48" s="31"/>
      <c r="HS48" s="31"/>
      <c r="HT48" s="31"/>
      <c r="HU48" s="31"/>
      <c r="HV48" s="31"/>
      <c r="HW48" s="31"/>
      <c r="HX48" s="31"/>
      <c r="HY48" s="31"/>
      <c r="HZ48" s="31"/>
      <c r="IA48" s="31"/>
      <c r="IB48" s="31"/>
      <c r="IC48" s="31"/>
      <c r="ID48" s="31"/>
      <c r="IE48" s="31"/>
      <c r="IF48" s="31"/>
      <c r="IG48" s="31"/>
      <c r="IH48" s="31"/>
      <c r="II48" s="31"/>
      <c r="IJ48" s="31"/>
      <c r="IK48" s="31"/>
      <c r="IL48" s="31"/>
      <c r="IM48" s="31"/>
      <c r="IN48" s="31"/>
      <c r="IO48" s="31"/>
      <c r="IP48" s="31"/>
      <c r="IQ48" s="31"/>
      <c r="IR48" s="31"/>
      <c r="IS48" s="31"/>
      <c r="IT48" s="31"/>
      <c r="IU48" s="31"/>
      <c r="IV48" s="31"/>
      <c r="IW48" s="31"/>
    </row>
    <row r="49" spans="1:257" ht="16.5" customHeight="1" x14ac:dyDescent="0.3">
      <c r="A49" s="156">
        <v>44</v>
      </c>
      <c r="B49" s="122" t="s">
        <v>160</v>
      </c>
      <c r="C49" s="86" t="s">
        <v>161</v>
      </c>
      <c r="D49" s="81"/>
      <c r="E49" s="81"/>
      <c r="F49" s="81">
        <v>4427936.4800000004</v>
      </c>
      <c r="G49" s="81"/>
      <c r="H49" s="81"/>
      <c r="I49" s="81"/>
      <c r="J49" s="81">
        <v>4427936.4800000004</v>
      </c>
      <c r="K49" s="81">
        <v>13952.61</v>
      </c>
      <c r="L49" s="81">
        <v>9955.8799999999992</v>
      </c>
      <c r="M49" s="54">
        <v>3996.73</v>
      </c>
      <c r="N49" s="44">
        <v>7259643.7999999998</v>
      </c>
      <c r="O49" s="44">
        <v>204340.1</v>
      </c>
      <c r="P49" s="224">
        <v>7043916.5499999998</v>
      </c>
      <c r="Q49" s="48">
        <f t="shared" si="7"/>
        <v>1.3092106587167709E-5</v>
      </c>
      <c r="R49" s="56">
        <v>7055303.7000000002</v>
      </c>
      <c r="S49" s="48">
        <f t="shared" si="8"/>
        <v>1.2868534903120178E-5</v>
      </c>
      <c r="T49" s="49">
        <f>((R49-P49)/P49)</f>
        <v>1.6165935412736218E-3</v>
      </c>
      <c r="U49" s="87">
        <f>(L49/R49)</f>
        <v>1.4111199777268268E-3</v>
      </c>
      <c r="V49" s="50">
        <f>M49/R49</f>
        <v>5.664858906073738E-4</v>
      </c>
      <c r="W49" s="51">
        <f>R49/AB49</f>
        <v>97.457022681437692</v>
      </c>
      <c r="X49" s="51">
        <f>M49/AB49</f>
        <v>5.5208028289637265E-2</v>
      </c>
      <c r="Y49" s="44">
        <v>100</v>
      </c>
      <c r="Z49" s="44">
        <v>100</v>
      </c>
      <c r="AA49" s="205">
        <v>71</v>
      </c>
      <c r="AB49" s="206">
        <v>72394</v>
      </c>
      <c r="AC49" s="39"/>
      <c r="AD49" s="16"/>
      <c r="AE49" s="16"/>
      <c r="AF49" s="16"/>
      <c r="AG49" s="5"/>
      <c r="AH49" s="6"/>
      <c r="AI49" s="6"/>
      <c r="AJ49" s="6"/>
      <c r="AK49" s="7"/>
      <c r="AL49" s="5"/>
      <c r="AM49" s="6"/>
      <c r="AN49" s="6"/>
      <c r="AO49" s="6"/>
      <c r="AP49" s="7"/>
      <c r="AQ49" s="5"/>
      <c r="AR49" s="6"/>
      <c r="AS49" s="6"/>
      <c r="AT49" s="6"/>
      <c r="AU49" s="7"/>
      <c r="AV49" s="31"/>
      <c r="AW49" s="31"/>
      <c r="AX49" s="31"/>
      <c r="AY49" s="31"/>
      <c r="AZ49" s="31"/>
      <c r="BA49" s="31"/>
      <c r="BB49" s="31"/>
      <c r="BC49" s="31"/>
      <c r="BD49" s="31"/>
      <c r="BE49" s="31"/>
      <c r="BF49" s="31"/>
      <c r="BG49" s="31"/>
      <c r="BH49" s="31"/>
      <c r="BI49" s="31"/>
      <c r="BJ49" s="31"/>
      <c r="BK49" s="31"/>
      <c r="BL49" s="31"/>
      <c r="BM49" s="31"/>
      <c r="BN49" s="31"/>
      <c r="BO49" s="31"/>
      <c r="BP49" s="31"/>
      <c r="BQ49" s="31"/>
      <c r="BR49" s="31"/>
      <c r="BS49" s="31"/>
      <c r="BT49" s="31"/>
      <c r="BU49" s="31"/>
      <c r="BV49" s="31"/>
      <c r="BW49" s="31"/>
      <c r="BX49" s="31"/>
      <c r="BY49" s="31"/>
      <c r="BZ49" s="31"/>
      <c r="CA49" s="31"/>
      <c r="CB49" s="31"/>
      <c r="CC49" s="31"/>
      <c r="CD49" s="31"/>
      <c r="CE49" s="31"/>
      <c r="CF49" s="31"/>
      <c r="CG49" s="31"/>
      <c r="CH49" s="31"/>
      <c r="CI49" s="31"/>
      <c r="CJ49" s="31"/>
      <c r="CK49" s="31"/>
      <c r="CL49" s="31"/>
      <c r="CM49" s="31"/>
      <c r="CN49" s="31"/>
      <c r="CO49" s="31"/>
      <c r="CP49" s="31"/>
      <c r="CQ49" s="31"/>
      <c r="CR49" s="31"/>
      <c r="CS49" s="31"/>
      <c r="CT49" s="31"/>
      <c r="CU49" s="31"/>
      <c r="CV49" s="31"/>
      <c r="CW49" s="31"/>
      <c r="CX49" s="31"/>
      <c r="CY49" s="31"/>
      <c r="CZ49" s="31"/>
      <c r="DA49" s="31"/>
      <c r="DB49" s="31"/>
      <c r="DC49" s="31"/>
      <c r="DD49" s="31"/>
      <c r="DE49" s="31"/>
      <c r="DF49" s="31"/>
      <c r="DG49" s="31"/>
      <c r="DH49" s="31"/>
      <c r="DI49" s="31"/>
      <c r="DJ49" s="31"/>
      <c r="DK49" s="31"/>
      <c r="DL49" s="31"/>
      <c r="DM49" s="31"/>
      <c r="DN49" s="31"/>
      <c r="DO49" s="31"/>
      <c r="DP49" s="31"/>
      <c r="DQ49" s="31"/>
      <c r="DR49" s="31"/>
      <c r="DS49" s="31"/>
      <c r="DT49" s="31"/>
      <c r="DU49" s="31"/>
      <c r="DV49" s="31"/>
      <c r="DW49" s="31"/>
      <c r="DX49" s="31"/>
      <c r="DY49" s="31"/>
      <c r="DZ49" s="31"/>
      <c r="EA49" s="31"/>
      <c r="EB49" s="31"/>
      <c r="EC49" s="31"/>
      <c r="ED49" s="31"/>
      <c r="EE49" s="31"/>
      <c r="EF49" s="31"/>
      <c r="EG49" s="31"/>
      <c r="EH49" s="31"/>
      <c r="EI49" s="31"/>
      <c r="EJ49" s="31"/>
      <c r="EK49" s="31"/>
      <c r="EL49" s="31"/>
      <c r="EM49" s="31"/>
      <c r="EN49" s="31"/>
      <c r="EO49" s="31"/>
      <c r="EP49" s="31"/>
      <c r="EQ49" s="31"/>
      <c r="ER49" s="31"/>
      <c r="ES49" s="31"/>
      <c r="ET49" s="31"/>
      <c r="EU49" s="31"/>
      <c r="EV49" s="31"/>
      <c r="EW49" s="31"/>
      <c r="EX49" s="31"/>
      <c r="EY49" s="31"/>
      <c r="EZ49" s="31"/>
      <c r="FA49" s="31"/>
      <c r="FB49" s="31"/>
      <c r="FC49" s="31"/>
      <c r="FD49" s="31"/>
      <c r="FE49" s="31"/>
      <c r="FF49" s="31"/>
      <c r="FG49" s="31"/>
      <c r="FH49" s="31"/>
      <c r="FI49" s="31"/>
      <c r="FJ49" s="31"/>
      <c r="FK49" s="31"/>
      <c r="FL49" s="31"/>
      <c r="FM49" s="31"/>
      <c r="FN49" s="31"/>
      <c r="FO49" s="31"/>
      <c r="FP49" s="31"/>
      <c r="FQ49" s="31"/>
      <c r="FR49" s="31"/>
      <c r="FS49" s="31"/>
      <c r="FT49" s="31"/>
      <c r="FU49" s="31"/>
      <c r="FV49" s="31"/>
      <c r="FW49" s="31"/>
      <c r="FX49" s="31"/>
      <c r="FY49" s="31"/>
      <c r="FZ49" s="31"/>
      <c r="GA49" s="31"/>
      <c r="GB49" s="31"/>
      <c r="GC49" s="31"/>
      <c r="GD49" s="31"/>
      <c r="GE49" s="31"/>
      <c r="GF49" s="31"/>
      <c r="GG49" s="31"/>
      <c r="GH49" s="31"/>
      <c r="GI49" s="31"/>
      <c r="GJ49" s="31"/>
      <c r="GK49" s="31"/>
      <c r="GL49" s="31"/>
      <c r="GM49" s="31"/>
      <c r="GN49" s="31"/>
      <c r="GO49" s="31"/>
      <c r="GP49" s="31"/>
      <c r="GQ49" s="31"/>
      <c r="GR49" s="31"/>
      <c r="GS49" s="31"/>
      <c r="GT49" s="31"/>
      <c r="GU49" s="31"/>
      <c r="GV49" s="31"/>
      <c r="GW49" s="31"/>
      <c r="GX49" s="31"/>
      <c r="GY49" s="31"/>
      <c r="GZ49" s="31"/>
      <c r="HA49" s="31"/>
      <c r="HB49" s="31"/>
      <c r="HC49" s="31"/>
      <c r="HD49" s="31"/>
      <c r="HE49" s="31"/>
      <c r="HF49" s="31"/>
      <c r="HG49" s="31"/>
      <c r="HH49" s="31"/>
      <c r="HI49" s="31"/>
      <c r="HJ49" s="31"/>
      <c r="HK49" s="31"/>
      <c r="HL49" s="31"/>
      <c r="HM49" s="31"/>
      <c r="HN49" s="31"/>
      <c r="HO49" s="31"/>
      <c r="HP49" s="31"/>
      <c r="HQ49" s="31"/>
      <c r="HR49" s="31"/>
      <c r="HS49" s="31"/>
      <c r="HT49" s="31"/>
      <c r="HU49" s="31"/>
      <c r="HV49" s="31"/>
      <c r="HW49" s="31"/>
      <c r="HX49" s="31"/>
      <c r="HY49" s="31"/>
      <c r="HZ49" s="31"/>
      <c r="IA49" s="31"/>
      <c r="IB49" s="31"/>
      <c r="IC49" s="31"/>
      <c r="ID49" s="31"/>
      <c r="IE49" s="31"/>
      <c r="IF49" s="31"/>
      <c r="IG49" s="31"/>
      <c r="IH49" s="31"/>
      <c r="II49" s="31"/>
      <c r="IJ49" s="31"/>
      <c r="IK49" s="31"/>
      <c r="IL49" s="31"/>
      <c r="IM49" s="31"/>
      <c r="IN49" s="31"/>
      <c r="IO49" s="31"/>
      <c r="IP49" s="31"/>
      <c r="IQ49" s="31"/>
      <c r="IR49" s="31"/>
      <c r="IS49" s="31"/>
      <c r="IT49" s="31"/>
      <c r="IU49" s="31"/>
      <c r="IV49" s="31"/>
      <c r="IW49" s="31"/>
    </row>
    <row r="50" spans="1:257" ht="16.5" customHeight="1" x14ac:dyDescent="0.3">
      <c r="A50" s="232">
        <v>45</v>
      </c>
      <c r="B50" s="233" t="s">
        <v>158</v>
      </c>
      <c r="C50" s="86" t="s">
        <v>175</v>
      </c>
      <c r="D50" s="81"/>
      <c r="E50" s="81"/>
      <c r="F50" s="81">
        <v>239332194.19</v>
      </c>
      <c r="G50" s="81"/>
      <c r="H50" s="81"/>
      <c r="I50" s="81"/>
      <c r="J50" s="81">
        <v>239332194.19</v>
      </c>
      <c r="K50" s="81">
        <v>5884532.5700000003</v>
      </c>
      <c r="L50" s="81">
        <v>1023791.91</v>
      </c>
      <c r="M50" s="54">
        <v>4860740.66</v>
      </c>
      <c r="N50" s="44">
        <v>714339138.5</v>
      </c>
      <c r="O50" s="44">
        <v>18427733.93</v>
      </c>
      <c r="P50" s="224">
        <v>585643707.41999996</v>
      </c>
      <c r="Q50" s="48">
        <f t="shared" si="7"/>
        <v>1.0885009476222004E-3</v>
      </c>
      <c r="R50" s="56">
        <v>695911404.57000005</v>
      </c>
      <c r="S50" s="48">
        <f t="shared" si="8"/>
        <v>1.2693089596112542E-3</v>
      </c>
      <c r="T50" s="49">
        <f>((R50-P50)/P50)</f>
        <v>0.18828461016984951</v>
      </c>
      <c r="U50" s="87">
        <f t="shared" si="10"/>
        <v>1.4711526543132248E-3</v>
      </c>
      <c r="V50" s="50">
        <f t="shared" si="11"/>
        <v>6.9847118872889084E-3</v>
      </c>
      <c r="W50" s="51">
        <f t="shared" si="12"/>
        <v>100.00000065669281</v>
      </c>
      <c r="X50" s="51">
        <f t="shared" si="13"/>
        <v>0.69847119331570084</v>
      </c>
      <c r="Y50" s="44">
        <v>100</v>
      </c>
      <c r="Z50" s="44">
        <v>100</v>
      </c>
      <c r="AA50" s="205">
        <v>427</v>
      </c>
      <c r="AB50" s="206">
        <v>6959114</v>
      </c>
      <c r="AC50" s="39"/>
      <c r="AD50" s="16"/>
      <c r="AE50" s="16"/>
      <c r="AF50" s="16"/>
      <c r="AG50" s="5"/>
      <c r="AH50" s="6"/>
      <c r="AI50" s="6"/>
      <c r="AJ50" s="6"/>
      <c r="AK50" s="7"/>
      <c r="AL50" s="5"/>
      <c r="AM50" s="6"/>
      <c r="AN50" s="6"/>
      <c r="AO50" s="6"/>
      <c r="AP50" s="7"/>
      <c r="AQ50" s="5"/>
      <c r="AR50" s="6"/>
      <c r="AS50" s="6"/>
      <c r="AT50" s="6"/>
      <c r="AU50" s="7"/>
    </row>
    <row r="51" spans="1:257" ht="16.5" customHeight="1" x14ac:dyDescent="0.3">
      <c r="A51" s="162" t="s">
        <v>94</v>
      </c>
      <c r="B51" s="127"/>
      <c r="C51" s="61" t="s">
        <v>54</v>
      </c>
      <c r="D51" s="62"/>
      <c r="E51" s="62"/>
      <c r="F51" s="62"/>
      <c r="G51" s="62"/>
      <c r="H51" s="62"/>
      <c r="I51" s="62"/>
      <c r="J51" s="62"/>
      <c r="K51" s="62"/>
      <c r="L51" s="62"/>
      <c r="M51" s="126"/>
      <c r="N51" s="62"/>
      <c r="O51" s="62"/>
      <c r="P51" s="123">
        <f t="shared" ref="P51" si="14">SUM(P22:P50)</f>
        <v>538027742372.95996</v>
      </c>
      <c r="Q51" s="125">
        <f>(P51/$P$146)</f>
        <v>0.41640280959383175</v>
      </c>
      <c r="R51" s="63">
        <f>SUM(R22:R50)</f>
        <v>548260058593.72003</v>
      </c>
      <c r="S51" s="125">
        <f>(R51/$R$146)</f>
        <v>0.42118187240202593</v>
      </c>
      <c r="T51" s="64">
        <f t="shared" si="9"/>
        <v>1.9018194444083231E-2</v>
      </c>
      <c r="U51" s="79"/>
      <c r="V51" s="65"/>
      <c r="W51" s="66"/>
      <c r="X51" s="66"/>
      <c r="Y51" s="62"/>
      <c r="Z51" s="62"/>
      <c r="AA51" s="67">
        <f>SUM(AA22:AA50)</f>
        <v>240222</v>
      </c>
      <c r="AB51" s="160"/>
      <c r="AC51" s="13"/>
      <c r="AD51" s="4"/>
      <c r="AE51" s="4"/>
      <c r="AF51" s="4"/>
      <c r="AG51" s="5"/>
      <c r="AH51" s="6"/>
      <c r="AI51" s="6"/>
      <c r="AJ51" s="6"/>
      <c r="AK51" s="7"/>
      <c r="AL51" s="5"/>
      <c r="AM51" s="6"/>
      <c r="AN51" s="6"/>
      <c r="AO51" s="6"/>
      <c r="AP51" s="7"/>
      <c r="AQ51" s="5"/>
      <c r="AR51" s="6"/>
      <c r="AS51" s="6"/>
      <c r="AT51" s="6"/>
      <c r="AU51" s="7"/>
    </row>
    <row r="52" spans="1:257" ht="16.5" customHeight="1" x14ac:dyDescent="0.3">
      <c r="A52" s="240" t="s">
        <v>197</v>
      </c>
      <c r="B52" s="241"/>
      <c r="C52" s="241"/>
      <c r="D52" s="73"/>
      <c r="E52" s="73"/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121"/>
      <c r="Q52" s="49"/>
      <c r="R52" s="73">
        <v>0</v>
      </c>
      <c r="S52" s="49"/>
      <c r="T52" s="49"/>
      <c r="U52" s="49"/>
      <c r="V52" s="74"/>
      <c r="W52" s="75"/>
      <c r="X52" s="75"/>
      <c r="Y52" s="73"/>
      <c r="Z52" s="73"/>
      <c r="AA52" s="73"/>
      <c r="AB52" s="163"/>
      <c r="AC52" s="13"/>
      <c r="AD52" s="4"/>
      <c r="AE52" s="4"/>
      <c r="AF52" s="4"/>
      <c r="AG52" s="5"/>
      <c r="AH52" s="6"/>
      <c r="AI52" s="6"/>
      <c r="AJ52" s="6"/>
      <c r="AK52" s="7"/>
      <c r="AL52" s="5"/>
      <c r="AM52" s="6"/>
      <c r="AN52" s="6"/>
      <c r="AO52" s="6"/>
      <c r="AP52" s="7"/>
      <c r="AQ52" s="5"/>
      <c r="AR52" s="6"/>
      <c r="AS52" s="6"/>
      <c r="AT52" s="6"/>
      <c r="AU52" s="7"/>
    </row>
    <row r="53" spans="1:257" ht="16.5" customHeight="1" x14ac:dyDescent="0.3">
      <c r="A53" s="156">
        <v>46</v>
      </c>
      <c r="B53" s="120" t="s">
        <v>25</v>
      </c>
      <c r="C53" s="86" t="s">
        <v>95</v>
      </c>
      <c r="D53" s="44"/>
      <c r="E53" s="44"/>
      <c r="F53" s="44">
        <v>11221901350.34</v>
      </c>
      <c r="G53" s="44">
        <v>74132940601.580002</v>
      </c>
      <c r="H53" s="44"/>
      <c r="I53" s="44"/>
      <c r="J53" s="44">
        <v>85354841951.919998</v>
      </c>
      <c r="K53" s="44">
        <v>609249554.08000004</v>
      </c>
      <c r="L53" s="44">
        <v>131124569.25</v>
      </c>
      <c r="M53" s="54">
        <v>478124984.82999998</v>
      </c>
      <c r="N53" s="44">
        <v>85525407280.470001</v>
      </c>
      <c r="O53" s="44">
        <v>422644333.17000002</v>
      </c>
      <c r="P53" s="224">
        <v>91942362391.350006</v>
      </c>
      <c r="Q53" s="48">
        <f>(P53/$P$79)</f>
        <v>0.23776705305146517</v>
      </c>
      <c r="R53" s="56">
        <v>85102762947.300003</v>
      </c>
      <c r="S53" s="48">
        <f>(R53/$R$79)</f>
        <v>0.22504279556927798</v>
      </c>
      <c r="T53" s="49">
        <f t="shared" ref="T53:T55" si="15">((R53-P53)/P53)</f>
        <v>-7.4390077284912981E-2</v>
      </c>
      <c r="U53" s="87">
        <f t="shared" ref="U53:U55" si="16">(L53/R53)</f>
        <v>1.5407792263007849E-3</v>
      </c>
      <c r="V53" s="50">
        <f t="shared" ref="V53:V55" si="17">M53/R53</f>
        <v>5.6182075442847788E-3</v>
      </c>
      <c r="W53" s="51">
        <f t="shared" ref="W53:W54" si="18">R53/AB53</f>
        <v>235.61062725499804</v>
      </c>
      <c r="X53" s="51">
        <f t="shared" ref="X53:X54" si="19">M53/AB53</f>
        <v>1.3237094035576988</v>
      </c>
      <c r="Y53" s="204">
        <v>235.61</v>
      </c>
      <c r="Z53" s="204">
        <v>235.61</v>
      </c>
      <c r="AA53" s="205">
        <v>7107</v>
      </c>
      <c r="AB53" s="206">
        <v>361200867.45999998</v>
      </c>
      <c r="AC53" s="13"/>
      <c r="AD53" s="4"/>
      <c r="AE53" s="4"/>
      <c r="AF53" s="4"/>
      <c r="AG53" s="5"/>
      <c r="AH53" s="6"/>
      <c r="AI53" s="6"/>
      <c r="AJ53" s="6"/>
      <c r="AK53" s="7"/>
      <c r="AL53" s="5"/>
      <c r="AM53" s="6"/>
      <c r="AN53" s="6"/>
      <c r="AO53" s="6"/>
      <c r="AP53" s="7"/>
      <c r="AQ53" s="5"/>
      <c r="AR53" s="6"/>
      <c r="AS53" s="6"/>
      <c r="AT53" s="6"/>
      <c r="AU53" s="7"/>
    </row>
    <row r="54" spans="1:257" ht="16.5" customHeight="1" x14ac:dyDescent="0.3">
      <c r="A54" s="156">
        <v>47</v>
      </c>
      <c r="B54" s="120" t="s">
        <v>33</v>
      </c>
      <c r="C54" s="86" t="s">
        <v>96</v>
      </c>
      <c r="D54" s="44"/>
      <c r="E54" s="44"/>
      <c r="F54" s="44">
        <v>301769885.89999998</v>
      </c>
      <c r="G54" s="44">
        <v>1039004112.74</v>
      </c>
      <c r="H54" s="44"/>
      <c r="I54" s="44"/>
      <c r="J54" s="44">
        <v>1340773998.6400001</v>
      </c>
      <c r="K54" s="44">
        <v>13959626.57</v>
      </c>
      <c r="L54" s="44">
        <v>1852474.41</v>
      </c>
      <c r="M54" s="54">
        <v>12107152.16</v>
      </c>
      <c r="N54" s="44">
        <v>1369748362.8099999</v>
      </c>
      <c r="O54" s="44">
        <v>13965598.25</v>
      </c>
      <c r="P54" s="224">
        <v>1348080939.8599999</v>
      </c>
      <c r="Q54" s="48">
        <f t="shared" ref="Q54:Q78" si="20">(P54/$P$79)</f>
        <v>3.4861974829517458E-3</v>
      </c>
      <c r="R54" s="56">
        <v>1355782764.5599999</v>
      </c>
      <c r="S54" s="48">
        <f t="shared" ref="S54:S78" si="21">(R54/$R$79)</f>
        <v>3.5851849335393005E-3</v>
      </c>
      <c r="T54" s="49">
        <f t="shared" si="15"/>
        <v>5.7131767628135835E-3</v>
      </c>
      <c r="U54" s="87">
        <f t="shared" si="16"/>
        <v>1.3663504644132235E-3</v>
      </c>
      <c r="V54" s="50">
        <f t="shared" si="17"/>
        <v>8.9300089044347785E-3</v>
      </c>
      <c r="W54" s="51">
        <f t="shared" si="18"/>
        <v>319.51402175227173</v>
      </c>
      <c r="X54" s="51">
        <f t="shared" si="19"/>
        <v>2.8532630593395543</v>
      </c>
      <c r="Y54" s="204">
        <v>319.51400000000001</v>
      </c>
      <c r="Z54" s="204">
        <v>319.51400000000001</v>
      </c>
      <c r="AA54" s="205">
        <v>168</v>
      </c>
      <c r="AB54" s="206">
        <v>4243265.3099999996</v>
      </c>
      <c r="AC54" s="13"/>
      <c r="AD54" s="4"/>
      <c r="AE54" s="4"/>
      <c r="AF54" s="4"/>
      <c r="AG54" s="5"/>
      <c r="AH54" s="6"/>
      <c r="AI54" s="6"/>
      <c r="AJ54" s="6"/>
      <c r="AK54" s="7"/>
      <c r="AL54" s="5"/>
      <c r="AM54" s="6"/>
      <c r="AN54" s="6"/>
      <c r="AO54" s="6"/>
      <c r="AP54" s="7"/>
      <c r="AQ54" s="5"/>
      <c r="AR54" s="6"/>
      <c r="AS54" s="6"/>
      <c r="AT54" s="6"/>
      <c r="AU54" s="7"/>
    </row>
    <row r="55" spans="1:257" ht="16.5" customHeight="1" x14ac:dyDescent="0.3">
      <c r="A55" s="156">
        <v>48</v>
      </c>
      <c r="B55" s="120" t="s">
        <v>39</v>
      </c>
      <c r="C55" s="86" t="s">
        <v>198</v>
      </c>
      <c r="D55" s="44"/>
      <c r="E55" s="44"/>
      <c r="F55" s="44">
        <v>9445397854.2199993</v>
      </c>
      <c r="G55" s="44">
        <v>28551533277.43</v>
      </c>
      <c r="H55" s="44"/>
      <c r="I55" s="44"/>
      <c r="J55" s="44">
        <v>38069204159</v>
      </c>
      <c r="K55" s="44">
        <v>1142727774.0799999</v>
      </c>
      <c r="L55" s="44">
        <v>38425746.369999997</v>
      </c>
      <c r="M55" s="54">
        <v>1104302027.71</v>
      </c>
      <c r="N55" s="44">
        <v>38439103115.32</v>
      </c>
      <c r="O55" s="44">
        <v>369898956.33999997</v>
      </c>
      <c r="P55" s="224">
        <v>39247247970.790001</v>
      </c>
      <c r="Q55" s="48">
        <f t="shared" si="20"/>
        <v>0.10149513507902606</v>
      </c>
      <c r="R55" s="56">
        <v>38069204158.980003</v>
      </c>
      <c r="S55" s="48">
        <f t="shared" si="21"/>
        <v>0.10066888350428403</v>
      </c>
      <c r="T55" s="49">
        <f t="shared" si="15"/>
        <v>-3.0015959658796044E-2</v>
      </c>
      <c r="U55" s="87">
        <f t="shared" si="16"/>
        <v>1.0093656334272459E-3</v>
      </c>
      <c r="V55" s="50">
        <f t="shared" si="17"/>
        <v>2.9007751858913244E-2</v>
      </c>
      <c r="W55" s="51">
        <f>R55/AB55</f>
        <v>1392.8653129618285</v>
      </c>
      <c r="X55" s="51">
        <f>M55/AB55</f>
        <v>40.40389137128426</v>
      </c>
      <c r="Y55" s="204">
        <v>1392.86</v>
      </c>
      <c r="Z55" s="204">
        <v>1392.86</v>
      </c>
      <c r="AA55" s="205">
        <v>1968</v>
      </c>
      <c r="AB55" s="206">
        <v>27331576</v>
      </c>
      <c r="AC55" s="13"/>
      <c r="AD55" s="4"/>
      <c r="AE55" s="4"/>
      <c r="AF55" s="4"/>
      <c r="AG55" s="5"/>
      <c r="AH55" s="6"/>
      <c r="AI55" s="6"/>
      <c r="AJ55" s="6"/>
      <c r="AK55" s="7"/>
      <c r="AL55" s="5"/>
      <c r="AM55" s="6"/>
      <c r="AN55" s="6"/>
      <c r="AO55" s="6"/>
      <c r="AP55" s="7"/>
      <c r="AQ55" s="5"/>
      <c r="AR55" s="6"/>
      <c r="AS55" s="6"/>
      <c r="AT55" s="6"/>
      <c r="AU55" s="7"/>
    </row>
    <row r="56" spans="1:257" ht="16.5" customHeight="1" x14ac:dyDescent="0.3">
      <c r="A56" s="156">
        <v>49</v>
      </c>
      <c r="B56" s="122" t="s">
        <v>164</v>
      </c>
      <c r="C56" s="86" t="s">
        <v>166</v>
      </c>
      <c r="D56" s="44"/>
      <c r="E56" s="44"/>
      <c r="F56" s="44">
        <v>64149951.850000001</v>
      </c>
      <c r="G56" s="44">
        <v>482154796.56</v>
      </c>
      <c r="H56" s="55"/>
      <c r="I56" s="53">
        <v>1434332.64</v>
      </c>
      <c r="J56" s="53">
        <v>621837749.75</v>
      </c>
      <c r="K56" s="53">
        <v>5549974.29</v>
      </c>
      <c r="L56" s="44">
        <v>1189642.18</v>
      </c>
      <c r="M56" s="54">
        <v>4360332.1100000003</v>
      </c>
      <c r="N56" s="44">
        <v>621837749.75</v>
      </c>
      <c r="O56" s="44">
        <v>621837749.75</v>
      </c>
      <c r="P56" s="224">
        <v>615530032.13999999</v>
      </c>
      <c r="Q56" s="48">
        <f t="shared" si="20"/>
        <v>1.5917881376993027E-3</v>
      </c>
      <c r="R56" s="56">
        <v>615676854.30999994</v>
      </c>
      <c r="S56" s="48">
        <f t="shared" si="21"/>
        <v>1.6280745261704485E-3</v>
      </c>
      <c r="T56" s="49">
        <f>((R56-P56)/P56)</f>
        <v>2.3852966115967342E-4</v>
      </c>
      <c r="U56" s="87">
        <f>(L56/R56)</f>
        <v>1.9322509392256644E-3</v>
      </c>
      <c r="V56" s="50">
        <f>M56/R56</f>
        <v>7.082176436349394E-3</v>
      </c>
      <c r="W56" s="51">
        <f>R56/AB56</f>
        <v>1.044542412106402</v>
      </c>
      <c r="X56" s="51">
        <f>M56/AB56</f>
        <v>7.397633657787517E-3</v>
      </c>
      <c r="Y56" s="204">
        <v>1.05</v>
      </c>
      <c r="Z56" s="204">
        <v>1.05</v>
      </c>
      <c r="AA56" s="205">
        <v>35</v>
      </c>
      <c r="AB56" s="206">
        <v>589422552.09000003</v>
      </c>
      <c r="AC56" s="13"/>
      <c r="AD56" s="4"/>
      <c r="AE56" s="4"/>
      <c r="AF56" s="4"/>
      <c r="AG56" s="5"/>
      <c r="AH56" s="6"/>
      <c r="AI56" s="6"/>
      <c r="AJ56" s="6"/>
      <c r="AK56" s="7"/>
      <c r="AL56" s="5"/>
      <c r="AM56" s="6"/>
      <c r="AN56" s="6"/>
      <c r="AO56" s="6"/>
      <c r="AP56" s="7"/>
      <c r="AQ56" s="5"/>
      <c r="AR56" s="6"/>
      <c r="AS56" s="6"/>
      <c r="AT56" s="6"/>
      <c r="AU56" s="7"/>
      <c r="AV56" s="31"/>
      <c r="AW56" s="31"/>
      <c r="AX56" s="31"/>
      <c r="AY56" s="31"/>
      <c r="AZ56" s="31"/>
      <c r="BA56" s="31"/>
      <c r="BB56" s="31"/>
      <c r="BC56" s="31"/>
      <c r="BD56" s="31"/>
      <c r="BE56" s="31"/>
      <c r="BF56" s="31"/>
      <c r="BG56" s="31"/>
      <c r="BH56" s="31"/>
      <c r="BI56" s="31"/>
      <c r="BJ56" s="31"/>
      <c r="BK56" s="31"/>
      <c r="BL56" s="31"/>
      <c r="BM56" s="31"/>
      <c r="BN56" s="31"/>
      <c r="BO56" s="31"/>
      <c r="BP56" s="31"/>
      <c r="BQ56" s="31"/>
      <c r="BR56" s="31"/>
      <c r="BS56" s="31"/>
      <c r="BT56" s="31"/>
      <c r="BU56" s="31"/>
      <c r="BV56" s="31"/>
      <c r="BW56" s="31"/>
      <c r="BX56" s="31"/>
      <c r="BY56" s="31"/>
      <c r="BZ56" s="31"/>
      <c r="CA56" s="31"/>
      <c r="CB56" s="31"/>
      <c r="CC56" s="31"/>
      <c r="CD56" s="31"/>
      <c r="CE56" s="31"/>
      <c r="CF56" s="31"/>
      <c r="CG56" s="31"/>
      <c r="CH56" s="31"/>
      <c r="CI56" s="31"/>
      <c r="CJ56" s="31"/>
      <c r="CK56" s="31"/>
      <c r="CL56" s="31"/>
      <c r="CM56" s="31"/>
      <c r="CN56" s="31"/>
      <c r="CO56" s="31"/>
      <c r="CP56" s="31"/>
      <c r="CQ56" s="31"/>
      <c r="CR56" s="31"/>
      <c r="CS56" s="31"/>
      <c r="CT56" s="31"/>
      <c r="CU56" s="31"/>
      <c r="CV56" s="31"/>
      <c r="CW56" s="31"/>
      <c r="CX56" s="31"/>
      <c r="CY56" s="31"/>
      <c r="CZ56" s="31"/>
      <c r="DA56" s="31"/>
      <c r="DB56" s="31"/>
      <c r="DC56" s="31"/>
      <c r="DD56" s="31"/>
      <c r="DE56" s="31"/>
      <c r="DF56" s="31"/>
      <c r="DG56" s="31"/>
      <c r="DH56" s="31"/>
      <c r="DI56" s="31"/>
      <c r="DJ56" s="31"/>
      <c r="DK56" s="31"/>
      <c r="DL56" s="31"/>
      <c r="DM56" s="31"/>
      <c r="DN56" s="31"/>
      <c r="DO56" s="31"/>
      <c r="DP56" s="31"/>
      <c r="DQ56" s="31"/>
      <c r="DR56" s="31"/>
      <c r="DS56" s="31"/>
      <c r="DT56" s="31"/>
      <c r="DU56" s="31"/>
      <c r="DV56" s="31"/>
      <c r="DW56" s="31"/>
      <c r="DX56" s="31"/>
      <c r="DY56" s="31"/>
      <c r="DZ56" s="31"/>
      <c r="EA56" s="31"/>
      <c r="EB56" s="31"/>
      <c r="EC56" s="31"/>
      <c r="ED56" s="31"/>
      <c r="EE56" s="31"/>
      <c r="EF56" s="31"/>
      <c r="EG56" s="31"/>
      <c r="EH56" s="31"/>
      <c r="EI56" s="31"/>
      <c r="EJ56" s="31"/>
      <c r="EK56" s="31"/>
      <c r="EL56" s="31"/>
      <c r="EM56" s="31"/>
      <c r="EN56" s="31"/>
      <c r="EO56" s="31"/>
      <c r="EP56" s="31"/>
      <c r="EQ56" s="31"/>
      <c r="ER56" s="31"/>
      <c r="ES56" s="31"/>
      <c r="ET56" s="31"/>
      <c r="EU56" s="31"/>
      <c r="EV56" s="31"/>
      <c r="EW56" s="31"/>
      <c r="EX56" s="31"/>
      <c r="EY56" s="31"/>
      <c r="EZ56" s="31"/>
      <c r="FA56" s="31"/>
      <c r="FB56" s="31"/>
      <c r="FC56" s="31"/>
      <c r="FD56" s="31"/>
      <c r="FE56" s="31"/>
      <c r="FF56" s="31"/>
      <c r="FG56" s="31"/>
      <c r="FH56" s="31"/>
      <c r="FI56" s="31"/>
      <c r="FJ56" s="31"/>
      <c r="FK56" s="31"/>
      <c r="FL56" s="31"/>
      <c r="FM56" s="31"/>
      <c r="FN56" s="31"/>
      <c r="FO56" s="31"/>
      <c r="FP56" s="31"/>
      <c r="FQ56" s="31"/>
      <c r="FR56" s="31"/>
      <c r="FS56" s="31"/>
      <c r="FT56" s="31"/>
      <c r="FU56" s="31"/>
      <c r="FV56" s="31"/>
      <c r="FW56" s="31"/>
      <c r="FX56" s="31"/>
      <c r="FY56" s="31"/>
      <c r="FZ56" s="31"/>
      <c r="GA56" s="31"/>
      <c r="GB56" s="31"/>
      <c r="GC56" s="31"/>
      <c r="GD56" s="31"/>
      <c r="GE56" s="31"/>
      <c r="GF56" s="31"/>
      <c r="GG56" s="31"/>
      <c r="GH56" s="31"/>
      <c r="GI56" s="31"/>
      <c r="GJ56" s="31"/>
      <c r="GK56" s="31"/>
      <c r="GL56" s="31"/>
      <c r="GM56" s="31"/>
      <c r="GN56" s="31"/>
      <c r="GO56" s="31"/>
      <c r="GP56" s="31"/>
      <c r="GQ56" s="31"/>
      <c r="GR56" s="31"/>
      <c r="GS56" s="31"/>
      <c r="GT56" s="31"/>
      <c r="GU56" s="31"/>
      <c r="GV56" s="31"/>
      <c r="GW56" s="31"/>
      <c r="GX56" s="31"/>
      <c r="GY56" s="31"/>
      <c r="GZ56" s="31"/>
      <c r="HA56" s="31"/>
      <c r="HB56" s="31"/>
      <c r="HC56" s="31"/>
      <c r="HD56" s="31"/>
      <c r="HE56" s="31"/>
      <c r="HF56" s="31"/>
      <c r="HG56" s="31"/>
      <c r="HH56" s="31"/>
      <c r="HI56" s="31"/>
      <c r="HJ56" s="31"/>
      <c r="HK56" s="31"/>
      <c r="HL56" s="31"/>
      <c r="HM56" s="31"/>
      <c r="HN56" s="31"/>
      <c r="HO56" s="31"/>
      <c r="HP56" s="31"/>
      <c r="HQ56" s="31"/>
      <c r="HR56" s="31"/>
      <c r="HS56" s="31"/>
      <c r="HT56" s="31"/>
      <c r="HU56" s="31"/>
      <c r="HV56" s="31"/>
      <c r="HW56" s="31"/>
      <c r="HX56" s="31"/>
      <c r="HY56" s="31"/>
      <c r="HZ56" s="31"/>
      <c r="IA56" s="31"/>
      <c r="IB56" s="31"/>
      <c r="IC56" s="31"/>
      <c r="ID56" s="31"/>
      <c r="IE56" s="31"/>
      <c r="IF56" s="31"/>
      <c r="IG56" s="31"/>
      <c r="IH56" s="31"/>
      <c r="II56" s="31"/>
      <c r="IJ56" s="31"/>
      <c r="IK56" s="31"/>
      <c r="IL56" s="31"/>
      <c r="IM56" s="31"/>
      <c r="IN56" s="31"/>
      <c r="IO56" s="31"/>
      <c r="IP56" s="31"/>
      <c r="IQ56" s="31"/>
      <c r="IR56" s="31"/>
      <c r="IS56" s="31"/>
      <c r="IT56" s="31"/>
      <c r="IU56" s="31"/>
      <c r="IV56" s="31"/>
      <c r="IW56" s="31"/>
    </row>
    <row r="57" spans="1:257" ht="16.5" customHeight="1" x14ac:dyDescent="0.3">
      <c r="A57" s="156">
        <v>50</v>
      </c>
      <c r="B57" s="120" t="s">
        <v>85</v>
      </c>
      <c r="C57" s="122" t="s">
        <v>101</v>
      </c>
      <c r="D57" s="44"/>
      <c r="E57" s="44"/>
      <c r="F57" s="44">
        <v>130170958.90000001</v>
      </c>
      <c r="G57" s="44">
        <v>2832222451.1999998</v>
      </c>
      <c r="H57" s="44"/>
      <c r="I57" s="44"/>
      <c r="J57" s="44">
        <v>2962393410.0999999</v>
      </c>
      <c r="K57" s="44">
        <v>21430251.920000002</v>
      </c>
      <c r="L57" s="44">
        <v>3850797.12</v>
      </c>
      <c r="M57" s="54">
        <v>17579454.800000001</v>
      </c>
      <c r="N57" s="44">
        <v>2983410831.5799999</v>
      </c>
      <c r="O57" s="44">
        <v>34357540.640000001</v>
      </c>
      <c r="P57" s="224">
        <v>2938676211.0700002</v>
      </c>
      <c r="Q57" s="48">
        <f t="shared" si="20"/>
        <v>7.5995478515602666E-3</v>
      </c>
      <c r="R57" s="56">
        <v>2949053290.9400001</v>
      </c>
      <c r="S57" s="48">
        <f t="shared" si="21"/>
        <v>7.7983742700209529E-3</v>
      </c>
      <c r="T57" s="49">
        <f>((R57-P57)/P57)</f>
        <v>3.5312089950261961E-3</v>
      </c>
      <c r="U57" s="87">
        <f t="shared" ref="U57:U78" si="22">(L57/R57)</f>
        <v>1.3057740027385442E-3</v>
      </c>
      <c r="V57" s="50">
        <f t="shared" ref="V57:V78" si="23">M57/R57</f>
        <v>5.9610502305967534E-3</v>
      </c>
      <c r="W57" s="51">
        <f t="shared" ref="W57:W75" si="24">R57/AB57</f>
        <v>3468.3723336149301</v>
      </c>
      <c r="X57" s="51">
        <f t="shared" ref="X57:X75" si="25">M57/AB57</f>
        <v>20.675141699090677</v>
      </c>
      <c r="Y57" s="204">
        <v>3468.37</v>
      </c>
      <c r="Z57" s="204">
        <v>3468.37</v>
      </c>
      <c r="AA57" s="205">
        <v>1038</v>
      </c>
      <c r="AB57" s="206">
        <v>850270.1</v>
      </c>
      <c r="AC57" s="13"/>
      <c r="AD57" s="4"/>
      <c r="AE57" s="4"/>
      <c r="AF57" s="4"/>
      <c r="AG57" s="5"/>
      <c r="AH57" s="6"/>
      <c r="AI57" s="6"/>
      <c r="AJ57" s="6"/>
      <c r="AK57" s="7"/>
      <c r="AL57" s="5"/>
      <c r="AM57" s="6"/>
      <c r="AN57" s="6"/>
      <c r="AO57" s="6"/>
      <c r="AP57" s="7"/>
      <c r="AQ57" s="5"/>
      <c r="AR57" s="6"/>
      <c r="AS57" s="6"/>
      <c r="AT57" s="6"/>
      <c r="AU57" s="7"/>
    </row>
    <row r="58" spans="1:257" ht="16.5" customHeight="1" x14ac:dyDescent="0.3">
      <c r="A58" s="156">
        <v>51</v>
      </c>
      <c r="B58" s="120" t="s">
        <v>35</v>
      </c>
      <c r="C58" s="86" t="s">
        <v>102</v>
      </c>
      <c r="D58" s="44"/>
      <c r="E58" s="44"/>
      <c r="F58" s="44">
        <v>2556622778</v>
      </c>
      <c r="G58" s="44">
        <v>99271682778</v>
      </c>
      <c r="H58" s="44"/>
      <c r="I58" s="44"/>
      <c r="J58" s="44">
        <v>101828305556</v>
      </c>
      <c r="K58" s="44">
        <v>783805442</v>
      </c>
      <c r="L58" s="44">
        <v>162454004</v>
      </c>
      <c r="M58" s="54">
        <v>621351439</v>
      </c>
      <c r="N58" s="44">
        <v>114174142531.64999</v>
      </c>
      <c r="O58" s="44">
        <v>574627134.37</v>
      </c>
      <c r="P58" s="224">
        <v>114568269899</v>
      </c>
      <c r="Q58" s="48">
        <f t="shared" si="20"/>
        <v>0.29627865978841678</v>
      </c>
      <c r="R58" s="56">
        <v>113599515397</v>
      </c>
      <c r="S58" s="48">
        <f t="shared" si="21"/>
        <v>0.30039861967921211</v>
      </c>
      <c r="T58" s="49">
        <f>((R58-P58)/P58)</f>
        <v>-8.4556963533971956E-3</v>
      </c>
      <c r="U58" s="87">
        <f t="shared" si="22"/>
        <v>1.4300589525603749E-3</v>
      </c>
      <c r="V58" s="50">
        <f t="shared" si="23"/>
        <v>5.4696662818370526E-3</v>
      </c>
      <c r="W58" s="51">
        <f t="shared" si="24"/>
        <v>1.9606265182683735</v>
      </c>
      <c r="X58" s="51">
        <f t="shared" si="25"/>
        <v>1.0723972758248101E-2</v>
      </c>
      <c r="Y58" s="204">
        <v>1.96</v>
      </c>
      <c r="Z58" s="204">
        <v>1.96</v>
      </c>
      <c r="AA58" s="205">
        <v>2690</v>
      </c>
      <c r="AB58" s="206">
        <v>57940415647</v>
      </c>
      <c r="AC58" s="13"/>
      <c r="AD58" s="4"/>
      <c r="AE58" s="4"/>
      <c r="AF58" s="4"/>
      <c r="AG58" s="5"/>
      <c r="AH58" s="6"/>
      <c r="AI58" s="6"/>
      <c r="AJ58" s="6"/>
      <c r="AK58" s="7"/>
      <c r="AL58" s="5"/>
      <c r="AM58" s="6"/>
      <c r="AN58" s="6"/>
      <c r="AO58" s="6"/>
      <c r="AP58" s="7"/>
      <c r="AQ58" s="5"/>
      <c r="AR58" s="6"/>
      <c r="AS58" s="6"/>
      <c r="AT58" s="6"/>
      <c r="AU58" s="7"/>
    </row>
    <row r="59" spans="1:257" ht="16.5" customHeight="1" x14ac:dyDescent="0.3">
      <c r="A59" s="156">
        <v>52</v>
      </c>
      <c r="B59" s="120" t="s">
        <v>46</v>
      </c>
      <c r="C59" s="86" t="s">
        <v>103</v>
      </c>
      <c r="D59" s="44">
        <v>46371250</v>
      </c>
      <c r="E59" s="44"/>
      <c r="F59" s="44">
        <v>138700000</v>
      </c>
      <c r="G59" s="44">
        <v>10922401106.030001</v>
      </c>
      <c r="H59" s="44"/>
      <c r="I59" s="44"/>
      <c r="J59" s="44">
        <v>11107472356.030001</v>
      </c>
      <c r="K59" s="44">
        <v>54574504.840000004</v>
      </c>
      <c r="L59" s="44">
        <v>8617040.8200000003</v>
      </c>
      <c r="M59" s="54">
        <v>47682464.020000003</v>
      </c>
      <c r="N59" s="44">
        <v>11109552496.360001</v>
      </c>
      <c r="O59" s="44">
        <v>274452281.73000002</v>
      </c>
      <c r="P59" s="224">
        <v>11013410368.07</v>
      </c>
      <c r="Q59" s="48">
        <f t="shared" si="20"/>
        <v>2.8481170802598588E-2</v>
      </c>
      <c r="R59" s="56">
        <v>10835100214.620001</v>
      </c>
      <c r="S59" s="48">
        <f t="shared" si="21"/>
        <v>2.8651963322052505E-2</v>
      </c>
      <c r="T59" s="49">
        <f t="shared" ref="T59:T99" si="26">((R59-P59)/P59)</f>
        <v>-1.6190275989983481E-2</v>
      </c>
      <c r="U59" s="87">
        <f t="shared" si="22"/>
        <v>7.9528944350444196E-4</v>
      </c>
      <c r="V59" s="50">
        <f t="shared" si="23"/>
        <v>4.4007404708321174E-3</v>
      </c>
      <c r="W59" s="51">
        <f t="shared" si="24"/>
        <v>1.0000253974216506</v>
      </c>
      <c r="X59" s="51">
        <f t="shared" si="25"/>
        <v>4.4008522382934304E-3</v>
      </c>
      <c r="Y59" s="204">
        <v>1</v>
      </c>
      <c r="Z59" s="204">
        <v>1</v>
      </c>
      <c r="AA59" s="205">
        <v>4558</v>
      </c>
      <c r="AB59" s="206">
        <v>10834825038</v>
      </c>
      <c r="AC59" s="13"/>
      <c r="AD59" s="4"/>
      <c r="AE59" s="4"/>
      <c r="AF59" s="4"/>
      <c r="AG59" s="5"/>
      <c r="AH59" s="6"/>
      <c r="AI59" s="6"/>
      <c r="AJ59" s="6"/>
      <c r="AK59" s="7"/>
      <c r="AL59" s="5"/>
      <c r="AM59" s="6"/>
      <c r="AN59" s="6"/>
      <c r="AO59" s="6"/>
      <c r="AP59" s="7"/>
      <c r="AQ59" s="5"/>
      <c r="AR59" s="6"/>
      <c r="AS59" s="6"/>
      <c r="AT59" s="6"/>
      <c r="AU59" s="7"/>
    </row>
    <row r="60" spans="1:257" ht="16.5" customHeight="1" x14ac:dyDescent="0.3">
      <c r="A60" s="156">
        <v>53</v>
      </c>
      <c r="B60" s="122" t="s">
        <v>77</v>
      </c>
      <c r="C60" s="85" t="s">
        <v>116</v>
      </c>
      <c r="D60" s="44"/>
      <c r="E60" s="44"/>
      <c r="F60" s="44">
        <v>1333361058.3099999</v>
      </c>
      <c r="G60" s="44">
        <v>3222319575.0500002</v>
      </c>
      <c r="H60" s="44"/>
      <c r="I60" s="44"/>
      <c r="J60" s="44">
        <v>4555680633.3599997</v>
      </c>
      <c r="K60" s="44">
        <v>37785872.310000002</v>
      </c>
      <c r="L60" s="44">
        <v>6566008.2199999997</v>
      </c>
      <c r="M60" s="54">
        <v>31219864.09</v>
      </c>
      <c r="N60" s="44">
        <v>4676794286.21</v>
      </c>
      <c r="O60" s="44">
        <v>33673777.590000004</v>
      </c>
      <c r="P60" s="224">
        <v>4854494328.4700003</v>
      </c>
      <c r="Q60" s="48">
        <f t="shared" si="20"/>
        <v>1.2553939016950415E-2</v>
      </c>
      <c r="R60" s="56">
        <v>4643120508.6199999</v>
      </c>
      <c r="S60" s="48">
        <f t="shared" si="21"/>
        <v>1.22781068820521E-2</v>
      </c>
      <c r="T60" s="49">
        <f>((R60-P60)/P60)</f>
        <v>-4.3541882129795269E-2</v>
      </c>
      <c r="U60" s="87">
        <f>(L60/R60)</f>
        <v>1.4141369382530864E-3</v>
      </c>
      <c r="V60" s="50">
        <f>M60/R60</f>
        <v>6.7238970067737868E-3</v>
      </c>
      <c r="W60" s="51">
        <f>R60/AB60</f>
        <v>24.880407835138815</v>
      </c>
      <c r="X60" s="51">
        <f>M60/AB60</f>
        <v>0.16729329977000093</v>
      </c>
      <c r="Y60" s="204">
        <v>24.880700000000001</v>
      </c>
      <c r="Z60" s="204">
        <v>24.880700000000001</v>
      </c>
      <c r="AA60" s="205">
        <v>1418</v>
      </c>
      <c r="AB60" s="206">
        <v>186617540.16999999</v>
      </c>
      <c r="AC60" s="13"/>
      <c r="AD60" s="4"/>
      <c r="AE60" s="4"/>
      <c r="AF60" s="4"/>
      <c r="AG60" s="5"/>
      <c r="AH60" s="6"/>
      <c r="AI60" s="6"/>
      <c r="AJ60" s="6"/>
      <c r="AK60" s="7"/>
      <c r="AL60" s="5"/>
      <c r="AM60" s="6"/>
      <c r="AN60" s="6"/>
      <c r="AO60" s="6"/>
      <c r="AP60" s="7"/>
      <c r="AQ60" s="5"/>
      <c r="AR60" s="6"/>
      <c r="AS60" s="6"/>
      <c r="AT60" s="6"/>
      <c r="AU60" s="7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  <c r="CI60" s="31"/>
      <c r="CJ60" s="31"/>
      <c r="CK60" s="31"/>
      <c r="CL60" s="31"/>
      <c r="CM60" s="31"/>
      <c r="CN60" s="31"/>
      <c r="CO60" s="31"/>
      <c r="CP60" s="31"/>
      <c r="CQ60" s="31"/>
      <c r="CR60" s="31"/>
      <c r="CS60" s="31"/>
      <c r="CT60" s="31"/>
      <c r="CU60" s="31"/>
      <c r="CV60" s="31"/>
      <c r="CW60" s="31"/>
      <c r="CX60" s="31"/>
      <c r="CY60" s="31"/>
      <c r="CZ60" s="31"/>
      <c r="DA60" s="31"/>
      <c r="DB60" s="31"/>
      <c r="DC60" s="31"/>
      <c r="DD60" s="31"/>
      <c r="DE60" s="31"/>
      <c r="DF60" s="31"/>
      <c r="DG60" s="31"/>
      <c r="DH60" s="31"/>
      <c r="DI60" s="31"/>
      <c r="DJ60" s="31"/>
      <c r="DK60" s="31"/>
      <c r="DL60" s="31"/>
      <c r="DM60" s="31"/>
      <c r="DN60" s="31"/>
      <c r="DO60" s="31"/>
      <c r="DP60" s="31"/>
      <c r="DQ60" s="31"/>
      <c r="DR60" s="31"/>
      <c r="DS60" s="31"/>
      <c r="DT60" s="31"/>
      <c r="DU60" s="31"/>
      <c r="DV60" s="31"/>
      <c r="DW60" s="31"/>
      <c r="DX60" s="31"/>
      <c r="DY60" s="31"/>
      <c r="DZ60" s="31"/>
      <c r="EA60" s="31"/>
      <c r="EB60" s="31"/>
      <c r="EC60" s="31"/>
      <c r="ED60" s="31"/>
      <c r="EE60" s="31"/>
      <c r="EF60" s="31"/>
      <c r="EG60" s="31"/>
      <c r="EH60" s="31"/>
      <c r="EI60" s="31"/>
      <c r="EJ60" s="31"/>
      <c r="EK60" s="31"/>
      <c r="EL60" s="31"/>
      <c r="EM60" s="31"/>
      <c r="EN60" s="31"/>
      <c r="EO60" s="31"/>
      <c r="EP60" s="31"/>
      <c r="EQ60" s="31"/>
      <c r="ER60" s="31"/>
      <c r="ES60" s="31"/>
      <c r="ET60" s="31"/>
      <c r="EU60" s="31"/>
      <c r="EV60" s="31"/>
      <c r="EW60" s="31"/>
      <c r="EX60" s="31"/>
      <c r="EY60" s="31"/>
      <c r="EZ60" s="31"/>
      <c r="FA60" s="31"/>
      <c r="FB60" s="31"/>
      <c r="FC60" s="31"/>
      <c r="FD60" s="31"/>
      <c r="FE60" s="31"/>
      <c r="FF60" s="31"/>
      <c r="FG60" s="31"/>
      <c r="FH60" s="31"/>
      <c r="FI60" s="31"/>
      <c r="FJ60" s="31"/>
      <c r="FK60" s="31"/>
      <c r="FL60" s="31"/>
      <c r="FM60" s="31"/>
      <c r="FN60" s="31"/>
      <c r="FO60" s="31"/>
      <c r="FP60" s="31"/>
      <c r="FQ60" s="31"/>
      <c r="FR60" s="31"/>
      <c r="FS60" s="31"/>
      <c r="FT60" s="31"/>
      <c r="FU60" s="31"/>
      <c r="FV60" s="31"/>
      <c r="FW60" s="31"/>
      <c r="FX60" s="31"/>
      <c r="FY60" s="31"/>
      <c r="FZ60" s="31"/>
      <c r="GA60" s="31"/>
      <c r="GB60" s="31"/>
      <c r="GC60" s="31"/>
      <c r="GD60" s="31"/>
      <c r="GE60" s="31"/>
      <c r="GF60" s="31"/>
      <c r="GG60" s="31"/>
      <c r="GH60" s="31"/>
      <c r="GI60" s="31"/>
      <c r="GJ60" s="31"/>
      <c r="GK60" s="31"/>
      <c r="GL60" s="31"/>
      <c r="GM60" s="31"/>
      <c r="GN60" s="31"/>
      <c r="GO60" s="31"/>
      <c r="GP60" s="31"/>
      <c r="GQ60" s="31"/>
      <c r="GR60" s="31"/>
      <c r="GS60" s="31"/>
      <c r="GT60" s="31"/>
      <c r="GU60" s="31"/>
      <c r="GV60" s="31"/>
      <c r="GW60" s="31"/>
      <c r="GX60" s="31"/>
      <c r="GY60" s="31"/>
      <c r="GZ60" s="31"/>
      <c r="HA60" s="31"/>
      <c r="HB60" s="31"/>
      <c r="HC60" s="31"/>
      <c r="HD60" s="31"/>
      <c r="HE60" s="31"/>
      <c r="HF60" s="31"/>
      <c r="HG60" s="31"/>
      <c r="HH60" s="31"/>
      <c r="HI60" s="31"/>
      <c r="HJ60" s="31"/>
      <c r="HK60" s="31"/>
      <c r="HL60" s="31"/>
      <c r="HM60" s="31"/>
      <c r="HN60" s="31"/>
      <c r="HO60" s="31"/>
      <c r="HP60" s="31"/>
      <c r="HQ60" s="31"/>
      <c r="HR60" s="31"/>
      <c r="HS60" s="31"/>
      <c r="HT60" s="31"/>
      <c r="HU60" s="31"/>
      <c r="HV60" s="31"/>
      <c r="HW60" s="31"/>
      <c r="HX60" s="31"/>
      <c r="HY60" s="31"/>
      <c r="HZ60" s="31"/>
      <c r="IA60" s="31"/>
      <c r="IB60" s="31"/>
      <c r="IC60" s="31"/>
      <c r="ID60" s="31"/>
      <c r="IE60" s="31"/>
      <c r="IF60" s="31"/>
      <c r="IG60" s="31"/>
      <c r="IH60" s="31"/>
      <c r="II60" s="31"/>
      <c r="IJ60" s="31"/>
      <c r="IK60" s="31"/>
      <c r="IL60" s="31"/>
      <c r="IM60" s="31"/>
      <c r="IN60" s="31"/>
      <c r="IO60" s="31"/>
      <c r="IP60" s="31"/>
      <c r="IQ60" s="31"/>
      <c r="IR60" s="31"/>
      <c r="IS60" s="31"/>
      <c r="IT60" s="31"/>
      <c r="IU60" s="31"/>
      <c r="IV60" s="31"/>
      <c r="IW60" s="31"/>
    </row>
    <row r="61" spans="1:257" ht="16.5" customHeight="1" x14ac:dyDescent="0.3">
      <c r="A61" s="156">
        <v>54</v>
      </c>
      <c r="B61" s="120" t="s">
        <v>104</v>
      </c>
      <c r="C61" s="86" t="s">
        <v>105</v>
      </c>
      <c r="D61" s="44"/>
      <c r="E61" s="44"/>
      <c r="F61" s="44">
        <v>94710763.230000004</v>
      </c>
      <c r="G61" s="44">
        <v>383242882.25</v>
      </c>
      <c r="H61" s="44"/>
      <c r="I61" s="44"/>
      <c r="J61" s="44">
        <v>477953645.48000002</v>
      </c>
      <c r="K61" s="44">
        <v>3332258.5</v>
      </c>
      <c r="L61" s="44">
        <v>829627.49</v>
      </c>
      <c r="M61" s="54">
        <v>2502631.0099999998</v>
      </c>
      <c r="N61" s="44">
        <v>480969219.75999999</v>
      </c>
      <c r="O61" s="44">
        <v>8030493.5999999996</v>
      </c>
      <c r="P61" s="224">
        <v>472758393.11000001</v>
      </c>
      <c r="Q61" s="48">
        <f t="shared" si="20"/>
        <v>1.2225743064623066E-3</v>
      </c>
      <c r="R61" s="56">
        <v>472938726.16000003</v>
      </c>
      <c r="S61" s="48">
        <f t="shared" si="21"/>
        <v>1.2506227692504817E-3</v>
      </c>
      <c r="T61" s="49">
        <f t="shared" si="26"/>
        <v>3.8144864824864687E-4</v>
      </c>
      <c r="U61" s="87">
        <f t="shared" si="22"/>
        <v>1.7541965673568641E-3</v>
      </c>
      <c r="V61" s="50">
        <f t="shared" si="23"/>
        <v>5.2916601487046208E-3</v>
      </c>
      <c r="W61" s="51">
        <f t="shared" si="24"/>
        <v>2.0605265579787826</v>
      </c>
      <c r="X61" s="51">
        <f t="shared" si="25"/>
        <v>1.0903606272203827E-2</v>
      </c>
      <c r="Y61" s="204">
        <v>2.0527000000000002</v>
      </c>
      <c r="Z61" s="204">
        <v>2.0527000000000002</v>
      </c>
      <c r="AA61" s="205">
        <v>1439</v>
      </c>
      <c r="AB61" s="206">
        <v>229523237.31459999</v>
      </c>
      <c r="AC61" s="13"/>
      <c r="AD61" s="4"/>
      <c r="AE61" s="4"/>
      <c r="AF61" s="4"/>
      <c r="AG61" s="5"/>
      <c r="AH61" s="6"/>
      <c r="AI61" s="6"/>
      <c r="AJ61" s="6"/>
      <c r="AK61" s="7"/>
      <c r="AL61" s="5"/>
      <c r="AM61" s="6"/>
      <c r="AN61" s="6"/>
      <c r="AO61" s="6"/>
      <c r="AP61" s="7"/>
      <c r="AQ61" s="5"/>
      <c r="AR61" s="6"/>
      <c r="AS61" s="6"/>
      <c r="AT61" s="6"/>
      <c r="AU61" s="7"/>
    </row>
    <row r="62" spans="1:257" ht="18" customHeight="1" x14ac:dyDescent="0.3">
      <c r="A62" s="156">
        <v>55</v>
      </c>
      <c r="B62" s="120" t="s">
        <v>25</v>
      </c>
      <c r="C62" s="86" t="s">
        <v>106</v>
      </c>
      <c r="D62" s="44"/>
      <c r="E62" s="44"/>
      <c r="F62" s="44">
        <v>2171402035.0500002</v>
      </c>
      <c r="G62" s="44">
        <v>22451696191.34</v>
      </c>
      <c r="H62" s="44"/>
      <c r="I62" s="44"/>
      <c r="J62" s="44">
        <v>24657272789.299999</v>
      </c>
      <c r="K62" s="44">
        <v>176112651.68000001</v>
      </c>
      <c r="L62" s="44">
        <v>36694722.759999998</v>
      </c>
      <c r="M62" s="54">
        <v>139417928.91999999</v>
      </c>
      <c r="N62" s="44">
        <v>24811310170.349998</v>
      </c>
      <c r="O62" s="44">
        <v>122181067.12</v>
      </c>
      <c r="P62" s="224">
        <v>25096593510.52</v>
      </c>
      <c r="Q62" s="48">
        <f t="shared" si="20"/>
        <v>6.4900911021057883E-2</v>
      </c>
      <c r="R62" s="56">
        <v>24689129103.23</v>
      </c>
      <c r="S62" s="48">
        <f t="shared" si="21"/>
        <v>6.528707695427384E-2</v>
      </c>
      <c r="T62" s="49">
        <f t="shared" si="26"/>
        <v>-1.623584520023404E-2</v>
      </c>
      <c r="U62" s="87">
        <f t="shared" si="22"/>
        <v>1.4862704393732277E-3</v>
      </c>
      <c r="V62" s="50">
        <f t="shared" si="23"/>
        <v>5.6469358776110243E-3</v>
      </c>
      <c r="W62" s="51">
        <f t="shared" si="24"/>
        <v>313.18735565532018</v>
      </c>
      <c r="X62" s="51">
        <f t="shared" si="25"/>
        <v>1.7685489150641514</v>
      </c>
      <c r="Y62" s="204">
        <v>313.19</v>
      </c>
      <c r="Z62" s="204">
        <v>313.19</v>
      </c>
      <c r="AA62" s="205">
        <v>9685</v>
      </c>
      <c r="AB62" s="206">
        <v>78831819.540000007</v>
      </c>
      <c r="AC62" s="13"/>
      <c r="AD62" s="4"/>
      <c r="AE62" s="4"/>
      <c r="AF62" s="4"/>
      <c r="AG62" s="5"/>
      <c r="AH62" s="6"/>
      <c r="AI62" s="6"/>
      <c r="AJ62" s="6"/>
      <c r="AK62" s="7"/>
      <c r="AL62" s="5"/>
      <c r="AM62" s="6"/>
      <c r="AN62" s="6"/>
      <c r="AO62" s="6"/>
      <c r="AP62" s="7"/>
      <c r="AQ62" s="5"/>
      <c r="AR62" s="6"/>
      <c r="AS62" s="6"/>
      <c r="AT62" s="6"/>
      <c r="AU62" s="7"/>
    </row>
    <row r="63" spans="1:257" ht="16.5" customHeight="1" x14ac:dyDescent="0.3">
      <c r="A63" s="156">
        <v>56</v>
      </c>
      <c r="B63" s="120" t="s">
        <v>107</v>
      </c>
      <c r="C63" s="86" t="s">
        <v>108</v>
      </c>
      <c r="D63" s="44"/>
      <c r="E63" s="44"/>
      <c r="F63" s="44"/>
      <c r="G63" s="44">
        <v>5849106428.1899996</v>
      </c>
      <c r="H63" s="44"/>
      <c r="I63" s="44"/>
      <c r="J63" s="44">
        <v>5849106428.1899996</v>
      </c>
      <c r="K63" s="44">
        <v>49451397.789999999</v>
      </c>
      <c r="L63" s="44">
        <v>19386320.23</v>
      </c>
      <c r="M63" s="54">
        <v>30065126.629999999</v>
      </c>
      <c r="N63" s="44">
        <v>6194065372</v>
      </c>
      <c r="O63" s="44">
        <v>74635448</v>
      </c>
      <c r="P63" s="224">
        <v>6346560922</v>
      </c>
      <c r="Q63" s="48">
        <f t="shared" si="20"/>
        <v>1.6412489827186533E-2</v>
      </c>
      <c r="R63" s="56">
        <v>6119429924</v>
      </c>
      <c r="S63" s="48">
        <f t="shared" si="21"/>
        <v>1.6182008311998591E-2</v>
      </c>
      <c r="T63" s="49">
        <f t="shared" si="26"/>
        <v>-3.578804344454696E-2</v>
      </c>
      <c r="U63" s="87">
        <f t="shared" si="22"/>
        <v>3.1679944816376004E-3</v>
      </c>
      <c r="V63" s="50">
        <f t="shared" si="23"/>
        <v>4.9130600404600697E-3</v>
      </c>
      <c r="W63" s="51">
        <f t="shared" si="24"/>
        <v>0.92592592592592593</v>
      </c>
      <c r="X63" s="51">
        <f t="shared" si="25"/>
        <v>4.549129667092657E-3</v>
      </c>
      <c r="Y63" s="204">
        <v>1.08</v>
      </c>
      <c r="Z63" s="204">
        <v>1.08</v>
      </c>
      <c r="AA63" s="205">
        <v>2012</v>
      </c>
      <c r="AB63" s="206">
        <v>6608984317.9200001</v>
      </c>
      <c r="AC63" s="13"/>
      <c r="AD63" s="4"/>
      <c r="AE63" s="4"/>
      <c r="AF63" s="4"/>
      <c r="AG63" s="5"/>
      <c r="AH63" s="6"/>
      <c r="AI63" s="6"/>
      <c r="AJ63" s="6"/>
      <c r="AK63" s="7"/>
      <c r="AL63" s="5"/>
      <c r="AM63" s="6"/>
      <c r="AN63" s="6"/>
      <c r="AO63" s="6"/>
      <c r="AP63" s="7"/>
      <c r="AQ63" s="5"/>
      <c r="AR63" s="6"/>
      <c r="AS63" s="6"/>
      <c r="AT63" s="6"/>
      <c r="AU63" s="7"/>
    </row>
    <row r="64" spans="1:257" ht="15.75" customHeight="1" x14ac:dyDescent="0.3">
      <c r="A64" s="156">
        <v>57</v>
      </c>
      <c r="B64" s="122" t="s">
        <v>27</v>
      </c>
      <c r="C64" s="120" t="s">
        <v>199</v>
      </c>
      <c r="D64" s="44"/>
      <c r="E64" s="44"/>
      <c r="F64" s="44">
        <v>3586897.31</v>
      </c>
      <c r="G64" s="44">
        <v>48748822.640000001</v>
      </c>
      <c r="H64" s="44"/>
      <c r="I64" s="44"/>
      <c r="J64" s="44">
        <v>52335719.950000003</v>
      </c>
      <c r="K64" s="212">
        <f>M64+L64</f>
        <v>44930297.920000002</v>
      </c>
      <c r="L64" s="212">
        <v>7412.83</v>
      </c>
      <c r="M64" s="54">
        <v>44922885.090000004</v>
      </c>
      <c r="N64" s="44">
        <v>6642026204.5600004</v>
      </c>
      <c r="O64" s="44">
        <v>23943835</v>
      </c>
      <c r="P64" s="224">
        <v>6925454515.75</v>
      </c>
      <c r="Q64" s="48">
        <f t="shared" si="20"/>
        <v>1.7909534499917924E-2</v>
      </c>
      <c r="R64" s="56">
        <v>6618082369.9300003</v>
      </c>
      <c r="S64" s="48">
        <f t="shared" si="21"/>
        <v>1.7500627550236916E-2</v>
      </c>
      <c r="T64" s="49">
        <f t="shared" si="26"/>
        <v>-4.4382956399607869E-2</v>
      </c>
      <c r="U64" s="87">
        <f>(L65/R64)</f>
        <v>6.5274323097397344E-3</v>
      </c>
      <c r="V64" s="50">
        <f t="shared" si="23"/>
        <v>6.7879005698255092E-3</v>
      </c>
      <c r="W64" s="51">
        <f t="shared" si="24"/>
        <v>152.53243705791141</v>
      </c>
      <c r="X64" s="51">
        <f t="shared" si="25"/>
        <v>1.0353750164222704</v>
      </c>
      <c r="Y64" s="213">
        <v>4</v>
      </c>
      <c r="Z64" s="213">
        <v>4</v>
      </c>
      <c r="AA64" s="214">
        <f>934+29</f>
        <v>963</v>
      </c>
      <c r="AB64" s="214">
        <v>43388032.719999999</v>
      </c>
      <c r="AC64" s="13"/>
      <c r="AD64" s="4"/>
      <c r="AE64" s="4"/>
      <c r="AF64" s="4"/>
      <c r="AG64" s="5"/>
      <c r="AH64" s="6"/>
      <c r="AI64" s="6"/>
      <c r="AJ64" s="6"/>
      <c r="AK64" s="7"/>
      <c r="AL64" s="5"/>
      <c r="AM64" s="6"/>
      <c r="AN64" s="6"/>
      <c r="AO64" s="6"/>
      <c r="AP64" s="7"/>
      <c r="AQ64" s="5"/>
      <c r="AR64" s="6"/>
      <c r="AS64" s="6"/>
      <c r="AT64" s="6"/>
      <c r="AU64" s="7"/>
    </row>
    <row r="65" spans="1:257" ht="16.5" customHeight="1" x14ac:dyDescent="0.3">
      <c r="A65" s="156">
        <v>58</v>
      </c>
      <c r="B65" s="120" t="s">
        <v>25</v>
      </c>
      <c r="C65" s="85" t="s">
        <v>109</v>
      </c>
      <c r="D65" s="44"/>
      <c r="E65" s="44"/>
      <c r="F65" s="44">
        <v>12302209415.51</v>
      </c>
      <c r="G65" s="44">
        <v>31940795457.509998</v>
      </c>
      <c r="H65" s="44"/>
      <c r="I65" s="44"/>
      <c r="J65" s="44">
        <v>44243004873.019997</v>
      </c>
      <c r="K65" s="44">
        <v>388994547.64999998</v>
      </c>
      <c r="L65" s="44">
        <v>43199084.689999998</v>
      </c>
      <c r="M65" s="54">
        <v>345795462.95999998</v>
      </c>
      <c r="N65" s="44">
        <v>45049830619.360001</v>
      </c>
      <c r="O65" s="44">
        <v>129145779.86</v>
      </c>
      <c r="P65" s="224">
        <v>42618805033.760002</v>
      </c>
      <c r="Q65" s="48">
        <f t="shared" si="20"/>
        <v>0.11021413213551946</v>
      </c>
      <c r="R65" s="56">
        <v>44920684839.5</v>
      </c>
      <c r="S65" s="48">
        <f t="shared" si="21"/>
        <v>0.11878670145442424</v>
      </c>
      <c r="T65" s="49">
        <f t="shared" si="26"/>
        <v>5.4010895047775037E-2</v>
      </c>
      <c r="U65" s="87">
        <f>(L66/R65)</f>
        <v>5.3528856663503272E-6</v>
      </c>
      <c r="V65" s="50">
        <f t="shared" si="23"/>
        <v>7.6979116457265686E-3</v>
      </c>
      <c r="W65" s="51">
        <f t="shared" si="24"/>
        <v>4255.2867465283271</v>
      </c>
      <c r="X65" s="51">
        <f t="shared" si="25"/>
        <v>32.756821402006331</v>
      </c>
      <c r="Y65" s="104">
        <v>4255.29</v>
      </c>
      <c r="Z65" s="104">
        <v>4255.29</v>
      </c>
      <c r="AA65" s="205">
        <v>517</v>
      </c>
      <c r="AB65" s="206">
        <v>10556441.32</v>
      </c>
      <c r="AC65" s="13"/>
      <c r="AD65" s="4"/>
      <c r="AE65" s="4"/>
      <c r="AF65" s="4"/>
      <c r="AG65" s="5"/>
      <c r="AH65" s="6"/>
      <c r="AI65" s="6"/>
      <c r="AJ65" s="6"/>
      <c r="AK65" s="7"/>
      <c r="AL65" s="5"/>
      <c r="AM65" s="6"/>
      <c r="AN65" s="6"/>
      <c r="AO65" s="6"/>
      <c r="AP65" s="7"/>
      <c r="AQ65" s="5"/>
      <c r="AR65" s="6"/>
      <c r="AS65" s="6"/>
      <c r="AT65" s="6"/>
      <c r="AU65" s="7"/>
    </row>
    <row r="66" spans="1:257" ht="16.5" customHeight="1" x14ac:dyDescent="0.3">
      <c r="A66" s="156">
        <v>59</v>
      </c>
      <c r="B66" s="120" t="s">
        <v>25</v>
      </c>
      <c r="C66" s="85" t="s">
        <v>110</v>
      </c>
      <c r="D66" s="44">
        <v>68995315.620000005</v>
      </c>
      <c r="E66" s="44"/>
      <c r="F66" s="44">
        <v>142009936.61000001</v>
      </c>
      <c r="G66" s="44">
        <v>30864223.489999998</v>
      </c>
      <c r="H66" s="44"/>
      <c r="I66" s="44"/>
      <c r="J66" s="44">
        <v>241869475.72</v>
      </c>
      <c r="K66" s="44">
        <v>1571074.69</v>
      </c>
      <c r="L66" s="44">
        <v>240455.29</v>
      </c>
      <c r="M66" s="54">
        <v>1045035.57</v>
      </c>
      <c r="N66" s="44">
        <v>245523416.78999999</v>
      </c>
      <c r="O66" s="44">
        <v>3187817.5</v>
      </c>
      <c r="P66" s="224">
        <v>241579439.87</v>
      </c>
      <c r="Q66" s="48">
        <f t="shared" si="20"/>
        <v>6.2473521456000232E-4</v>
      </c>
      <c r="R66" s="56">
        <v>242335599.28999999</v>
      </c>
      <c r="S66" s="48">
        <f t="shared" si="21"/>
        <v>6.4082385625892488E-4</v>
      </c>
      <c r="T66" s="49">
        <f t="shared" si="26"/>
        <v>3.1300652920086881E-3</v>
      </c>
      <c r="U66" s="87">
        <f t="shared" si="22"/>
        <v>9.9224088703637049E-4</v>
      </c>
      <c r="V66" s="50">
        <f t="shared" si="23"/>
        <v>4.3123485491267793E-3</v>
      </c>
      <c r="W66" s="51">
        <f t="shared" si="24"/>
        <v>3832.1514280771462</v>
      </c>
      <c r="X66" s="51">
        <f t="shared" si="25"/>
        <v>16.525572650902596</v>
      </c>
      <c r="Y66" s="104">
        <v>3818.44</v>
      </c>
      <c r="Z66" s="104">
        <v>3839.75</v>
      </c>
      <c r="AA66" s="205">
        <v>15</v>
      </c>
      <c r="AB66" s="206">
        <v>63237.48</v>
      </c>
      <c r="AC66" s="13"/>
      <c r="AD66" s="4"/>
      <c r="AE66" s="4"/>
      <c r="AF66" s="4"/>
      <c r="AG66" s="5"/>
      <c r="AH66" s="6"/>
      <c r="AI66" s="6"/>
      <c r="AJ66" s="6"/>
      <c r="AK66" s="7"/>
      <c r="AL66" s="5"/>
      <c r="AM66" s="6"/>
      <c r="AN66" s="6"/>
      <c r="AO66" s="6"/>
      <c r="AP66" s="7"/>
      <c r="AQ66" s="5"/>
      <c r="AR66" s="6"/>
      <c r="AS66" s="6"/>
      <c r="AT66" s="6"/>
      <c r="AU66" s="7"/>
    </row>
    <row r="67" spans="1:257" ht="16.5" customHeight="1" x14ac:dyDescent="0.3">
      <c r="A67" s="156">
        <v>60</v>
      </c>
      <c r="B67" s="122" t="s">
        <v>48</v>
      </c>
      <c r="C67" s="85" t="s">
        <v>113</v>
      </c>
      <c r="D67" s="44"/>
      <c r="E67" s="44"/>
      <c r="F67" s="44">
        <v>5869279.4500000002</v>
      </c>
      <c r="G67" s="44">
        <v>45957324.950000003</v>
      </c>
      <c r="H67" s="44"/>
      <c r="I67" s="44"/>
      <c r="J67" s="44">
        <v>51826604.399999999</v>
      </c>
      <c r="K67" s="44">
        <v>405036.58</v>
      </c>
      <c r="L67" s="44">
        <v>52967.4</v>
      </c>
      <c r="M67" s="54">
        <v>352069.18</v>
      </c>
      <c r="N67" s="44">
        <v>52307985.310000002</v>
      </c>
      <c r="O67" s="44">
        <v>164285.34</v>
      </c>
      <c r="P67" s="224">
        <v>51705946.439999998</v>
      </c>
      <c r="Q67" s="48">
        <f t="shared" si="20"/>
        <v>1.3371388542255164E-4</v>
      </c>
      <c r="R67" s="56">
        <v>52143699.979999997</v>
      </c>
      <c r="S67" s="48">
        <f t="shared" si="21"/>
        <v>1.3788699224831922E-4</v>
      </c>
      <c r="T67" s="49">
        <f>((R67-P67)/P67)</f>
        <v>8.4662126919574313E-3</v>
      </c>
      <c r="U67" s="87">
        <f>(L67/R67)</f>
        <v>1.015796731346566E-3</v>
      </c>
      <c r="V67" s="50">
        <f>M67/R67</f>
        <v>6.7519025334803256E-3</v>
      </c>
      <c r="W67" s="51">
        <f>R67/AB67</f>
        <v>11.159225103093522</v>
      </c>
      <c r="X67" s="51">
        <f>M67/AB67</f>
        <v>7.5346000245254396E-2</v>
      </c>
      <c r="Y67" s="104">
        <v>11.1592</v>
      </c>
      <c r="Z67" s="104">
        <v>11.1944</v>
      </c>
      <c r="AA67" s="205">
        <v>47</v>
      </c>
      <c r="AB67" s="206">
        <v>4672699</v>
      </c>
      <c r="AC67" s="13"/>
      <c r="AD67" s="4"/>
      <c r="AE67" s="4"/>
      <c r="AF67" s="4"/>
      <c r="AG67" s="5"/>
      <c r="AH67" s="6"/>
      <c r="AI67" s="6"/>
      <c r="AJ67" s="6"/>
      <c r="AK67" s="7"/>
      <c r="AL67" s="5"/>
      <c r="AM67" s="6"/>
      <c r="AN67" s="6"/>
      <c r="AO67" s="6"/>
      <c r="AP67" s="7"/>
      <c r="AQ67" s="5"/>
      <c r="AR67" s="6"/>
      <c r="AS67" s="6"/>
      <c r="AT67" s="6"/>
      <c r="AU67" s="7"/>
      <c r="AV67" s="31"/>
      <c r="AW67" s="31"/>
      <c r="AX67" s="31"/>
      <c r="AY67" s="31"/>
      <c r="AZ67" s="31"/>
      <c r="BA67" s="31"/>
      <c r="BB67" s="31"/>
      <c r="BC67" s="31"/>
      <c r="BD67" s="31"/>
      <c r="BE67" s="31"/>
      <c r="BF67" s="31"/>
      <c r="BG67" s="31"/>
      <c r="BH67" s="31"/>
      <c r="BI67" s="31"/>
      <c r="BJ67" s="31"/>
      <c r="BK67" s="31"/>
      <c r="BL67" s="31"/>
      <c r="BM67" s="31"/>
      <c r="BN67" s="31"/>
      <c r="BO67" s="31"/>
      <c r="BP67" s="31"/>
      <c r="BQ67" s="31"/>
      <c r="BR67" s="31"/>
      <c r="BS67" s="31"/>
      <c r="BT67" s="31"/>
      <c r="BU67" s="31"/>
      <c r="BV67" s="31"/>
      <c r="BW67" s="31"/>
      <c r="BX67" s="31"/>
      <c r="BY67" s="31"/>
      <c r="BZ67" s="31"/>
      <c r="CA67" s="31"/>
      <c r="CB67" s="31"/>
      <c r="CC67" s="31"/>
      <c r="CD67" s="31"/>
      <c r="CE67" s="31"/>
      <c r="CF67" s="31"/>
      <c r="CG67" s="31"/>
      <c r="CH67" s="31"/>
      <c r="CI67" s="31"/>
      <c r="CJ67" s="31"/>
      <c r="CK67" s="31"/>
      <c r="CL67" s="31"/>
      <c r="CM67" s="31"/>
      <c r="CN67" s="31"/>
      <c r="CO67" s="31"/>
      <c r="CP67" s="31"/>
      <c r="CQ67" s="31"/>
      <c r="CR67" s="31"/>
      <c r="CS67" s="31"/>
      <c r="CT67" s="31"/>
      <c r="CU67" s="31"/>
      <c r="CV67" s="31"/>
      <c r="CW67" s="31"/>
      <c r="CX67" s="31"/>
      <c r="CY67" s="31"/>
      <c r="CZ67" s="31"/>
      <c r="DA67" s="31"/>
      <c r="DB67" s="31"/>
      <c r="DC67" s="31"/>
      <c r="DD67" s="31"/>
      <c r="DE67" s="31"/>
      <c r="DF67" s="31"/>
      <c r="DG67" s="31"/>
      <c r="DH67" s="31"/>
      <c r="DI67" s="31"/>
      <c r="DJ67" s="31"/>
      <c r="DK67" s="31"/>
      <c r="DL67" s="31"/>
      <c r="DM67" s="31"/>
      <c r="DN67" s="31"/>
      <c r="DO67" s="31"/>
      <c r="DP67" s="31"/>
      <c r="DQ67" s="31"/>
      <c r="DR67" s="31"/>
      <c r="DS67" s="31"/>
      <c r="DT67" s="31"/>
      <c r="DU67" s="31"/>
      <c r="DV67" s="31"/>
      <c r="DW67" s="31"/>
      <c r="DX67" s="31"/>
      <c r="DY67" s="31"/>
      <c r="DZ67" s="31"/>
      <c r="EA67" s="31"/>
      <c r="EB67" s="31"/>
      <c r="EC67" s="31"/>
      <c r="ED67" s="31"/>
      <c r="EE67" s="31"/>
      <c r="EF67" s="31"/>
      <c r="EG67" s="31"/>
      <c r="EH67" s="31"/>
      <c r="EI67" s="31"/>
      <c r="EJ67" s="31"/>
      <c r="EK67" s="31"/>
      <c r="EL67" s="31"/>
      <c r="EM67" s="31"/>
      <c r="EN67" s="31"/>
      <c r="EO67" s="31"/>
      <c r="EP67" s="31"/>
      <c r="EQ67" s="31"/>
      <c r="ER67" s="31"/>
      <c r="ES67" s="31"/>
      <c r="ET67" s="31"/>
      <c r="EU67" s="31"/>
      <c r="EV67" s="31"/>
      <c r="EW67" s="31"/>
      <c r="EX67" s="31"/>
      <c r="EY67" s="31"/>
      <c r="EZ67" s="31"/>
      <c r="FA67" s="31"/>
      <c r="FB67" s="31"/>
      <c r="FC67" s="31"/>
      <c r="FD67" s="31"/>
      <c r="FE67" s="31"/>
      <c r="FF67" s="31"/>
      <c r="FG67" s="31"/>
      <c r="FH67" s="31"/>
      <c r="FI67" s="31"/>
      <c r="FJ67" s="31"/>
      <c r="FK67" s="31"/>
      <c r="FL67" s="31"/>
      <c r="FM67" s="31"/>
      <c r="FN67" s="31"/>
      <c r="FO67" s="31"/>
      <c r="FP67" s="31"/>
      <c r="FQ67" s="31"/>
      <c r="FR67" s="31"/>
      <c r="FS67" s="31"/>
      <c r="FT67" s="31"/>
      <c r="FU67" s="31"/>
      <c r="FV67" s="31"/>
      <c r="FW67" s="31"/>
      <c r="FX67" s="31"/>
      <c r="FY67" s="31"/>
      <c r="FZ67" s="31"/>
      <c r="GA67" s="31"/>
      <c r="GB67" s="31"/>
      <c r="GC67" s="31"/>
      <c r="GD67" s="31"/>
      <c r="GE67" s="31"/>
      <c r="GF67" s="31"/>
      <c r="GG67" s="31"/>
      <c r="GH67" s="31"/>
      <c r="GI67" s="31"/>
      <c r="GJ67" s="31"/>
      <c r="GK67" s="31"/>
      <c r="GL67" s="31"/>
      <c r="GM67" s="31"/>
      <c r="GN67" s="31"/>
      <c r="GO67" s="31"/>
      <c r="GP67" s="31"/>
      <c r="GQ67" s="31"/>
      <c r="GR67" s="31"/>
      <c r="GS67" s="31"/>
      <c r="GT67" s="31"/>
      <c r="GU67" s="31"/>
      <c r="GV67" s="31"/>
      <c r="GW67" s="31"/>
      <c r="GX67" s="31"/>
      <c r="GY67" s="31"/>
      <c r="GZ67" s="31"/>
      <c r="HA67" s="31"/>
      <c r="HB67" s="31"/>
      <c r="HC67" s="31"/>
      <c r="HD67" s="31"/>
      <c r="HE67" s="31"/>
      <c r="HF67" s="31"/>
      <c r="HG67" s="31"/>
      <c r="HH67" s="31"/>
      <c r="HI67" s="31"/>
      <c r="HJ67" s="31"/>
      <c r="HK67" s="31"/>
      <c r="HL67" s="31"/>
      <c r="HM67" s="31"/>
      <c r="HN67" s="31"/>
      <c r="HO67" s="31"/>
      <c r="HP67" s="31"/>
      <c r="HQ67" s="31"/>
      <c r="HR67" s="31"/>
      <c r="HS67" s="31"/>
      <c r="HT67" s="31"/>
      <c r="HU67" s="31"/>
      <c r="HV67" s="31"/>
      <c r="HW67" s="31"/>
      <c r="HX67" s="31"/>
      <c r="HY67" s="31"/>
      <c r="HZ67" s="31"/>
      <c r="IA67" s="31"/>
      <c r="IB67" s="31"/>
      <c r="IC67" s="31"/>
      <c r="ID67" s="31"/>
      <c r="IE67" s="31"/>
      <c r="IF67" s="31"/>
      <c r="IG67" s="31"/>
      <c r="IH67" s="31"/>
      <c r="II67" s="31"/>
      <c r="IJ67" s="31"/>
      <c r="IK67" s="31"/>
      <c r="IL67" s="31"/>
      <c r="IM67" s="31"/>
      <c r="IN67" s="31"/>
      <c r="IO67" s="31"/>
      <c r="IP67" s="31"/>
      <c r="IQ67" s="31"/>
      <c r="IR67" s="31"/>
      <c r="IS67" s="31"/>
      <c r="IT67" s="31"/>
      <c r="IU67" s="31"/>
      <c r="IV67" s="31"/>
      <c r="IW67" s="31"/>
    </row>
    <row r="68" spans="1:257" ht="16.5" customHeight="1" x14ac:dyDescent="0.3">
      <c r="A68" s="156">
        <v>61</v>
      </c>
      <c r="B68" s="120" t="s">
        <v>111</v>
      </c>
      <c r="C68" s="85" t="s">
        <v>112</v>
      </c>
      <c r="D68" s="44"/>
      <c r="E68" s="44"/>
      <c r="F68" s="44"/>
      <c r="G68" s="44">
        <v>4282065074.5300002</v>
      </c>
      <c r="H68" s="44"/>
      <c r="I68" s="44">
        <f>6940221529.02+5116195.67</f>
        <v>6945337724.6900005</v>
      </c>
      <c r="J68" s="44">
        <v>11227402799.219999</v>
      </c>
      <c r="K68" s="44">
        <v>289708501.26999998</v>
      </c>
      <c r="L68" s="44">
        <v>22301361.23</v>
      </c>
      <c r="M68" s="54">
        <v>141190375.33000001</v>
      </c>
      <c r="N68" s="44">
        <v>13776944669.780001</v>
      </c>
      <c r="O68" s="44">
        <v>239364647.77000001</v>
      </c>
      <c r="P68" s="224">
        <v>14879744488.08</v>
      </c>
      <c r="Q68" s="48">
        <f t="shared" si="20"/>
        <v>3.8479683413294725E-2</v>
      </c>
      <c r="R68" s="56">
        <v>13537580022.01</v>
      </c>
      <c r="S68" s="48">
        <f t="shared" si="21"/>
        <v>3.5798307221617573E-2</v>
      </c>
      <c r="T68" s="49">
        <f t="shared" si="26"/>
        <v>-9.0200773752882171E-2</v>
      </c>
      <c r="U68" s="87">
        <f t="shared" si="22"/>
        <v>1.6473668996778933E-3</v>
      </c>
      <c r="V68" s="50">
        <f t="shared" si="23"/>
        <v>1.0429513628022616E-2</v>
      </c>
      <c r="W68" s="51">
        <f t="shared" si="24"/>
        <v>1161.4713244223024</v>
      </c>
      <c r="X68" s="51">
        <f t="shared" si="25"/>
        <v>12.11358100661988</v>
      </c>
      <c r="Y68" s="104">
        <v>1161.47</v>
      </c>
      <c r="Z68" s="104">
        <v>1161.47</v>
      </c>
      <c r="AA68" s="205">
        <v>5250</v>
      </c>
      <c r="AB68" s="206">
        <v>11655543.91</v>
      </c>
      <c r="AC68" s="13"/>
      <c r="AD68" s="4"/>
      <c r="AE68" s="4"/>
      <c r="AF68" s="4"/>
      <c r="AG68" s="5"/>
      <c r="AH68" s="6"/>
      <c r="AI68" s="6"/>
      <c r="AJ68" s="6"/>
      <c r="AK68" s="7"/>
      <c r="AL68" s="5"/>
      <c r="AM68" s="6"/>
      <c r="AN68" s="6"/>
      <c r="AO68" s="6"/>
      <c r="AP68" s="7"/>
      <c r="AQ68" s="5"/>
      <c r="AR68" s="6"/>
      <c r="AS68" s="6"/>
      <c r="AT68" s="6"/>
      <c r="AU68" s="7"/>
    </row>
    <row r="69" spans="1:257" ht="18.75" customHeight="1" x14ac:dyDescent="0.35">
      <c r="A69" s="156">
        <v>62</v>
      </c>
      <c r="B69" s="120" t="s">
        <v>81</v>
      </c>
      <c r="C69" s="86" t="s">
        <v>155</v>
      </c>
      <c r="D69" s="44"/>
      <c r="E69" s="44"/>
      <c r="F69" s="44"/>
      <c r="G69" s="44">
        <v>15000000</v>
      </c>
      <c r="H69" s="44"/>
      <c r="I69" s="44"/>
      <c r="J69" s="44">
        <v>21925388.73</v>
      </c>
      <c r="K69" s="44">
        <v>36717</v>
      </c>
      <c r="L69" s="44">
        <v>170791.22</v>
      </c>
      <c r="M69" s="54">
        <v>-134074</v>
      </c>
      <c r="N69" s="44">
        <v>219253888.72999999</v>
      </c>
      <c r="O69" s="44">
        <v>1569422.52</v>
      </c>
      <c r="P69" s="224">
        <v>20645273</v>
      </c>
      <c r="Q69" s="48">
        <f t="shared" si="20"/>
        <v>5.3389597493253028E-5</v>
      </c>
      <c r="R69" s="56">
        <v>20355966.210000001</v>
      </c>
      <c r="S69" s="48">
        <f t="shared" si="21"/>
        <v>5.3828611243196981E-5</v>
      </c>
      <c r="T69" s="49">
        <f t="shared" si="26"/>
        <v>-1.4013221815957537E-2</v>
      </c>
      <c r="U69" s="87">
        <f t="shared" si="22"/>
        <v>8.3902290973590678E-3</v>
      </c>
      <c r="V69" s="50">
        <f t="shared" si="23"/>
        <v>-6.5864719275342126E-3</v>
      </c>
      <c r="W69" s="51">
        <f t="shared" si="24"/>
        <v>0.76292249761211539</v>
      </c>
      <c r="X69" s="51">
        <f t="shared" si="25"/>
        <v>-5.0249676134064853E-3</v>
      </c>
      <c r="Y69" s="104">
        <v>0.75</v>
      </c>
      <c r="Z69" s="104">
        <v>0.77</v>
      </c>
      <c r="AA69" s="205">
        <v>751</v>
      </c>
      <c r="AB69" s="206">
        <v>26681565</v>
      </c>
      <c r="AC69" s="37"/>
      <c r="AD69" s="33"/>
      <c r="AE69" s="34"/>
      <c r="AF69" s="4"/>
      <c r="AG69" s="5"/>
      <c r="AH69" s="6"/>
      <c r="AI69" s="6"/>
      <c r="AJ69" s="6"/>
      <c r="AK69" s="7"/>
      <c r="AL69" s="5"/>
      <c r="AM69" s="6"/>
      <c r="AN69" s="6"/>
      <c r="AO69" s="6"/>
      <c r="AP69" s="7"/>
      <c r="AQ69" s="5"/>
      <c r="AR69" s="6"/>
      <c r="AS69" s="6"/>
      <c r="AT69" s="6"/>
      <c r="AU69" s="7"/>
    </row>
    <row r="70" spans="1:257" ht="16.5" customHeight="1" x14ac:dyDescent="0.3">
      <c r="A70" s="156">
        <v>63</v>
      </c>
      <c r="B70" s="120" t="s">
        <v>73</v>
      </c>
      <c r="C70" s="86" t="s">
        <v>200</v>
      </c>
      <c r="D70" s="44"/>
      <c r="E70" s="44"/>
      <c r="F70" s="44">
        <v>271706908.94</v>
      </c>
      <c r="G70" s="44">
        <v>382979834</v>
      </c>
      <c r="H70" s="44"/>
      <c r="I70" s="44"/>
      <c r="J70" s="44">
        <v>857770352.29999995</v>
      </c>
      <c r="K70" s="44">
        <v>7805362</v>
      </c>
      <c r="L70" s="44">
        <v>1174288.98</v>
      </c>
      <c r="M70" s="54">
        <v>6631073.0199999996</v>
      </c>
      <c r="N70" s="44">
        <v>857470390.94000006</v>
      </c>
      <c r="O70" s="44">
        <v>16208536.060000001</v>
      </c>
      <c r="P70" s="224">
        <v>814594764.63</v>
      </c>
      <c r="Q70" s="48">
        <f t="shared" si="20"/>
        <v>2.1065784213028758E-3</v>
      </c>
      <c r="R70" s="56">
        <v>841261854.88</v>
      </c>
      <c r="S70" s="48">
        <f t="shared" si="21"/>
        <v>2.2246036799678059E-3</v>
      </c>
      <c r="T70" s="49">
        <f>((R70-P70)/P70)</f>
        <v>3.273663348685104E-2</v>
      </c>
      <c r="U70" s="87">
        <f t="shared" si="22"/>
        <v>1.3958661898054369E-3</v>
      </c>
      <c r="V70" s="50">
        <f t="shared" si="23"/>
        <v>7.8822937014609729E-3</v>
      </c>
      <c r="W70" s="51">
        <f t="shared" si="24"/>
        <v>1147.9741422962979</v>
      </c>
      <c r="X70" s="51">
        <f t="shared" si="25"/>
        <v>9.0486693512621734</v>
      </c>
      <c r="Y70" s="104">
        <v>1171.1300000000001</v>
      </c>
      <c r="Z70" s="104">
        <v>1171.1600000000001</v>
      </c>
      <c r="AA70" s="205">
        <v>120</v>
      </c>
      <c r="AB70" s="206">
        <v>732823</v>
      </c>
      <c r="AC70" s="13"/>
      <c r="AD70" s="4"/>
      <c r="AE70" s="4"/>
      <c r="AF70" s="4"/>
      <c r="AG70" s="5"/>
      <c r="AH70" s="6"/>
      <c r="AI70" s="6"/>
      <c r="AJ70" s="6"/>
      <c r="AK70" s="7"/>
      <c r="AL70" s="5"/>
      <c r="AM70" s="6"/>
      <c r="AN70" s="6"/>
      <c r="AO70" s="6"/>
      <c r="AP70" s="7"/>
      <c r="AQ70" s="5"/>
      <c r="AR70" s="6"/>
      <c r="AS70" s="6"/>
      <c r="AT70" s="6"/>
      <c r="AU70" s="7"/>
    </row>
    <row r="71" spans="1:257" ht="16.5" customHeight="1" x14ac:dyDescent="0.3">
      <c r="A71" s="156">
        <v>64</v>
      </c>
      <c r="B71" s="120" t="s">
        <v>46</v>
      </c>
      <c r="C71" s="86" t="s">
        <v>115</v>
      </c>
      <c r="D71" s="44"/>
      <c r="E71" s="44"/>
      <c r="F71" s="44">
        <v>7651261.4500000002</v>
      </c>
      <c r="G71" s="44">
        <v>173939428.52000001</v>
      </c>
      <c r="H71" s="44"/>
      <c r="I71" s="44"/>
      <c r="J71" s="44">
        <v>181590689.97</v>
      </c>
      <c r="K71" s="44">
        <v>1333306.6599999999</v>
      </c>
      <c r="L71" s="44">
        <v>2250353.29</v>
      </c>
      <c r="M71" s="54">
        <v>-917046.63</v>
      </c>
      <c r="N71" s="44">
        <v>181616186.19</v>
      </c>
      <c r="O71" s="44">
        <v>5393233.9100000001</v>
      </c>
      <c r="P71" s="224">
        <v>175934847.90000001</v>
      </c>
      <c r="Q71" s="48">
        <f t="shared" si="20"/>
        <v>4.5497536963631785E-4</v>
      </c>
      <c r="R71" s="56">
        <v>176222952.28</v>
      </c>
      <c r="S71" s="48">
        <f t="shared" si="21"/>
        <v>4.6599786482984994E-4</v>
      </c>
      <c r="T71" s="49">
        <f t="shared" si="26"/>
        <v>1.6375629014881209E-3</v>
      </c>
      <c r="U71" s="87">
        <f t="shared" si="22"/>
        <v>1.2769921629870449E-2</v>
      </c>
      <c r="V71" s="50">
        <f t="shared" si="23"/>
        <v>-5.2039000489726671E-3</v>
      </c>
      <c r="W71" s="51">
        <f t="shared" si="24"/>
        <v>146.05145805098945</v>
      </c>
      <c r="X71" s="51">
        <f t="shared" si="25"/>
        <v>-0.76003718970407352</v>
      </c>
      <c r="Y71" s="204">
        <v>143.28</v>
      </c>
      <c r="Z71" s="204">
        <v>143.33000000000001</v>
      </c>
      <c r="AA71" s="205">
        <v>16</v>
      </c>
      <c r="AB71" s="206">
        <v>1206581.26</v>
      </c>
      <c r="AC71" s="13"/>
      <c r="AD71" s="4"/>
      <c r="AE71" s="4"/>
      <c r="AF71" s="4"/>
      <c r="AG71" s="5"/>
      <c r="AH71" s="6"/>
      <c r="AI71" s="6"/>
      <c r="AJ71" s="6"/>
      <c r="AK71" s="7"/>
      <c r="AL71" s="5"/>
      <c r="AM71" s="6"/>
      <c r="AN71" s="6"/>
      <c r="AO71" s="6"/>
      <c r="AP71" s="7"/>
      <c r="AQ71" s="5"/>
      <c r="AR71" s="6"/>
      <c r="AS71" s="6"/>
      <c r="AT71" s="6"/>
      <c r="AU71" s="7"/>
    </row>
    <row r="72" spans="1:257" ht="16.5" customHeight="1" x14ac:dyDescent="0.3">
      <c r="A72" s="156">
        <v>65</v>
      </c>
      <c r="B72" s="122" t="s">
        <v>118</v>
      </c>
      <c r="C72" s="85" t="s">
        <v>119</v>
      </c>
      <c r="D72" s="44"/>
      <c r="E72" s="44"/>
      <c r="F72" s="44">
        <v>133358120.47</v>
      </c>
      <c r="G72" s="44">
        <v>624930287.72000003</v>
      </c>
      <c r="H72" s="44"/>
      <c r="I72" s="44"/>
      <c r="J72" s="44">
        <v>758335467.29999995</v>
      </c>
      <c r="K72" s="44">
        <v>16247757.449999999</v>
      </c>
      <c r="L72" s="44">
        <v>11941869.460000001</v>
      </c>
      <c r="M72" s="54">
        <v>4305887.99</v>
      </c>
      <c r="N72" s="44">
        <v>758335467.29999995</v>
      </c>
      <c r="O72" s="44">
        <v>7439455.54</v>
      </c>
      <c r="P72" s="224">
        <v>689650521.75</v>
      </c>
      <c r="Q72" s="48">
        <f t="shared" si="20"/>
        <v>1.7834670322472578E-3</v>
      </c>
      <c r="R72" s="56">
        <v>750896011.75999999</v>
      </c>
      <c r="S72" s="48">
        <f t="shared" si="21"/>
        <v>1.9856433776766474E-3</v>
      </c>
      <c r="T72" s="49">
        <f t="shared" si="26"/>
        <v>8.8806559378202907E-2</v>
      </c>
      <c r="U72" s="87">
        <f t="shared" si="22"/>
        <v>1.5903492991006643E-2</v>
      </c>
      <c r="V72" s="50">
        <f t="shared" si="23"/>
        <v>5.7343332799272345E-3</v>
      </c>
      <c r="W72" s="51">
        <f t="shared" si="24"/>
        <v>183.32260904453031</v>
      </c>
      <c r="X72" s="51">
        <f t="shared" si="25"/>
        <v>1.0512329380071397</v>
      </c>
      <c r="Y72" s="204">
        <v>183.32259999999999</v>
      </c>
      <c r="Z72" s="204">
        <v>185.13890000000001</v>
      </c>
      <c r="AA72" s="205">
        <v>438</v>
      </c>
      <c r="AB72" s="206">
        <v>4096036.03</v>
      </c>
      <c r="AC72" s="10"/>
      <c r="AD72" s="10"/>
      <c r="AE72" s="10"/>
      <c r="AF72" s="11"/>
      <c r="AG72" s="5"/>
      <c r="AH72" s="6"/>
      <c r="AI72" s="6"/>
      <c r="AJ72" s="6"/>
      <c r="AK72" s="7"/>
      <c r="AL72" s="5"/>
      <c r="AM72" s="6"/>
      <c r="AN72" s="6"/>
      <c r="AO72" s="6"/>
      <c r="AP72" s="7"/>
      <c r="AQ72" s="5"/>
      <c r="AR72" s="6"/>
      <c r="AS72" s="6"/>
      <c r="AT72" s="6"/>
      <c r="AU72" s="7"/>
    </row>
    <row r="73" spans="1:257" ht="16.5" customHeight="1" x14ac:dyDescent="0.3">
      <c r="A73" s="156">
        <v>66</v>
      </c>
      <c r="B73" s="122" t="s">
        <v>75</v>
      </c>
      <c r="C73" s="85" t="s">
        <v>120</v>
      </c>
      <c r="D73" s="44"/>
      <c r="E73" s="44"/>
      <c r="F73" s="44">
        <v>44143950</v>
      </c>
      <c r="G73" s="44">
        <v>1014380278.09</v>
      </c>
      <c r="H73" s="44"/>
      <c r="I73" s="44"/>
      <c r="J73" s="44">
        <v>1058524228.09</v>
      </c>
      <c r="K73" s="44">
        <v>7163634</v>
      </c>
      <c r="L73" s="44">
        <v>4734188.47</v>
      </c>
      <c r="M73" s="54">
        <v>7463542.6399999997</v>
      </c>
      <c r="N73" s="44">
        <v>1071504595.33</v>
      </c>
      <c r="O73" s="44">
        <v>6047020.4199999999</v>
      </c>
      <c r="P73" s="224">
        <v>1084212826.1600001</v>
      </c>
      <c r="Q73" s="48">
        <f t="shared" si="20"/>
        <v>2.8038227629978408E-3</v>
      </c>
      <c r="R73" s="56">
        <v>1065457574.92</v>
      </c>
      <c r="S73" s="48">
        <f t="shared" si="21"/>
        <v>2.8174590685021627E-3</v>
      </c>
      <c r="T73" s="49">
        <f t="shared" si="26"/>
        <v>-1.7298496003249061E-2</v>
      </c>
      <c r="U73" s="87">
        <f t="shared" si="22"/>
        <v>4.4433383190836733E-3</v>
      </c>
      <c r="V73" s="50">
        <f t="shared" si="23"/>
        <v>7.005011570320293E-3</v>
      </c>
      <c r="W73" s="51">
        <f t="shared" si="24"/>
        <v>1.4252499311118045</v>
      </c>
      <c r="X73" s="51">
        <f t="shared" si="25"/>
        <v>9.9838922580363903E-3</v>
      </c>
      <c r="Y73" s="204">
        <v>1.4252</v>
      </c>
      <c r="Z73" s="204">
        <v>1.4252</v>
      </c>
      <c r="AA73" s="205">
        <v>133</v>
      </c>
      <c r="AB73" s="206">
        <v>747558411.79999995</v>
      </c>
      <c r="AC73" s="25"/>
      <c r="AD73" s="12"/>
      <c r="AE73" s="12"/>
      <c r="AF73" s="12"/>
      <c r="AG73" s="5"/>
      <c r="AH73" s="6"/>
      <c r="AI73" s="6"/>
      <c r="AJ73" s="6"/>
      <c r="AK73" s="7"/>
      <c r="AL73" s="5"/>
      <c r="AM73" s="6"/>
      <c r="AN73" s="6"/>
      <c r="AO73" s="6"/>
      <c r="AP73" s="7"/>
      <c r="AQ73" s="5"/>
      <c r="AR73" s="6"/>
      <c r="AS73" s="6"/>
      <c r="AT73" s="6"/>
      <c r="AU73" s="7"/>
    </row>
    <row r="74" spans="1:257" ht="16.5" customHeight="1" x14ac:dyDescent="0.3">
      <c r="A74" s="156">
        <v>67</v>
      </c>
      <c r="B74" s="120" t="s">
        <v>52</v>
      </c>
      <c r="C74" s="86" t="s">
        <v>122</v>
      </c>
      <c r="D74" s="44"/>
      <c r="E74" s="44"/>
      <c r="F74" s="44">
        <v>26367991.960000001</v>
      </c>
      <c r="G74" s="44">
        <v>461433732.06999999</v>
      </c>
      <c r="H74" s="44"/>
      <c r="I74" s="44"/>
      <c r="J74" s="44">
        <v>487801724.02999997</v>
      </c>
      <c r="K74" s="44">
        <v>5206227.8099999996</v>
      </c>
      <c r="L74" s="44">
        <v>629386.03</v>
      </c>
      <c r="M74" s="54">
        <v>4576841.78</v>
      </c>
      <c r="N74" s="44">
        <v>490174893.31999999</v>
      </c>
      <c r="O74" s="44">
        <v>629386.03</v>
      </c>
      <c r="P74" s="224">
        <v>500174980.31</v>
      </c>
      <c r="Q74" s="48">
        <f t="shared" si="20"/>
        <v>1.2934748247187943E-3</v>
      </c>
      <c r="R74" s="56">
        <v>489545507.29000002</v>
      </c>
      <c r="S74" s="48">
        <f t="shared" si="21"/>
        <v>1.2945371654636414E-3</v>
      </c>
      <c r="T74" s="49">
        <f t="shared" si="26"/>
        <v>-2.1251508848787303E-2</v>
      </c>
      <c r="U74" s="87">
        <f t="shared" si="22"/>
        <v>1.2856537760587809E-3</v>
      </c>
      <c r="V74" s="50">
        <f t="shared" si="23"/>
        <v>9.349165117123099E-3</v>
      </c>
      <c r="W74" s="51">
        <f t="shared" si="24"/>
        <v>1.1489866324927924</v>
      </c>
      <c r="X74" s="51">
        <f t="shared" si="25"/>
        <v>1.0742065744542353E-2</v>
      </c>
      <c r="Y74" s="204">
        <v>1.1499999999999999</v>
      </c>
      <c r="Z74" s="204">
        <v>1.1499999999999999</v>
      </c>
      <c r="AA74" s="205">
        <v>219</v>
      </c>
      <c r="AB74" s="206">
        <v>426067191.25</v>
      </c>
      <c r="AC74" s="13"/>
      <c r="AD74" s="4"/>
      <c r="AE74" s="4"/>
      <c r="AF74" s="4"/>
      <c r="AG74" s="5"/>
      <c r="AH74" s="6"/>
      <c r="AI74" s="6"/>
      <c r="AJ74" s="6"/>
      <c r="AK74" s="7"/>
      <c r="AL74" s="5"/>
      <c r="AM74" s="6"/>
      <c r="AN74" s="6"/>
      <c r="AO74" s="6"/>
      <c r="AP74" s="7"/>
      <c r="AQ74" s="5"/>
      <c r="AR74" s="6"/>
      <c r="AS74" s="6"/>
      <c r="AT74" s="6"/>
      <c r="AU74" s="7"/>
    </row>
    <row r="75" spans="1:257" ht="16.5" customHeight="1" x14ac:dyDescent="0.3">
      <c r="A75" s="156">
        <v>68</v>
      </c>
      <c r="B75" s="122" t="s">
        <v>37</v>
      </c>
      <c r="C75" s="86" t="s">
        <v>124</v>
      </c>
      <c r="D75" s="44"/>
      <c r="E75" s="44"/>
      <c r="F75" s="44"/>
      <c r="G75" s="44">
        <v>651969918.95000005</v>
      </c>
      <c r="H75" s="44"/>
      <c r="I75" s="44"/>
      <c r="J75" s="44">
        <v>651969918.95000005</v>
      </c>
      <c r="K75" s="44">
        <v>12817577.98</v>
      </c>
      <c r="L75" s="44">
        <v>18084822.219999999</v>
      </c>
      <c r="M75" s="54">
        <v>30902400.199999999</v>
      </c>
      <c r="N75" s="44">
        <v>1462272198</v>
      </c>
      <c r="O75" s="44">
        <v>9149536</v>
      </c>
      <c r="P75" s="224">
        <v>1477962859</v>
      </c>
      <c r="Q75" s="48">
        <f t="shared" si="20"/>
        <v>3.8220779232121306E-3</v>
      </c>
      <c r="R75" s="56">
        <v>1453122663</v>
      </c>
      <c r="S75" s="48">
        <f t="shared" si="21"/>
        <v>3.8425871859072091E-3</v>
      </c>
      <c r="T75" s="49">
        <f t="shared" si="26"/>
        <v>-1.6807050223716074E-2</v>
      </c>
      <c r="U75" s="87">
        <f t="shared" si="22"/>
        <v>1.2445489070181819E-2</v>
      </c>
      <c r="V75" s="50">
        <f t="shared" si="23"/>
        <v>2.126620208111089E-2</v>
      </c>
      <c r="W75" s="51">
        <f t="shared" si="24"/>
        <v>1.049896469474906</v>
      </c>
      <c r="X75" s="51">
        <f t="shared" si="25"/>
        <v>2.2327310484098223E-2</v>
      </c>
      <c r="Y75" s="204">
        <v>1.0103</v>
      </c>
      <c r="Z75" s="204">
        <v>1.0154000000000001</v>
      </c>
      <c r="AA75" s="205">
        <v>535</v>
      </c>
      <c r="AB75" s="206">
        <v>1384062815</v>
      </c>
      <c r="AC75" s="13"/>
      <c r="AD75" s="4"/>
      <c r="AE75" s="4"/>
      <c r="AF75" s="4"/>
      <c r="AG75" s="5"/>
      <c r="AH75" s="6"/>
      <c r="AI75" s="6"/>
      <c r="AJ75" s="6"/>
      <c r="AK75" s="7"/>
      <c r="AL75" s="5"/>
      <c r="AM75" s="6"/>
      <c r="AN75" s="6"/>
      <c r="AO75" s="6"/>
      <c r="AP75" s="7"/>
      <c r="AQ75" s="5"/>
      <c r="AR75" s="6"/>
      <c r="AS75" s="6"/>
      <c r="AT75" s="6"/>
      <c r="AU75" s="7"/>
    </row>
    <row r="76" spans="1:257" ht="16.5" customHeight="1" x14ac:dyDescent="0.3">
      <c r="A76" s="156">
        <v>69</v>
      </c>
      <c r="B76" s="120" t="s">
        <v>25</v>
      </c>
      <c r="C76" s="86" t="s">
        <v>168</v>
      </c>
      <c r="D76" s="44"/>
      <c r="E76" s="44"/>
      <c r="F76" s="44">
        <v>4825449577.8900003</v>
      </c>
      <c r="G76" s="44">
        <v>12747325669.76</v>
      </c>
      <c r="H76" s="44"/>
      <c r="I76" s="44"/>
      <c r="J76" s="44">
        <v>17572775247.650002</v>
      </c>
      <c r="K76" s="44">
        <v>149869372.52000001</v>
      </c>
      <c r="L76" s="44">
        <v>24092459.91</v>
      </c>
      <c r="M76" s="54">
        <v>125776912.61</v>
      </c>
      <c r="N76" s="44">
        <v>17715188435.779999</v>
      </c>
      <c r="O76" s="44">
        <v>63449924.829999998</v>
      </c>
      <c r="P76" s="224">
        <v>16849884256.780001</v>
      </c>
      <c r="Q76" s="48">
        <f t="shared" si="20"/>
        <v>4.3574552793629089E-2</v>
      </c>
      <c r="R76" s="56">
        <v>17651738510.950001</v>
      </c>
      <c r="S76" s="48">
        <f t="shared" si="21"/>
        <v>4.6677645279530867E-2</v>
      </c>
      <c r="T76" s="49">
        <f>((R76-P76)/P76)</f>
        <v>4.7588116449366863E-2</v>
      </c>
      <c r="U76" s="87">
        <f>(L76/R76)</f>
        <v>1.3648774535751586E-3</v>
      </c>
      <c r="V76" s="50">
        <f>M76/R76</f>
        <v>7.1254688331110335E-3</v>
      </c>
      <c r="W76" s="51">
        <f>R76/AB76</f>
        <v>106.39859689982076</v>
      </c>
      <c r="X76" s="51">
        <f>M76/AB76</f>
        <v>0.75813988609641714</v>
      </c>
      <c r="Y76" s="204">
        <v>106.4</v>
      </c>
      <c r="Z76" s="204">
        <v>106.4</v>
      </c>
      <c r="AA76" s="205">
        <v>1301</v>
      </c>
      <c r="AB76" s="206">
        <v>165901985.78999999</v>
      </c>
      <c r="AC76" s="41"/>
      <c r="AD76" s="6"/>
      <c r="AE76" s="6"/>
      <c r="AF76" s="6"/>
      <c r="AG76" s="32"/>
      <c r="AH76" s="6"/>
      <c r="AI76" s="6"/>
      <c r="AJ76" s="6"/>
      <c r="AK76" s="7"/>
      <c r="AL76" s="5"/>
      <c r="AM76" s="6"/>
      <c r="AN76" s="6"/>
      <c r="AO76" s="6"/>
      <c r="AP76" s="7"/>
      <c r="AQ76" s="5"/>
      <c r="AR76" s="6"/>
      <c r="AS76" s="6"/>
      <c r="AT76" s="6"/>
      <c r="AU76" s="7"/>
      <c r="AV76" s="31"/>
      <c r="AW76" s="31"/>
      <c r="AX76" s="31"/>
      <c r="AY76" s="31"/>
      <c r="AZ76" s="31"/>
      <c r="BA76" s="31"/>
      <c r="BB76" s="31"/>
      <c r="BC76" s="31"/>
      <c r="BD76" s="31"/>
      <c r="BE76" s="31"/>
      <c r="BF76" s="31"/>
      <c r="BG76" s="31"/>
      <c r="BH76" s="31"/>
      <c r="BI76" s="31"/>
      <c r="BJ76" s="31"/>
      <c r="BK76" s="31"/>
      <c r="BL76" s="31"/>
      <c r="BM76" s="31"/>
      <c r="BN76" s="31"/>
      <c r="BO76" s="31"/>
      <c r="BP76" s="31"/>
      <c r="BQ76" s="31"/>
      <c r="BR76" s="31"/>
      <c r="BS76" s="31"/>
      <c r="BT76" s="31"/>
      <c r="BU76" s="31"/>
      <c r="BV76" s="31"/>
      <c r="BW76" s="31"/>
      <c r="BX76" s="31"/>
      <c r="BY76" s="31"/>
      <c r="BZ76" s="31"/>
      <c r="CA76" s="31"/>
      <c r="CB76" s="31"/>
      <c r="CC76" s="31"/>
      <c r="CD76" s="31"/>
      <c r="CE76" s="31"/>
      <c r="CF76" s="31"/>
      <c r="CG76" s="31"/>
      <c r="CH76" s="31"/>
      <c r="CI76" s="31"/>
      <c r="CJ76" s="31"/>
      <c r="CK76" s="31"/>
      <c r="CL76" s="31"/>
      <c r="CM76" s="31"/>
      <c r="CN76" s="31"/>
      <c r="CO76" s="31"/>
      <c r="CP76" s="31"/>
      <c r="CQ76" s="31"/>
      <c r="CR76" s="31"/>
      <c r="CS76" s="31"/>
      <c r="CT76" s="31"/>
      <c r="CU76" s="31"/>
      <c r="CV76" s="31"/>
      <c r="CW76" s="31"/>
      <c r="CX76" s="31"/>
      <c r="CY76" s="31"/>
      <c r="CZ76" s="31"/>
      <c r="DA76" s="31"/>
      <c r="DB76" s="31"/>
      <c r="DC76" s="31"/>
      <c r="DD76" s="31"/>
      <c r="DE76" s="31"/>
      <c r="DF76" s="31"/>
      <c r="DG76" s="31"/>
      <c r="DH76" s="31"/>
      <c r="DI76" s="31"/>
      <c r="DJ76" s="31"/>
      <c r="DK76" s="31"/>
      <c r="DL76" s="31"/>
      <c r="DM76" s="31"/>
      <c r="DN76" s="31"/>
      <c r="DO76" s="31"/>
      <c r="DP76" s="31"/>
      <c r="DQ76" s="31"/>
      <c r="DR76" s="31"/>
      <c r="DS76" s="31"/>
      <c r="DT76" s="31"/>
      <c r="DU76" s="31"/>
      <c r="DV76" s="31"/>
      <c r="DW76" s="31"/>
      <c r="DX76" s="31"/>
      <c r="DY76" s="31"/>
      <c r="DZ76" s="31"/>
      <c r="EA76" s="31"/>
      <c r="EB76" s="31"/>
      <c r="EC76" s="31"/>
      <c r="ED76" s="31"/>
      <c r="EE76" s="31"/>
      <c r="EF76" s="31"/>
      <c r="EG76" s="31"/>
      <c r="EH76" s="31"/>
      <c r="EI76" s="31"/>
      <c r="EJ76" s="31"/>
      <c r="EK76" s="31"/>
      <c r="EL76" s="31"/>
      <c r="EM76" s="31"/>
      <c r="EN76" s="31"/>
      <c r="EO76" s="31"/>
      <c r="EP76" s="31"/>
      <c r="EQ76" s="31"/>
      <c r="ER76" s="31"/>
      <c r="ES76" s="31"/>
      <c r="ET76" s="31"/>
      <c r="EU76" s="31"/>
      <c r="EV76" s="31"/>
      <c r="EW76" s="31"/>
      <c r="EX76" s="31"/>
      <c r="EY76" s="31"/>
      <c r="EZ76" s="31"/>
      <c r="FA76" s="31"/>
      <c r="FB76" s="31"/>
      <c r="FC76" s="31"/>
      <c r="FD76" s="31"/>
      <c r="FE76" s="31"/>
      <c r="FF76" s="31"/>
      <c r="FG76" s="31"/>
      <c r="FH76" s="31"/>
      <c r="FI76" s="31"/>
      <c r="FJ76" s="31"/>
      <c r="FK76" s="31"/>
      <c r="FL76" s="31"/>
      <c r="FM76" s="31"/>
      <c r="FN76" s="31"/>
      <c r="FO76" s="31"/>
      <c r="FP76" s="31"/>
      <c r="FQ76" s="31"/>
      <c r="FR76" s="31"/>
      <c r="FS76" s="31"/>
      <c r="FT76" s="31"/>
      <c r="FU76" s="31"/>
      <c r="FV76" s="31"/>
      <c r="FW76" s="31"/>
      <c r="FX76" s="31"/>
      <c r="FY76" s="31"/>
      <c r="FZ76" s="31"/>
      <c r="GA76" s="31"/>
      <c r="GB76" s="31"/>
      <c r="GC76" s="31"/>
      <c r="GD76" s="31"/>
      <c r="GE76" s="31"/>
      <c r="GF76" s="31"/>
      <c r="GG76" s="31"/>
      <c r="GH76" s="31"/>
      <c r="GI76" s="31"/>
      <c r="GJ76" s="31"/>
      <c r="GK76" s="31"/>
      <c r="GL76" s="31"/>
      <c r="GM76" s="31"/>
      <c r="GN76" s="31"/>
      <c r="GO76" s="31"/>
      <c r="GP76" s="31"/>
      <c r="GQ76" s="31"/>
      <c r="GR76" s="31"/>
      <c r="GS76" s="31"/>
      <c r="GT76" s="31"/>
      <c r="GU76" s="31"/>
      <c r="GV76" s="31"/>
      <c r="GW76" s="31"/>
      <c r="GX76" s="31"/>
      <c r="GY76" s="31"/>
      <c r="GZ76" s="31"/>
      <c r="HA76" s="31"/>
      <c r="HB76" s="31"/>
      <c r="HC76" s="31"/>
      <c r="HD76" s="31"/>
      <c r="HE76" s="31"/>
      <c r="HF76" s="31"/>
      <c r="HG76" s="31"/>
      <c r="HH76" s="31"/>
      <c r="HI76" s="31"/>
      <c r="HJ76" s="31"/>
      <c r="HK76" s="31"/>
      <c r="HL76" s="31"/>
      <c r="HM76" s="31"/>
      <c r="HN76" s="31"/>
      <c r="HO76" s="31"/>
      <c r="HP76" s="31"/>
      <c r="HQ76" s="31"/>
      <c r="HR76" s="31"/>
      <c r="HS76" s="31"/>
      <c r="HT76" s="31"/>
      <c r="HU76" s="31"/>
      <c r="HV76" s="31"/>
      <c r="HW76" s="31"/>
      <c r="HX76" s="31"/>
      <c r="HY76" s="31"/>
      <c r="HZ76" s="31"/>
      <c r="IA76" s="31"/>
      <c r="IB76" s="31"/>
      <c r="IC76" s="31"/>
      <c r="ID76" s="31"/>
      <c r="IE76" s="31"/>
      <c r="IF76" s="31"/>
      <c r="IG76" s="31"/>
      <c r="IH76" s="31"/>
      <c r="II76" s="31"/>
      <c r="IJ76" s="31"/>
      <c r="IK76" s="31"/>
      <c r="IL76" s="31"/>
      <c r="IM76" s="31"/>
      <c r="IN76" s="31"/>
      <c r="IO76" s="31"/>
      <c r="IP76" s="31"/>
      <c r="IQ76" s="31"/>
      <c r="IR76" s="31"/>
      <c r="IS76" s="31"/>
      <c r="IT76" s="31"/>
      <c r="IU76" s="31"/>
      <c r="IV76" s="31"/>
      <c r="IW76" s="31"/>
    </row>
    <row r="77" spans="1:257" ht="16.5" customHeight="1" x14ac:dyDescent="0.3">
      <c r="A77" s="156">
        <v>70</v>
      </c>
      <c r="B77" s="122" t="s">
        <v>125</v>
      </c>
      <c r="C77" s="86" t="s">
        <v>157</v>
      </c>
      <c r="D77" s="44"/>
      <c r="E77" s="44"/>
      <c r="F77" s="44"/>
      <c r="G77" s="44">
        <v>288551061.5</v>
      </c>
      <c r="H77" s="44"/>
      <c r="I77" s="44"/>
      <c r="J77" s="44">
        <v>288551061.5</v>
      </c>
      <c r="K77" s="44">
        <v>3136702.87</v>
      </c>
      <c r="L77" s="44">
        <v>425502.31</v>
      </c>
      <c r="M77" s="54">
        <v>2711200.56</v>
      </c>
      <c r="N77" s="44">
        <v>301547505.44</v>
      </c>
      <c r="O77" s="81">
        <v>5472746.1900000004</v>
      </c>
      <c r="P77" s="224">
        <v>290445772.88</v>
      </c>
      <c r="Q77" s="48">
        <f t="shared" si="20"/>
        <v>7.511057329045726E-4</v>
      </c>
      <c r="R77" s="56">
        <v>296074759.25</v>
      </c>
      <c r="S77" s="48">
        <f t="shared" si="21"/>
        <v>7.8292982755896355E-4</v>
      </c>
      <c r="T77" s="49">
        <f>((R77-P77)/P77)</f>
        <v>1.9380507122497066E-2</v>
      </c>
      <c r="U77" s="87">
        <f>(L77/R77)</f>
        <v>1.4371448315211287E-3</v>
      </c>
      <c r="V77" s="50">
        <f>M77/R77</f>
        <v>9.1571485758119384E-3</v>
      </c>
      <c r="W77" s="51">
        <f>R77/AB77</f>
        <v>1067.6670846705852</v>
      </c>
      <c r="X77" s="51">
        <f>M77/AB77</f>
        <v>9.7767861238325349</v>
      </c>
      <c r="Y77" s="104">
        <v>1067.6600000000001</v>
      </c>
      <c r="Z77" s="104">
        <v>1067.6600000000001</v>
      </c>
      <c r="AA77" s="205">
        <v>120</v>
      </c>
      <c r="AB77" s="206">
        <v>277310</v>
      </c>
      <c r="AC77" s="41"/>
      <c r="AD77" s="6"/>
      <c r="AE77" s="6"/>
      <c r="AF77" s="6"/>
      <c r="AG77" s="32"/>
      <c r="AH77" s="6"/>
      <c r="AI77" s="6"/>
      <c r="AJ77" s="6"/>
      <c r="AK77" s="7"/>
      <c r="AL77" s="5"/>
      <c r="AM77" s="6"/>
      <c r="AN77" s="6"/>
      <c r="AO77" s="6"/>
      <c r="AP77" s="7"/>
      <c r="AQ77" s="5"/>
      <c r="AR77" s="6"/>
      <c r="AS77" s="6"/>
      <c r="AT77" s="6"/>
      <c r="AU77" s="7"/>
      <c r="AV77" s="31"/>
      <c r="AW77" s="31"/>
      <c r="AX77" s="31"/>
      <c r="AY77" s="31"/>
      <c r="AZ77" s="31"/>
      <c r="BA77" s="31"/>
      <c r="BB77" s="31"/>
      <c r="BC77" s="31"/>
      <c r="BD77" s="31"/>
      <c r="BE77" s="31"/>
      <c r="BF77" s="31"/>
      <c r="BG77" s="31"/>
      <c r="BH77" s="31"/>
      <c r="BI77" s="31"/>
      <c r="BJ77" s="31"/>
      <c r="BK77" s="31"/>
      <c r="BL77" s="31"/>
      <c r="BM77" s="31"/>
      <c r="BN77" s="31"/>
      <c r="BO77" s="31"/>
      <c r="BP77" s="31"/>
      <c r="BQ77" s="31"/>
      <c r="BR77" s="31"/>
      <c r="BS77" s="31"/>
      <c r="BT77" s="31"/>
      <c r="BU77" s="31"/>
      <c r="BV77" s="31"/>
      <c r="BW77" s="31"/>
      <c r="BX77" s="31"/>
      <c r="BY77" s="31"/>
      <c r="BZ77" s="31"/>
      <c r="CA77" s="31"/>
      <c r="CB77" s="31"/>
      <c r="CC77" s="31"/>
      <c r="CD77" s="31"/>
      <c r="CE77" s="31"/>
      <c r="CF77" s="31"/>
      <c r="CG77" s="31"/>
      <c r="CH77" s="31"/>
      <c r="CI77" s="31"/>
      <c r="CJ77" s="31"/>
      <c r="CK77" s="31"/>
      <c r="CL77" s="31"/>
      <c r="CM77" s="31"/>
      <c r="CN77" s="31"/>
      <c r="CO77" s="31"/>
      <c r="CP77" s="31"/>
      <c r="CQ77" s="31"/>
      <c r="CR77" s="31"/>
      <c r="CS77" s="31"/>
      <c r="CT77" s="31"/>
      <c r="CU77" s="31"/>
      <c r="CV77" s="31"/>
      <c r="CW77" s="31"/>
      <c r="CX77" s="31"/>
      <c r="CY77" s="31"/>
      <c r="CZ77" s="31"/>
      <c r="DA77" s="31"/>
      <c r="DB77" s="31"/>
      <c r="DC77" s="31"/>
      <c r="DD77" s="31"/>
      <c r="DE77" s="31"/>
      <c r="DF77" s="31"/>
      <c r="DG77" s="31"/>
      <c r="DH77" s="31"/>
      <c r="DI77" s="31"/>
      <c r="DJ77" s="31"/>
      <c r="DK77" s="31"/>
      <c r="DL77" s="31"/>
      <c r="DM77" s="31"/>
      <c r="DN77" s="31"/>
      <c r="DO77" s="31"/>
      <c r="DP77" s="31"/>
      <c r="DQ77" s="31"/>
      <c r="DR77" s="31"/>
      <c r="DS77" s="31"/>
      <c r="DT77" s="31"/>
      <c r="DU77" s="31"/>
      <c r="DV77" s="31"/>
      <c r="DW77" s="31"/>
      <c r="DX77" s="31"/>
      <c r="DY77" s="31"/>
      <c r="DZ77" s="31"/>
      <c r="EA77" s="31"/>
      <c r="EB77" s="31"/>
      <c r="EC77" s="31"/>
      <c r="ED77" s="31"/>
      <c r="EE77" s="31"/>
      <c r="EF77" s="31"/>
      <c r="EG77" s="31"/>
      <c r="EH77" s="31"/>
      <c r="EI77" s="31"/>
      <c r="EJ77" s="31"/>
      <c r="EK77" s="31"/>
      <c r="EL77" s="31"/>
      <c r="EM77" s="31"/>
      <c r="EN77" s="31"/>
      <c r="EO77" s="31"/>
      <c r="EP77" s="31"/>
      <c r="EQ77" s="31"/>
      <c r="ER77" s="31"/>
      <c r="ES77" s="31"/>
      <c r="ET77" s="31"/>
      <c r="EU77" s="31"/>
      <c r="EV77" s="31"/>
      <c r="EW77" s="31"/>
      <c r="EX77" s="31"/>
      <c r="EY77" s="31"/>
      <c r="EZ77" s="31"/>
      <c r="FA77" s="31"/>
      <c r="FB77" s="31"/>
      <c r="FC77" s="31"/>
      <c r="FD77" s="31"/>
      <c r="FE77" s="31"/>
      <c r="FF77" s="31"/>
      <c r="FG77" s="31"/>
      <c r="FH77" s="31"/>
      <c r="FI77" s="31"/>
      <c r="FJ77" s="31"/>
      <c r="FK77" s="31"/>
      <c r="FL77" s="31"/>
      <c r="FM77" s="31"/>
      <c r="FN77" s="31"/>
      <c r="FO77" s="31"/>
      <c r="FP77" s="31"/>
      <c r="FQ77" s="31"/>
      <c r="FR77" s="31"/>
      <c r="FS77" s="31"/>
      <c r="FT77" s="31"/>
      <c r="FU77" s="31"/>
      <c r="FV77" s="31"/>
      <c r="FW77" s="31"/>
      <c r="FX77" s="31"/>
      <c r="FY77" s="31"/>
      <c r="FZ77" s="31"/>
      <c r="GA77" s="31"/>
      <c r="GB77" s="31"/>
      <c r="GC77" s="31"/>
      <c r="GD77" s="31"/>
      <c r="GE77" s="31"/>
      <c r="GF77" s="31"/>
      <c r="GG77" s="31"/>
      <c r="GH77" s="31"/>
      <c r="GI77" s="31"/>
      <c r="GJ77" s="31"/>
      <c r="GK77" s="31"/>
      <c r="GL77" s="31"/>
      <c r="GM77" s="31"/>
      <c r="GN77" s="31"/>
      <c r="GO77" s="31"/>
      <c r="GP77" s="31"/>
      <c r="GQ77" s="31"/>
      <c r="GR77" s="31"/>
      <c r="GS77" s="31"/>
      <c r="GT77" s="31"/>
      <c r="GU77" s="31"/>
      <c r="GV77" s="31"/>
      <c r="GW77" s="31"/>
      <c r="GX77" s="31"/>
      <c r="GY77" s="31"/>
      <c r="GZ77" s="31"/>
      <c r="HA77" s="31"/>
      <c r="HB77" s="31"/>
      <c r="HC77" s="31"/>
      <c r="HD77" s="31"/>
      <c r="HE77" s="31"/>
      <c r="HF77" s="31"/>
      <c r="HG77" s="31"/>
      <c r="HH77" s="31"/>
      <c r="HI77" s="31"/>
      <c r="HJ77" s="31"/>
      <c r="HK77" s="31"/>
      <c r="HL77" s="31"/>
      <c r="HM77" s="31"/>
      <c r="HN77" s="31"/>
      <c r="HO77" s="31"/>
      <c r="HP77" s="31"/>
      <c r="HQ77" s="31"/>
      <c r="HR77" s="31"/>
      <c r="HS77" s="31"/>
      <c r="HT77" s="31"/>
      <c r="HU77" s="31"/>
      <c r="HV77" s="31"/>
      <c r="HW77" s="31"/>
      <c r="HX77" s="31"/>
      <c r="HY77" s="31"/>
      <c r="HZ77" s="31"/>
      <c r="IA77" s="31"/>
      <c r="IB77" s="31"/>
      <c r="IC77" s="31"/>
      <c r="ID77" s="31"/>
      <c r="IE77" s="31"/>
      <c r="IF77" s="31"/>
      <c r="IG77" s="31"/>
      <c r="IH77" s="31"/>
      <c r="II77" s="31"/>
      <c r="IJ77" s="31"/>
      <c r="IK77" s="31"/>
      <c r="IL77" s="31"/>
      <c r="IM77" s="31"/>
      <c r="IN77" s="31"/>
      <c r="IO77" s="31"/>
      <c r="IP77" s="31"/>
      <c r="IQ77" s="31"/>
      <c r="IR77" s="31"/>
      <c r="IS77" s="31"/>
      <c r="IT77" s="31"/>
      <c r="IU77" s="31"/>
      <c r="IV77" s="31"/>
      <c r="IW77" s="31"/>
    </row>
    <row r="78" spans="1:257" ht="16.5" customHeight="1" x14ac:dyDescent="0.3">
      <c r="A78" s="156">
        <v>71</v>
      </c>
      <c r="B78" s="122" t="s">
        <v>153</v>
      </c>
      <c r="C78" s="86" t="s">
        <v>154</v>
      </c>
      <c r="D78" s="44"/>
      <c r="E78" s="44"/>
      <c r="F78" s="44">
        <v>203232112.31</v>
      </c>
      <c r="G78" s="44">
        <v>1111563022.3900001</v>
      </c>
      <c r="H78" s="44"/>
      <c r="I78" s="44"/>
      <c r="J78" s="44">
        <v>1314795134.7</v>
      </c>
      <c r="K78" s="44">
        <v>17218613.870000001</v>
      </c>
      <c r="L78" s="44">
        <v>1907225.27</v>
      </c>
      <c r="M78" s="54">
        <v>15311388.6</v>
      </c>
      <c r="N78" s="44">
        <v>1601099510.3399999</v>
      </c>
      <c r="O78" s="44">
        <v>5741221.7800000003</v>
      </c>
      <c r="P78" s="224">
        <v>1626147503.3299999</v>
      </c>
      <c r="Q78" s="48">
        <f t="shared" si="20"/>
        <v>4.2052900277679559E-3</v>
      </c>
      <c r="R78" s="56">
        <v>1595358288.5599999</v>
      </c>
      <c r="S78" s="48">
        <f t="shared" si="21"/>
        <v>4.2187101424014549E-3</v>
      </c>
      <c r="T78" s="49">
        <f t="shared" si="26"/>
        <v>-1.8933838847306469E-2</v>
      </c>
      <c r="U78" s="87">
        <f t="shared" si="22"/>
        <v>1.1954839760299218E-3</v>
      </c>
      <c r="V78" s="50">
        <f t="shared" si="23"/>
        <v>9.5974607771777357E-3</v>
      </c>
      <c r="W78" s="51" t="e">
        <f>R78/AB79</f>
        <v>#DIV/0!</v>
      </c>
      <c r="X78" s="51" t="e">
        <f>M78/AB79</f>
        <v>#DIV/0!</v>
      </c>
      <c r="Y78" s="204">
        <v>1.0458000000000001</v>
      </c>
      <c r="Z78" s="204">
        <v>1.0458000000000001</v>
      </c>
      <c r="AA78" s="205">
        <v>564</v>
      </c>
      <c r="AB78" s="205">
        <v>1525562168.98</v>
      </c>
      <c r="AC78" s="42"/>
      <c r="AD78" s="17"/>
      <c r="AE78" s="17"/>
      <c r="AF78" s="18"/>
      <c r="AG78" s="8"/>
      <c r="AH78" s="19"/>
      <c r="AI78" s="6"/>
      <c r="AJ78" s="6"/>
      <c r="AK78" s="7"/>
      <c r="AL78" s="5"/>
      <c r="AM78" s="6"/>
      <c r="AN78" s="6"/>
      <c r="AO78" s="6"/>
      <c r="AP78" s="7"/>
      <c r="AQ78" s="5"/>
      <c r="AR78" s="6"/>
      <c r="AS78" s="6"/>
      <c r="AT78" s="6"/>
      <c r="AU78" s="7"/>
    </row>
    <row r="79" spans="1:257" ht="16.5" customHeight="1" x14ac:dyDescent="0.3">
      <c r="A79" s="162" t="s">
        <v>94</v>
      </c>
      <c r="B79" s="127"/>
      <c r="C79" s="61" t="s">
        <v>54</v>
      </c>
      <c r="D79" s="62"/>
      <c r="E79" s="62"/>
      <c r="F79" s="62"/>
      <c r="G79" s="62"/>
      <c r="H79" s="62"/>
      <c r="I79" s="62"/>
      <c r="J79" s="62"/>
      <c r="K79" s="62"/>
      <c r="L79" s="62"/>
      <c r="M79" s="124"/>
      <c r="N79" s="62"/>
      <c r="O79" s="62"/>
      <c r="P79" s="192">
        <f t="shared" ref="P79" si="27">SUM(P53:P78)</f>
        <v>386690927996.02008</v>
      </c>
      <c r="Q79" s="125">
        <f>(P79/$P$146)</f>
        <v>0.29927674017666289</v>
      </c>
      <c r="R79" s="63">
        <f>SUM(R53:R78)</f>
        <v>378162574509.52997</v>
      </c>
      <c r="S79" s="125">
        <f>(R79/$R$146)</f>
        <v>0.29051034943678616</v>
      </c>
      <c r="T79" s="64">
        <f t="shared" si="26"/>
        <v>-2.2054702784694985E-2</v>
      </c>
      <c r="U79" s="79"/>
      <c r="V79" s="65"/>
      <c r="W79" s="66"/>
      <c r="X79" s="66"/>
      <c r="Y79" s="62"/>
      <c r="Z79" s="62"/>
      <c r="AA79" s="67">
        <f>SUM(AA53:AA78)</f>
        <v>43107</v>
      </c>
      <c r="AB79" s="158">
        <v>0</v>
      </c>
      <c r="AC79" s="41"/>
      <c r="AD79" s="128"/>
      <c r="AE79" s="128"/>
      <c r="AF79" s="129"/>
      <c r="AG79" s="130"/>
      <c r="AH79" s="6"/>
      <c r="AI79" s="6"/>
      <c r="AJ79" s="6"/>
      <c r="AK79" s="7"/>
      <c r="AL79" s="5"/>
      <c r="AM79" s="6"/>
      <c r="AN79" s="6"/>
      <c r="AO79" s="6"/>
      <c r="AP79" s="7"/>
      <c r="AQ79" s="5"/>
      <c r="AR79" s="6"/>
      <c r="AS79" s="6"/>
      <c r="AT79" s="6"/>
      <c r="AU79" s="7"/>
      <c r="AV79" s="31"/>
      <c r="AW79" s="31"/>
      <c r="AX79" s="31"/>
      <c r="AY79" s="31"/>
      <c r="AZ79" s="31"/>
      <c r="BA79" s="31"/>
      <c r="BB79" s="31"/>
      <c r="BC79" s="31"/>
      <c r="BD79" s="31"/>
      <c r="BE79" s="31"/>
      <c r="BF79" s="31"/>
      <c r="BG79" s="31"/>
      <c r="BH79" s="31"/>
      <c r="BI79" s="31"/>
      <c r="BJ79" s="31"/>
      <c r="BK79" s="31"/>
      <c r="BL79" s="31"/>
      <c r="BM79" s="31"/>
      <c r="BN79" s="31"/>
      <c r="BO79" s="31"/>
      <c r="BP79" s="31"/>
      <c r="BQ79" s="31"/>
      <c r="BR79" s="31"/>
      <c r="BS79" s="31"/>
      <c r="BT79" s="31"/>
      <c r="BU79" s="31"/>
      <c r="BV79" s="31"/>
      <c r="BW79" s="31"/>
      <c r="BX79" s="31"/>
      <c r="BY79" s="31"/>
      <c r="BZ79" s="31"/>
      <c r="CA79" s="31"/>
      <c r="CB79" s="31"/>
      <c r="CC79" s="31"/>
      <c r="CD79" s="31"/>
      <c r="CE79" s="31"/>
      <c r="CF79" s="31"/>
      <c r="CG79" s="31"/>
      <c r="CH79" s="31"/>
      <c r="CI79" s="31"/>
      <c r="CJ79" s="31"/>
      <c r="CK79" s="31"/>
      <c r="CL79" s="31"/>
      <c r="CM79" s="31"/>
      <c r="CN79" s="31"/>
      <c r="CO79" s="31"/>
      <c r="CP79" s="31"/>
      <c r="CQ79" s="31"/>
      <c r="CR79" s="31"/>
      <c r="CS79" s="31"/>
      <c r="CT79" s="31"/>
      <c r="CU79" s="31"/>
      <c r="CV79" s="31"/>
      <c r="CW79" s="31"/>
      <c r="CX79" s="31"/>
      <c r="CY79" s="31"/>
      <c r="CZ79" s="31"/>
      <c r="DA79" s="31"/>
      <c r="DB79" s="31"/>
      <c r="DC79" s="31"/>
      <c r="DD79" s="31"/>
      <c r="DE79" s="31"/>
      <c r="DF79" s="31"/>
      <c r="DG79" s="31"/>
      <c r="DH79" s="31"/>
      <c r="DI79" s="31"/>
      <c r="DJ79" s="31"/>
      <c r="DK79" s="31"/>
      <c r="DL79" s="31"/>
      <c r="DM79" s="31"/>
      <c r="DN79" s="31"/>
      <c r="DO79" s="31"/>
      <c r="DP79" s="31"/>
      <c r="DQ79" s="31"/>
      <c r="DR79" s="31"/>
      <c r="DS79" s="31"/>
      <c r="DT79" s="31"/>
      <c r="DU79" s="31"/>
      <c r="DV79" s="31"/>
      <c r="DW79" s="31"/>
      <c r="DX79" s="31"/>
      <c r="DY79" s="31"/>
      <c r="DZ79" s="31"/>
      <c r="EA79" s="31"/>
      <c r="EB79" s="31"/>
      <c r="EC79" s="31"/>
      <c r="ED79" s="31"/>
      <c r="EE79" s="31"/>
      <c r="EF79" s="31"/>
      <c r="EG79" s="31"/>
      <c r="EH79" s="31"/>
      <c r="EI79" s="31"/>
      <c r="EJ79" s="31"/>
      <c r="EK79" s="31"/>
      <c r="EL79" s="31"/>
      <c r="EM79" s="31"/>
      <c r="EN79" s="31"/>
      <c r="EO79" s="31"/>
      <c r="EP79" s="31"/>
      <c r="EQ79" s="31"/>
      <c r="ER79" s="31"/>
      <c r="ES79" s="31"/>
      <c r="ET79" s="31"/>
      <c r="EU79" s="31"/>
      <c r="EV79" s="31"/>
      <c r="EW79" s="31"/>
      <c r="EX79" s="31"/>
      <c r="EY79" s="31"/>
      <c r="EZ79" s="31"/>
      <c r="FA79" s="31"/>
      <c r="FB79" s="31"/>
      <c r="FC79" s="31"/>
      <c r="FD79" s="31"/>
      <c r="FE79" s="31"/>
      <c r="FF79" s="31"/>
      <c r="FG79" s="31"/>
      <c r="FH79" s="31"/>
      <c r="FI79" s="31"/>
      <c r="FJ79" s="31"/>
      <c r="FK79" s="31"/>
      <c r="FL79" s="31"/>
      <c r="FM79" s="31"/>
      <c r="FN79" s="31"/>
      <c r="FO79" s="31"/>
      <c r="FP79" s="31"/>
      <c r="FQ79" s="31"/>
      <c r="FR79" s="31"/>
      <c r="FS79" s="31"/>
      <c r="FT79" s="31"/>
      <c r="FU79" s="31"/>
      <c r="FV79" s="31"/>
      <c r="FW79" s="31"/>
      <c r="FX79" s="31"/>
      <c r="FY79" s="31"/>
      <c r="FZ79" s="31"/>
      <c r="GA79" s="31"/>
      <c r="GB79" s="31"/>
      <c r="GC79" s="31"/>
      <c r="GD79" s="31"/>
      <c r="GE79" s="31"/>
      <c r="GF79" s="31"/>
      <c r="GG79" s="31"/>
      <c r="GH79" s="31"/>
      <c r="GI79" s="31"/>
      <c r="GJ79" s="31"/>
      <c r="GK79" s="31"/>
      <c r="GL79" s="31"/>
      <c r="GM79" s="31"/>
      <c r="GN79" s="31"/>
      <c r="GO79" s="31"/>
      <c r="GP79" s="31"/>
      <c r="GQ79" s="31"/>
      <c r="GR79" s="31"/>
      <c r="GS79" s="31"/>
      <c r="GT79" s="31"/>
      <c r="GU79" s="31"/>
      <c r="GV79" s="31"/>
      <c r="GW79" s="31"/>
      <c r="GX79" s="31"/>
      <c r="GY79" s="31"/>
      <c r="GZ79" s="31"/>
      <c r="HA79" s="31"/>
      <c r="HB79" s="31"/>
      <c r="HC79" s="31"/>
      <c r="HD79" s="31"/>
      <c r="HE79" s="31"/>
      <c r="HF79" s="31"/>
      <c r="HG79" s="31"/>
      <c r="HH79" s="31"/>
      <c r="HI79" s="31"/>
      <c r="HJ79" s="31"/>
      <c r="HK79" s="31"/>
      <c r="HL79" s="31"/>
      <c r="HM79" s="31"/>
      <c r="HN79" s="31"/>
      <c r="HO79" s="31"/>
      <c r="HP79" s="31"/>
      <c r="HQ79" s="31"/>
      <c r="HR79" s="31"/>
      <c r="HS79" s="31"/>
      <c r="HT79" s="31"/>
      <c r="HU79" s="31"/>
      <c r="HV79" s="31"/>
      <c r="HW79" s="31"/>
      <c r="HX79" s="31"/>
      <c r="HY79" s="31"/>
      <c r="HZ79" s="31"/>
      <c r="IA79" s="31"/>
      <c r="IB79" s="31"/>
      <c r="IC79" s="31"/>
      <c r="ID79" s="31"/>
      <c r="IE79" s="31"/>
      <c r="IF79" s="31"/>
      <c r="IG79" s="31"/>
      <c r="IH79" s="31"/>
      <c r="II79" s="31"/>
      <c r="IJ79" s="31"/>
      <c r="IK79" s="31"/>
      <c r="IL79" s="31"/>
      <c r="IM79" s="31"/>
      <c r="IN79" s="31"/>
      <c r="IO79" s="31"/>
      <c r="IP79" s="31"/>
      <c r="IQ79" s="31"/>
      <c r="IR79" s="31"/>
      <c r="IS79" s="31"/>
      <c r="IT79" s="31"/>
      <c r="IU79" s="31"/>
      <c r="IV79" s="31"/>
      <c r="IW79" s="31"/>
    </row>
    <row r="80" spans="1:257" ht="16.5" customHeight="1" x14ac:dyDescent="0.3">
      <c r="A80" s="240" t="s">
        <v>183</v>
      </c>
      <c r="B80" s="241"/>
      <c r="C80" s="241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121"/>
      <c r="Q80" s="49"/>
      <c r="R80" s="73">
        <v>0</v>
      </c>
      <c r="S80" s="49"/>
      <c r="T80" s="49"/>
      <c r="U80" s="49"/>
      <c r="V80" s="74"/>
      <c r="W80" s="75"/>
      <c r="X80" s="75"/>
      <c r="Y80" s="73"/>
      <c r="Z80" s="73"/>
      <c r="AA80" s="73"/>
      <c r="AB80" s="163"/>
      <c r="AC80" s="41"/>
      <c r="AD80" s="128"/>
      <c r="AE80" s="128"/>
      <c r="AF80" s="129"/>
      <c r="AG80" s="130"/>
      <c r="AH80" s="6"/>
      <c r="AI80" s="6"/>
      <c r="AJ80" s="6"/>
      <c r="AK80" s="7"/>
      <c r="AL80" s="5"/>
      <c r="AM80" s="6"/>
      <c r="AN80" s="6"/>
      <c r="AO80" s="6"/>
      <c r="AP80" s="7"/>
      <c r="AQ80" s="5"/>
      <c r="AR80" s="6"/>
      <c r="AS80" s="6"/>
      <c r="AT80" s="6"/>
      <c r="AU80" s="7"/>
      <c r="AV80" s="31"/>
      <c r="AW80" s="31"/>
      <c r="AX80" s="31"/>
      <c r="AY80" s="31"/>
      <c r="AZ80" s="31"/>
      <c r="BA80" s="31"/>
      <c r="BB80" s="31"/>
      <c r="BC80" s="31"/>
      <c r="BD80" s="31"/>
      <c r="BE80" s="31"/>
      <c r="BF80" s="31"/>
      <c r="BG80" s="31"/>
      <c r="BH80" s="31"/>
      <c r="BI80" s="31"/>
      <c r="BJ80" s="31"/>
      <c r="BK80" s="31"/>
      <c r="BL80" s="31"/>
      <c r="BM80" s="31"/>
      <c r="BN80" s="31"/>
      <c r="BO80" s="31"/>
      <c r="BP80" s="31"/>
      <c r="BQ80" s="31"/>
      <c r="BR80" s="31"/>
      <c r="BS80" s="31"/>
      <c r="BT80" s="31"/>
      <c r="BU80" s="31"/>
      <c r="BV80" s="31"/>
      <c r="BW80" s="31"/>
      <c r="BX80" s="31"/>
      <c r="BY80" s="31"/>
      <c r="BZ80" s="31"/>
      <c r="CA80" s="31"/>
      <c r="CB80" s="31"/>
      <c r="CC80" s="31"/>
      <c r="CD80" s="31"/>
      <c r="CE80" s="31"/>
      <c r="CF80" s="31"/>
      <c r="CG80" s="31"/>
      <c r="CH80" s="31"/>
      <c r="CI80" s="31"/>
      <c r="CJ80" s="31"/>
      <c r="CK80" s="31"/>
      <c r="CL80" s="31"/>
      <c r="CM80" s="31"/>
      <c r="CN80" s="31"/>
      <c r="CO80" s="31"/>
      <c r="CP80" s="31"/>
      <c r="CQ80" s="31"/>
      <c r="CR80" s="31"/>
      <c r="CS80" s="31"/>
      <c r="CT80" s="31"/>
      <c r="CU80" s="31"/>
      <c r="CV80" s="31"/>
      <c r="CW80" s="31"/>
      <c r="CX80" s="31"/>
      <c r="CY80" s="31"/>
      <c r="CZ80" s="31"/>
      <c r="DA80" s="31"/>
      <c r="DB80" s="31"/>
      <c r="DC80" s="31"/>
      <c r="DD80" s="31"/>
      <c r="DE80" s="31"/>
      <c r="DF80" s="31"/>
      <c r="DG80" s="31"/>
      <c r="DH80" s="31"/>
      <c r="DI80" s="31"/>
      <c r="DJ80" s="31"/>
      <c r="DK80" s="31"/>
      <c r="DL80" s="31"/>
      <c r="DM80" s="31"/>
      <c r="DN80" s="31"/>
      <c r="DO80" s="31"/>
      <c r="DP80" s="31"/>
      <c r="DQ80" s="31"/>
      <c r="DR80" s="31"/>
      <c r="DS80" s="31"/>
      <c r="DT80" s="31"/>
      <c r="DU80" s="31"/>
      <c r="DV80" s="31"/>
      <c r="DW80" s="31"/>
      <c r="DX80" s="31"/>
      <c r="DY80" s="31"/>
      <c r="DZ80" s="31"/>
      <c r="EA80" s="31"/>
      <c r="EB80" s="31"/>
      <c r="EC80" s="31"/>
      <c r="ED80" s="31"/>
      <c r="EE80" s="31"/>
      <c r="EF80" s="31"/>
      <c r="EG80" s="31"/>
      <c r="EH80" s="31"/>
      <c r="EI80" s="31"/>
      <c r="EJ80" s="31"/>
      <c r="EK80" s="31"/>
      <c r="EL80" s="31"/>
      <c r="EM80" s="31"/>
      <c r="EN80" s="31"/>
      <c r="EO80" s="31"/>
      <c r="EP80" s="31"/>
      <c r="EQ80" s="31"/>
      <c r="ER80" s="31"/>
      <c r="ES80" s="31"/>
      <c r="ET80" s="31"/>
      <c r="EU80" s="31"/>
      <c r="EV80" s="31"/>
      <c r="EW80" s="31"/>
      <c r="EX80" s="31"/>
      <c r="EY80" s="31"/>
      <c r="EZ80" s="31"/>
      <c r="FA80" s="31"/>
      <c r="FB80" s="31"/>
      <c r="FC80" s="31"/>
      <c r="FD80" s="31"/>
      <c r="FE80" s="31"/>
      <c r="FF80" s="31"/>
      <c r="FG80" s="31"/>
      <c r="FH80" s="31"/>
      <c r="FI80" s="31"/>
      <c r="FJ80" s="31"/>
      <c r="FK80" s="31"/>
      <c r="FL80" s="31"/>
      <c r="FM80" s="31"/>
      <c r="FN80" s="31"/>
      <c r="FO80" s="31"/>
      <c r="FP80" s="31"/>
      <c r="FQ80" s="31"/>
      <c r="FR80" s="31"/>
      <c r="FS80" s="31"/>
      <c r="FT80" s="31"/>
      <c r="FU80" s="31"/>
      <c r="FV80" s="31"/>
      <c r="FW80" s="31"/>
      <c r="FX80" s="31"/>
      <c r="FY80" s="31"/>
      <c r="FZ80" s="31"/>
      <c r="GA80" s="31"/>
      <c r="GB80" s="31"/>
      <c r="GC80" s="31"/>
      <c r="GD80" s="31"/>
      <c r="GE80" s="31"/>
      <c r="GF80" s="31"/>
      <c r="GG80" s="31"/>
      <c r="GH80" s="31"/>
      <c r="GI80" s="31"/>
      <c r="GJ80" s="31"/>
      <c r="GK80" s="31"/>
      <c r="GL80" s="31"/>
      <c r="GM80" s="31"/>
      <c r="GN80" s="31"/>
      <c r="GO80" s="31"/>
      <c r="GP80" s="31"/>
      <c r="GQ80" s="31"/>
      <c r="GR80" s="31"/>
      <c r="GS80" s="31"/>
      <c r="GT80" s="31"/>
      <c r="GU80" s="31"/>
      <c r="GV80" s="31"/>
      <c r="GW80" s="31"/>
      <c r="GX80" s="31"/>
      <c r="GY80" s="31"/>
      <c r="GZ80" s="31"/>
      <c r="HA80" s="31"/>
      <c r="HB80" s="31"/>
      <c r="HC80" s="31"/>
      <c r="HD80" s="31"/>
      <c r="HE80" s="31"/>
      <c r="HF80" s="31"/>
      <c r="HG80" s="31"/>
      <c r="HH80" s="31"/>
      <c r="HI80" s="31"/>
      <c r="HJ80" s="31"/>
      <c r="HK80" s="31"/>
      <c r="HL80" s="31"/>
      <c r="HM80" s="31"/>
      <c r="HN80" s="31"/>
      <c r="HO80" s="31"/>
      <c r="HP80" s="31"/>
      <c r="HQ80" s="31"/>
      <c r="HR80" s="31"/>
      <c r="HS80" s="31"/>
      <c r="HT80" s="31"/>
      <c r="HU80" s="31"/>
      <c r="HV80" s="31"/>
      <c r="HW80" s="31"/>
      <c r="HX80" s="31"/>
      <c r="HY80" s="31"/>
      <c r="HZ80" s="31"/>
      <c r="IA80" s="31"/>
      <c r="IB80" s="31"/>
      <c r="IC80" s="31"/>
      <c r="ID80" s="31"/>
      <c r="IE80" s="31"/>
      <c r="IF80" s="31"/>
      <c r="IG80" s="31"/>
      <c r="IH80" s="31"/>
      <c r="II80" s="31"/>
      <c r="IJ80" s="31"/>
      <c r="IK80" s="31"/>
      <c r="IL80" s="31"/>
      <c r="IM80" s="31"/>
      <c r="IN80" s="31"/>
      <c r="IO80" s="31"/>
      <c r="IP80" s="31"/>
      <c r="IQ80" s="31"/>
      <c r="IR80" s="31"/>
      <c r="IS80" s="31"/>
      <c r="IT80" s="31"/>
      <c r="IU80" s="31"/>
      <c r="IV80" s="31"/>
      <c r="IW80" s="31"/>
    </row>
    <row r="81" spans="1:257" ht="16.5" customHeight="1" x14ac:dyDescent="0.3">
      <c r="A81" s="236" t="s">
        <v>182</v>
      </c>
      <c r="B81" s="237"/>
      <c r="C81" s="237"/>
      <c r="D81" s="132"/>
      <c r="E81" s="132"/>
      <c r="F81" s="132"/>
      <c r="G81" s="132"/>
      <c r="H81" s="132"/>
      <c r="I81" s="132"/>
      <c r="J81" s="132"/>
      <c r="K81" s="132"/>
      <c r="L81" s="132"/>
      <c r="M81" s="132"/>
      <c r="N81" s="132"/>
      <c r="O81" s="132"/>
      <c r="P81" s="133"/>
      <c r="Q81" s="134"/>
      <c r="R81" s="132"/>
      <c r="S81" s="134"/>
      <c r="T81" s="134"/>
      <c r="U81" s="135"/>
      <c r="V81" s="136"/>
      <c r="W81" s="137"/>
      <c r="X81" s="137"/>
      <c r="Y81" s="132"/>
      <c r="Z81" s="132"/>
      <c r="AA81" s="132"/>
      <c r="AB81" s="166"/>
      <c r="AC81" s="41"/>
      <c r="AD81" s="128"/>
      <c r="AE81" s="128"/>
      <c r="AF81" s="129"/>
      <c r="AG81" s="130"/>
      <c r="AH81" s="6"/>
      <c r="AI81" s="6"/>
      <c r="AJ81" s="6"/>
      <c r="AK81" s="7"/>
      <c r="AL81" s="5"/>
      <c r="AM81" s="6"/>
      <c r="AN81" s="6"/>
      <c r="AO81" s="6"/>
      <c r="AP81" s="7"/>
      <c r="AQ81" s="5"/>
      <c r="AR81" s="6"/>
      <c r="AS81" s="6"/>
      <c r="AT81" s="6"/>
      <c r="AU81" s="7"/>
      <c r="AV81" s="31"/>
      <c r="AW81" s="31"/>
      <c r="AX81" s="31"/>
      <c r="AY81" s="31"/>
      <c r="AZ81" s="31"/>
      <c r="BA81" s="31"/>
      <c r="BB81" s="31"/>
      <c r="BC81" s="31"/>
      <c r="BD81" s="31"/>
      <c r="BE81" s="31"/>
      <c r="BF81" s="31"/>
      <c r="BG81" s="31"/>
      <c r="BH81" s="31"/>
      <c r="BI81" s="31"/>
      <c r="BJ81" s="31"/>
      <c r="BK81" s="31"/>
      <c r="BL81" s="31"/>
      <c r="BM81" s="31"/>
      <c r="BN81" s="31"/>
      <c r="BO81" s="31"/>
      <c r="BP81" s="31"/>
      <c r="BQ81" s="31"/>
      <c r="BR81" s="31"/>
      <c r="BS81" s="31"/>
      <c r="BT81" s="31"/>
      <c r="BU81" s="31"/>
      <c r="BV81" s="31"/>
      <c r="BW81" s="31"/>
      <c r="BX81" s="31"/>
      <c r="BY81" s="31"/>
      <c r="BZ81" s="31"/>
      <c r="CA81" s="31"/>
      <c r="CB81" s="31"/>
      <c r="CC81" s="31"/>
      <c r="CD81" s="31"/>
      <c r="CE81" s="31"/>
      <c r="CF81" s="31"/>
      <c r="CG81" s="31"/>
      <c r="CH81" s="31"/>
      <c r="CI81" s="31"/>
      <c r="CJ81" s="31"/>
      <c r="CK81" s="31"/>
      <c r="CL81" s="31"/>
      <c r="CM81" s="31"/>
      <c r="CN81" s="31"/>
      <c r="CO81" s="31"/>
      <c r="CP81" s="31"/>
      <c r="CQ81" s="31"/>
      <c r="CR81" s="31"/>
      <c r="CS81" s="31"/>
      <c r="CT81" s="31"/>
      <c r="CU81" s="31"/>
      <c r="CV81" s="31"/>
      <c r="CW81" s="31"/>
      <c r="CX81" s="31"/>
      <c r="CY81" s="31"/>
      <c r="CZ81" s="31"/>
      <c r="DA81" s="31"/>
      <c r="DB81" s="31"/>
      <c r="DC81" s="31"/>
      <c r="DD81" s="31"/>
      <c r="DE81" s="31"/>
      <c r="DF81" s="31"/>
      <c r="DG81" s="31"/>
      <c r="DH81" s="31"/>
      <c r="DI81" s="31"/>
      <c r="DJ81" s="31"/>
      <c r="DK81" s="31"/>
      <c r="DL81" s="31"/>
      <c r="DM81" s="31"/>
      <c r="DN81" s="31"/>
      <c r="DO81" s="31"/>
      <c r="DP81" s="31"/>
      <c r="DQ81" s="31"/>
      <c r="DR81" s="31"/>
      <c r="DS81" s="31"/>
      <c r="DT81" s="31"/>
      <c r="DU81" s="31"/>
      <c r="DV81" s="31"/>
      <c r="DW81" s="31"/>
      <c r="DX81" s="31"/>
      <c r="DY81" s="31"/>
      <c r="DZ81" s="31"/>
      <c r="EA81" s="31"/>
      <c r="EB81" s="31"/>
      <c r="EC81" s="31"/>
      <c r="ED81" s="31"/>
      <c r="EE81" s="31"/>
      <c r="EF81" s="31"/>
      <c r="EG81" s="31"/>
      <c r="EH81" s="31"/>
      <c r="EI81" s="31"/>
      <c r="EJ81" s="31"/>
      <c r="EK81" s="31"/>
      <c r="EL81" s="31"/>
      <c r="EM81" s="31"/>
      <c r="EN81" s="31"/>
      <c r="EO81" s="31"/>
      <c r="EP81" s="31"/>
      <c r="EQ81" s="31"/>
      <c r="ER81" s="31"/>
      <c r="ES81" s="31"/>
      <c r="ET81" s="31"/>
      <c r="EU81" s="31"/>
      <c r="EV81" s="31"/>
      <c r="EW81" s="31"/>
      <c r="EX81" s="31"/>
      <c r="EY81" s="31"/>
      <c r="EZ81" s="31"/>
      <c r="FA81" s="31"/>
      <c r="FB81" s="31"/>
      <c r="FC81" s="31"/>
      <c r="FD81" s="31"/>
      <c r="FE81" s="31"/>
      <c r="FF81" s="31"/>
      <c r="FG81" s="31"/>
      <c r="FH81" s="31"/>
      <c r="FI81" s="31"/>
      <c r="FJ81" s="31"/>
      <c r="FK81" s="31"/>
      <c r="FL81" s="31"/>
      <c r="FM81" s="31"/>
      <c r="FN81" s="31"/>
      <c r="FO81" s="31"/>
      <c r="FP81" s="31"/>
      <c r="FQ81" s="31"/>
      <c r="FR81" s="31"/>
      <c r="FS81" s="31"/>
      <c r="FT81" s="31"/>
      <c r="FU81" s="31"/>
      <c r="FV81" s="31"/>
      <c r="FW81" s="31"/>
      <c r="FX81" s="31"/>
      <c r="FY81" s="31"/>
      <c r="FZ81" s="31"/>
      <c r="GA81" s="31"/>
      <c r="GB81" s="31"/>
      <c r="GC81" s="31"/>
      <c r="GD81" s="31"/>
      <c r="GE81" s="31"/>
      <c r="GF81" s="31"/>
      <c r="GG81" s="31"/>
      <c r="GH81" s="31"/>
      <c r="GI81" s="31"/>
      <c r="GJ81" s="31"/>
      <c r="GK81" s="31"/>
      <c r="GL81" s="31"/>
      <c r="GM81" s="31"/>
      <c r="GN81" s="31"/>
      <c r="GO81" s="31"/>
      <c r="GP81" s="31"/>
      <c r="GQ81" s="31"/>
      <c r="GR81" s="31"/>
      <c r="GS81" s="31"/>
      <c r="GT81" s="31"/>
      <c r="GU81" s="31"/>
      <c r="GV81" s="31"/>
      <c r="GW81" s="31"/>
      <c r="GX81" s="31"/>
      <c r="GY81" s="31"/>
      <c r="GZ81" s="31"/>
      <c r="HA81" s="31"/>
      <c r="HB81" s="31"/>
      <c r="HC81" s="31"/>
      <c r="HD81" s="31"/>
      <c r="HE81" s="31"/>
      <c r="HF81" s="31"/>
      <c r="HG81" s="31"/>
      <c r="HH81" s="31"/>
      <c r="HI81" s="31"/>
      <c r="HJ81" s="31"/>
      <c r="HK81" s="31"/>
      <c r="HL81" s="31"/>
      <c r="HM81" s="31"/>
      <c r="HN81" s="31"/>
      <c r="HO81" s="31"/>
      <c r="HP81" s="31"/>
      <c r="HQ81" s="31"/>
      <c r="HR81" s="31"/>
      <c r="HS81" s="31"/>
      <c r="HT81" s="31"/>
      <c r="HU81" s="31"/>
      <c r="HV81" s="31"/>
      <c r="HW81" s="31"/>
      <c r="HX81" s="31"/>
      <c r="HY81" s="31"/>
      <c r="HZ81" s="31"/>
      <c r="IA81" s="31"/>
      <c r="IB81" s="31"/>
      <c r="IC81" s="31"/>
      <c r="ID81" s="31"/>
      <c r="IE81" s="31"/>
      <c r="IF81" s="31"/>
      <c r="IG81" s="31"/>
      <c r="IH81" s="31"/>
      <c r="II81" s="31"/>
      <c r="IJ81" s="31"/>
      <c r="IK81" s="31"/>
      <c r="IL81" s="31"/>
      <c r="IM81" s="31"/>
      <c r="IN81" s="31"/>
      <c r="IO81" s="31"/>
      <c r="IP81" s="31"/>
      <c r="IQ81" s="31"/>
      <c r="IR81" s="31"/>
      <c r="IS81" s="31"/>
      <c r="IT81" s="31"/>
      <c r="IU81" s="31"/>
      <c r="IV81" s="31"/>
      <c r="IW81" s="31"/>
    </row>
    <row r="82" spans="1:257" ht="16.5" customHeight="1" x14ac:dyDescent="0.3">
      <c r="A82" s="234" t="s">
        <v>204</v>
      </c>
      <c r="B82" s="120" t="s">
        <v>187</v>
      </c>
      <c r="C82" s="86" t="s">
        <v>185</v>
      </c>
      <c r="D82" s="44"/>
      <c r="E82" s="44"/>
      <c r="F82" s="209"/>
      <c r="G82" s="44"/>
      <c r="H82" s="55"/>
      <c r="I82" s="76"/>
      <c r="J82" s="53"/>
      <c r="K82" s="53"/>
      <c r="L82" s="53"/>
      <c r="M82" s="71"/>
      <c r="N82" s="44"/>
      <c r="O82" s="107"/>
      <c r="P82" s="224"/>
      <c r="Q82" s="202">
        <f t="shared" ref="Q82:Q89" si="28">(P82/$P$99)</f>
        <v>0</v>
      </c>
      <c r="R82" s="47"/>
      <c r="S82" s="48">
        <f t="shared" ref="S82:S89" si="29">(R82/$R$99)</f>
        <v>0</v>
      </c>
      <c r="T82" s="49" t="e">
        <f t="shared" ref="T82:T87" si="30">((R82-P82)/P82)</f>
        <v>#DIV/0!</v>
      </c>
      <c r="U82" s="87" t="e">
        <f t="shared" ref="U82:U87" si="31">(L82/R82)</f>
        <v>#DIV/0!</v>
      </c>
      <c r="V82" s="50" t="e">
        <f t="shared" ref="V82:V87" si="32">M82/R82</f>
        <v>#DIV/0!</v>
      </c>
      <c r="W82" s="51" t="e">
        <f t="shared" ref="W82:W87" si="33">R82/AB82</f>
        <v>#DIV/0!</v>
      </c>
      <c r="X82" s="51" t="e">
        <f>M82/AB82</f>
        <v>#DIV/0!</v>
      </c>
      <c r="Y82" s="44"/>
      <c r="Z82" s="53"/>
      <c r="AA82" s="52">
        <v>0</v>
      </c>
      <c r="AB82" s="158">
        <v>0</v>
      </c>
      <c r="AC82" s="10"/>
      <c r="AD82" s="10"/>
      <c r="AE82" s="10"/>
      <c r="AF82" s="11"/>
      <c r="AG82" s="5"/>
      <c r="AH82" s="6"/>
      <c r="AI82" s="6"/>
      <c r="AJ82" s="6"/>
      <c r="AK82" s="7"/>
      <c r="AL82" s="5"/>
      <c r="AM82" s="6"/>
      <c r="AN82" s="6"/>
      <c r="AO82" s="6"/>
      <c r="AP82" s="7"/>
      <c r="AQ82" s="5"/>
      <c r="AR82" s="6"/>
      <c r="AS82" s="6"/>
      <c r="AT82" s="6"/>
      <c r="AU82" s="7"/>
    </row>
    <row r="83" spans="1:257" ht="16.5" customHeight="1" x14ac:dyDescent="0.3">
      <c r="A83" s="234" t="s">
        <v>205</v>
      </c>
      <c r="B83" s="120" t="s">
        <v>187</v>
      </c>
      <c r="C83" s="86" t="s">
        <v>186</v>
      </c>
      <c r="D83" s="55"/>
      <c r="E83" s="44"/>
      <c r="F83" s="209">
        <v>2120662629.8900001</v>
      </c>
      <c r="G83" s="44">
        <v>6238235973.6000004</v>
      </c>
      <c r="H83" s="55"/>
      <c r="I83" s="76"/>
      <c r="J83" s="53">
        <v>8425958788.29</v>
      </c>
      <c r="K83" s="53">
        <v>127442695.01000001</v>
      </c>
      <c r="L83" s="53">
        <v>12035849.15</v>
      </c>
      <c r="M83" s="71">
        <v>115406845.84999999</v>
      </c>
      <c r="N83" s="44">
        <v>8471348747.8299999</v>
      </c>
      <c r="O83" s="107">
        <v>45389959.539999999</v>
      </c>
      <c r="P83" s="224">
        <v>8335977419.6400003</v>
      </c>
      <c r="Q83" s="48">
        <f t="shared" si="28"/>
        <v>3.3075246682419068E-2</v>
      </c>
      <c r="R83" s="47">
        <v>8425958788.29</v>
      </c>
      <c r="S83" s="48">
        <f t="shared" si="29"/>
        <v>3.2464544751070384E-2</v>
      </c>
      <c r="T83" s="49">
        <f t="shared" si="30"/>
        <v>1.0794339298232597E-2</v>
      </c>
      <c r="U83" s="87">
        <f t="shared" si="31"/>
        <v>1.4284248775019949E-3</v>
      </c>
      <c r="V83" s="50">
        <f t="shared" si="32"/>
        <v>1.3696583231618339E-2</v>
      </c>
      <c r="W83" s="51">
        <f t="shared" si="33"/>
        <v>51860.552829611399</v>
      </c>
      <c r="X83" s="51">
        <f t="shared" ref="X83:X87" si="34">M83/AB83</f>
        <v>710.31237826851259</v>
      </c>
      <c r="Y83" s="53">
        <v>122.3</v>
      </c>
      <c r="Z83" s="44">
        <v>122.3</v>
      </c>
      <c r="AA83" s="52">
        <v>1666</v>
      </c>
      <c r="AB83" s="158">
        <v>162473.37</v>
      </c>
      <c r="AC83" s="25"/>
      <c r="AD83" s="20"/>
      <c r="AE83" s="12"/>
      <c r="AF83" s="12"/>
      <c r="AG83" s="5"/>
      <c r="AH83" s="6"/>
      <c r="AI83" s="6"/>
      <c r="AJ83" s="6"/>
      <c r="AK83" s="7"/>
      <c r="AL83" s="5"/>
      <c r="AM83" s="6"/>
      <c r="AN83" s="6"/>
      <c r="AO83" s="6"/>
      <c r="AP83" s="7"/>
      <c r="AQ83" s="5"/>
      <c r="AR83" s="6"/>
      <c r="AS83" s="6"/>
      <c r="AT83" s="6"/>
      <c r="AU83" s="7"/>
    </row>
    <row r="84" spans="1:257" ht="16.5" customHeight="1" x14ac:dyDescent="0.3">
      <c r="A84" s="156">
        <v>73</v>
      </c>
      <c r="B84" s="120" t="s">
        <v>35</v>
      </c>
      <c r="C84" s="86" t="s">
        <v>215</v>
      </c>
      <c r="D84" s="55"/>
      <c r="E84" s="44"/>
      <c r="F84" s="53"/>
      <c r="G84" s="44">
        <f>413.49*124554552.3</f>
        <v>51502061830.527</v>
      </c>
      <c r="H84" s="44"/>
      <c r="I84" s="53"/>
      <c r="J84" s="44">
        <f>G84</f>
        <v>51502061830.527</v>
      </c>
      <c r="K84" s="53">
        <f>413.49*895605</f>
        <v>370323711.44999999</v>
      </c>
      <c r="L84" s="53">
        <f>413.49*224839</f>
        <v>92968678.109999999</v>
      </c>
      <c r="M84" s="201">
        <f>413.49*670766</f>
        <v>277355033.34000003</v>
      </c>
      <c r="N84" s="53">
        <f>413.49*154068833</f>
        <v>63705921757.169998</v>
      </c>
      <c r="O84" s="53">
        <f>413.49*903146</f>
        <v>373441839.54000002</v>
      </c>
      <c r="P84" s="224">
        <f>410.66*140218370</f>
        <v>57582075824.200005</v>
      </c>
      <c r="Q84" s="202">
        <f t="shared" si="28"/>
        <v>0.22847247137258014</v>
      </c>
      <c r="R84" s="47">
        <f>413.49*153165687</f>
        <v>63332479917.630005</v>
      </c>
      <c r="S84" s="48">
        <f t="shared" si="29"/>
        <v>0.24401497564165409</v>
      </c>
      <c r="T84" s="49">
        <f>((R84-P84)/P84)</f>
        <v>9.9864480589171106E-2</v>
      </c>
      <c r="U84" s="87">
        <f>(L84/R84)</f>
        <v>1.4679462770274389E-3</v>
      </c>
      <c r="V84" s="50">
        <f>M84/R84</f>
        <v>4.3793490117665845E-3</v>
      </c>
      <c r="W84" s="51">
        <f>R84/AB84</f>
        <v>50355.592064617704</v>
      </c>
      <c r="X84" s="51">
        <f>M84/AB84</f>
        <v>220.5247123451048</v>
      </c>
      <c r="Y84" s="53">
        <f>413.49*121.78</f>
        <v>50354.8122</v>
      </c>
      <c r="Z84" s="53">
        <f>413.49*121.78</f>
        <v>50354.8122</v>
      </c>
      <c r="AA84" s="52">
        <v>1091</v>
      </c>
      <c r="AB84" s="158">
        <v>1257705</v>
      </c>
      <c r="AC84" s="25"/>
      <c r="AD84" s="20"/>
      <c r="AE84" s="12"/>
      <c r="AF84" s="12"/>
      <c r="AG84" s="5"/>
      <c r="AH84" s="6"/>
      <c r="AI84" s="6"/>
      <c r="AJ84" s="6"/>
      <c r="AK84" s="7"/>
      <c r="AL84" s="5"/>
      <c r="AM84" s="6"/>
      <c r="AN84" s="6"/>
      <c r="AO84" s="6"/>
      <c r="AP84" s="7"/>
      <c r="AQ84" s="5"/>
      <c r="AR84" s="6"/>
      <c r="AS84" s="6"/>
      <c r="AT84" s="6"/>
      <c r="AU84" s="7"/>
      <c r="AV84" s="31"/>
      <c r="AW84" s="31"/>
      <c r="AX84" s="31"/>
      <c r="AY84" s="31"/>
      <c r="AZ84" s="31"/>
      <c r="BA84" s="31"/>
      <c r="BB84" s="31"/>
      <c r="BC84" s="31"/>
      <c r="BD84" s="31"/>
      <c r="BE84" s="31"/>
      <c r="BF84" s="31"/>
      <c r="BG84" s="31"/>
      <c r="BH84" s="31"/>
      <c r="BI84" s="31"/>
      <c r="BJ84" s="31"/>
      <c r="BK84" s="31"/>
      <c r="BL84" s="31"/>
      <c r="BM84" s="31"/>
      <c r="BN84" s="31"/>
      <c r="BO84" s="31"/>
      <c r="BP84" s="31"/>
      <c r="BQ84" s="31"/>
      <c r="BR84" s="31"/>
      <c r="BS84" s="31"/>
      <c r="BT84" s="31"/>
      <c r="BU84" s="31"/>
      <c r="BV84" s="31"/>
      <c r="BW84" s="31"/>
      <c r="BX84" s="31"/>
      <c r="BY84" s="31"/>
      <c r="BZ84" s="31"/>
      <c r="CA84" s="31"/>
      <c r="CB84" s="31"/>
      <c r="CC84" s="31"/>
      <c r="CD84" s="31"/>
      <c r="CE84" s="31"/>
      <c r="CF84" s="31"/>
      <c r="CG84" s="31"/>
      <c r="CH84" s="31"/>
      <c r="CI84" s="31"/>
      <c r="CJ84" s="31"/>
      <c r="CK84" s="31"/>
      <c r="CL84" s="31"/>
      <c r="CM84" s="31"/>
      <c r="CN84" s="31"/>
      <c r="CO84" s="31"/>
      <c r="CP84" s="31"/>
      <c r="CQ84" s="31"/>
      <c r="CR84" s="31"/>
      <c r="CS84" s="31"/>
      <c r="CT84" s="31"/>
      <c r="CU84" s="31"/>
      <c r="CV84" s="31"/>
      <c r="CW84" s="31"/>
      <c r="CX84" s="31"/>
      <c r="CY84" s="31"/>
      <c r="CZ84" s="31"/>
      <c r="DA84" s="31"/>
      <c r="DB84" s="31"/>
      <c r="DC84" s="31"/>
      <c r="DD84" s="31"/>
      <c r="DE84" s="31"/>
      <c r="DF84" s="31"/>
      <c r="DG84" s="31"/>
      <c r="DH84" s="31"/>
      <c r="DI84" s="31"/>
      <c r="DJ84" s="31"/>
      <c r="DK84" s="31"/>
      <c r="DL84" s="31"/>
      <c r="DM84" s="31"/>
      <c r="DN84" s="31"/>
      <c r="DO84" s="31"/>
      <c r="DP84" s="31"/>
      <c r="DQ84" s="31"/>
      <c r="DR84" s="31"/>
      <c r="DS84" s="31"/>
      <c r="DT84" s="31"/>
      <c r="DU84" s="31"/>
      <c r="DV84" s="31"/>
      <c r="DW84" s="31"/>
      <c r="DX84" s="31"/>
      <c r="DY84" s="31"/>
      <c r="DZ84" s="31"/>
      <c r="EA84" s="31"/>
      <c r="EB84" s="31"/>
      <c r="EC84" s="31"/>
      <c r="ED84" s="31"/>
      <c r="EE84" s="31"/>
      <c r="EF84" s="31"/>
      <c r="EG84" s="31"/>
      <c r="EH84" s="31"/>
      <c r="EI84" s="31"/>
      <c r="EJ84" s="31"/>
      <c r="EK84" s="31"/>
      <c r="EL84" s="31"/>
      <c r="EM84" s="31"/>
      <c r="EN84" s="31"/>
      <c r="EO84" s="31"/>
      <c r="EP84" s="31"/>
      <c r="EQ84" s="31"/>
      <c r="ER84" s="31"/>
      <c r="ES84" s="31"/>
      <c r="ET84" s="31"/>
      <c r="EU84" s="31"/>
      <c r="EV84" s="31"/>
      <c r="EW84" s="31"/>
      <c r="EX84" s="31"/>
      <c r="EY84" s="31"/>
      <c r="EZ84" s="31"/>
      <c r="FA84" s="31"/>
      <c r="FB84" s="31"/>
      <c r="FC84" s="31"/>
      <c r="FD84" s="31"/>
      <c r="FE84" s="31"/>
      <c r="FF84" s="31"/>
      <c r="FG84" s="31"/>
      <c r="FH84" s="31"/>
      <c r="FI84" s="31"/>
      <c r="FJ84" s="31"/>
      <c r="FK84" s="31"/>
      <c r="FL84" s="31"/>
      <c r="FM84" s="31"/>
      <c r="FN84" s="31"/>
      <c r="FO84" s="31"/>
      <c r="FP84" s="31"/>
      <c r="FQ84" s="31"/>
      <c r="FR84" s="31"/>
      <c r="FS84" s="31"/>
      <c r="FT84" s="31"/>
      <c r="FU84" s="31"/>
      <c r="FV84" s="31"/>
      <c r="FW84" s="31"/>
      <c r="FX84" s="31"/>
      <c r="FY84" s="31"/>
      <c r="FZ84" s="31"/>
      <c r="GA84" s="31"/>
      <c r="GB84" s="31"/>
      <c r="GC84" s="31"/>
      <c r="GD84" s="31"/>
      <c r="GE84" s="31"/>
      <c r="GF84" s="31"/>
      <c r="GG84" s="31"/>
      <c r="GH84" s="31"/>
      <c r="GI84" s="31"/>
      <c r="GJ84" s="31"/>
      <c r="GK84" s="31"/>
      <c r="GL84" s="31"/>
      <c r="GM84" s="31"/>
      <c r="GN84" s="31"/>
      <c r="GO84" s="31"/>
      <c r="GP84" s="31"/>
      <c r="GQ84" s="31"/>
      <c r="GR84" s="31"/>
      <c r="GS84" s="31"/>
      <c r="GT84" s="31"/>
      <c r="GU84" s="31"/>
      <c r="GV84" s="31"/>
      <c r="GW84" s="31"/>
      <c r="GX84" s="31"/>
      <c r="GY84" s="31"/>
      <c r="GZ84" s="31"/>
      <c r="HA84" s="31"/>
      <c r="HB84" s="31"/>
      <c r="HC84" s="31"/>
      <c r="HD84" s="31"/>
      <c r="HE84" s="31"/>
      <c r="HF84" s="31"/>
      <c r="HG84" s="31"/>
      <c r="HH84" s="31"/>
      <c r="HI84" s="31"/>
      <c r="HJ84" s="31"/>
      <c r="HK84" s="31"/>
      <c r="HL84" s="31"/>
      <c r="HM84" s="31"/>
      <c r="HN84" s="31"/>
      <c r="HO84" s="31"/>
      <c r="HP84" s="31"/>
      <c r="HQ84" s="31"/>
      <c r="HR84" s="31"/>
      <c r="HS84" s="31"/>
      <c r="HT84" s="31"/>
      <c r="HU84" s="31"/>
      <c r="HV84" s="31"/>
      <c r="HW84" s="31"/>
      <c r="HX84" s="31"/>
      <c r="HY84" s="31"/>
      <c r="HZ84" s="31"/>
      <c r="IA84" s="31"/>
      <c r="IB84" s="31"/>
      <c r="IC84" s="31"/>
      <c r="ID84" s="31"/>
      <c r="IE84" s="31"/>
      <c r="IF84" s="31"/>
      <c r="IG84" s="31"/>
      <c r="IH84" s="31"/>
      <c r="II84" s="31"/>
      <c r="IJ84" s="31"/>
      <c r="IK84" s="31"/>
      <c r="IL84" s="31"/>
      <c r="IM84" s="31"/>
      <c r="IN84" s="31"/>
      <c r="IO84" s="31"/>
      <c r="IP84" s="31"/>
      <c r="IQ84" s="31"/>
      <c r="IR84" s="31"/>
      <c r="IS84" s="31"/>
      <c r="IT84" s="31"/>
      <c r="IU84" s="31"/>
      <c r="IV84" s="31"/>
      <c r="IW84" s="31"/>
    </row>
    <row r="85" spans="1:257" ht="16.5" customHeight="1" x14ac:dyDescent="0.3">
      <c r="A85" s="156">
        <v>74</v>
      </c>
      <c r="B85" s="120" t="s">
        <v>188</v>
      </c>
      <c r="C85" s="86" t="s">
        <v>97</v>
      </c>
      <c r="D85" s="55"/>
      <c r="E85" s="44"/>
      <c r="F85" s="53">
        <f>413.49*3936.29</f>
        <v>1627616.5521</v>
      </c>
      <c r="G85" s="44">
        <f>413.49*72856.34</f>
        <v>30125368.0266</v>
      </c>
      <c r="H85" s="44"/>
      <c r="I85" s="53"/>
      <c r="J85" s="53">
        <f>413.49*76792.63</f>
        <v>31752984.578700002</v>
      </c>
      <c r="K85" s="218">
        <f>M85+L85</f>
        <v>23637184.794299997</v>
      </c>
      <c r="L85" s="53">
        <f>413.49*19.65</f>
        <v>8125.0784999999996</v>
      </c>
      <c r="M85" s="201">
        <f>413.49*57145.42</f>
        <v>23629059.715799998</v>
      </c>
      <c r="N85" s="53">
        <f>413.49*13386124.15</f>
        <v>5535028474.7835007</v>
      </c>
      <c r="O85" s="53">
        <f>413.49*56651</f>
        <v>23424621.990000002</v>
      </c>
      <c r="P85" s="224">
        <f>410.66*13231168.01</f>
        <v>5433511454.9865999</v>
      </c>
      <c r="Q85" s="48">
        <f t="shared" si="28"/>
        <v>2.1558927367295189E-2</v>
      </c>
      <c r="R85" s="47">
        <v>5504939178.1700001</v>
      </c>
      <c r="S85" s="48">
        <f t="shared" si="29"/>
        <v>2.121009000779718E-2</v>
      </c>
      <c r="T85" s="49">
        <f t="shared" si="30"/>
        <v>1.3145775761243208E-2</v>
      </c>
      <c r="U85" s="87">
        <f t="shared" si="31"/>
        <v>1.4759615387251216E-6</v>
      </c>
      <c r="V85" s="50">
        <f t="shared" si="32"/>
        <v>4.2923380170123834E-3</v>
      </c>
      <c r="W85" s="51">
        <f t="shared" si="33"/>
        <v>553.45145168451165</v>
      </c>
      <c r="X85" s="51">
        <f t="shared" si="34"/>
        <v>2.375600706636122</v>
      </c>
      <c r="Y85" s="53">
        <f>413.49*1.21</f>
        <v>500.3229</v>
      </c>
      <c r="Z85" s="53">
        <f>413.49*1.21</f>
        <v>500.3229</v>
      </c>
      <c r="AA85" s="215">
        <v>121</v>
      </c>
      <c r="AB85" s="214">
        <v>9946562</v>
      </c>
      <c r="AC85" s="13"/>
      <c r="AD85" s="21"/>
      <c r="AE85" s="4"/>
      <c r="AF85" s="4"/>
      <c r="AG85" s="5"/>
      <c r="AH85" s="6"/>
      <c r="AI85" s="6"/>
      <c r="AJ85" s="6"/>
      <c r="AK85" s="7"/>
      <c r="AL85" s="5"/>
      <c r="AM85" s="6"/>
      <c r="AN85" s="6"/>
      <c r="AO85" s="6"/>
      <c r="AP85" s="7"/>
      <c r="AQ85" s="5"/>
      <c r="AR85" s="6"/>
      <c r="AS85" s="6"/>
      <c r="AT85" s="6"/>
      <c r="AU85" s="7"/>
    </row>
    <row r="86" spans="1:257" ht="16.5" customHeight="1" x14ac:dyDescent="0.3">
      <c r="A86" s="156">
        <v>75</v>
      </c>
      <c r="B86" s="120" t="s">
        <v>48</v>
      </c>
      <c r="C86" s="86" t="s">
        <v>98</v>
      </c>
      <c r="D86" s="55"/>
      <c r="E86" s="44"/>
      <c r="F86" s="53"/>
      <c r="G86" s="44">
        <v>657976578.75</v>
      </c>
      <c r="H86" s="44"/>
      <c r="I86" s="53"/>
      <c r="J86" s="53">
        <v>657976578.75</v>
      </c>
      <c r="K86" s="53">
        <v>2510675.7000000002</v>
      </c>
      <c r="L86" s="53">
        <v>750962.76</v>
      </c>
      <c r="M86" s="71">
        <v>1759712.94</v>
      </c>
      <c r="N86" s="44">
        <v>665279144.54999995</v>
      </c>
      <c r="O86" s="53">
        <v>13523663.189999999</v>
      </c>
      <c r="P86" s="224">
        <v>641723842.67999995</v>
      </c>
      <c r="Q86" s="48">
        <f t="shared" si="28"/>
        <v>2.5462130389920755E-3</v>
      </c>
      <c r="R86" s="47">
        <v>651829461.36000001</v>
      </c>
      <c r="S86" s="48">
        <f t="shared" si="29"/>
        <v>2.5114467385951213E-3</v>
      </c>
      <c r="T86" s="49">
        <f t="shared" si="30"/>
        <v>1.5747612926140419E-2</v>
      </c>
      <c r="U86" s="87">
        <f t="shared" si="31"/>
        <v>1.1520847161973391E-3</v>
      </c>
      <c r="V86" s="50">
        <f t="shared" si="32"/>
        <v>2.6996523543573385E-3</v>
      </c>
      <c r="W86" s="51">
        <f t="shared" si="33"/>
        <v>46890.83241205669</v>
      </c>
      <c r="X86" s="51">
        <f t="shared" si="34"/>
        <v>126.58894611898424</v>
      </c>
      <c r="Y86" s="53">
        <v>114.086</v>
      </c>
      <c r="Z86" s="53">
        <v>116.453</v>
      </c>
      <c r="AA86" s="52">
        <v>30</v>
      </c>
      <c r="AB86" s="158">
        <v>13901</v>
      </c>
      <c r="AC86" s="13"/>
      <c r="AD86" s="4"/>
      <c r="AE86" s="4"/>
      <c r="AF86" s="4"/>
      <c r="AG86" s="5"/>
      <c r="AH86" s="6"/>
      <c r="AI86" s="6"/>
      <c r="AJ86" s="6"/>
      <c r="AK86" s="7"/>
      <c r="AL86" s="5"/>
      <c r="AM86" s="6"/>
      <c r="AN86" s="6"/>
      <c r="AO86" s="6"/>
      <c r="AP86" s="7"/>
      <c r="AQ86" s="5"/>
      <c r="AR86" s="6"/>
      <c r="AS86" s="6"/>
      <c r="AT86" s="6"/>
      <c r="AU86" s="7"/>
    </row>
    <row r="87" spans="1:257" ht="16.5" customHeight="1" x14ac:dyDescent="0.3">
      <c r="A87" s="156">
        <v>76</v>
      </c>
      <c r="B87" s="120" t="s">
        <v>33</v>
      </c>
      <c r="C87" s="86" t="s">
        <v>99</v>
      </c>
      <c r="D87" s="55"/>
      <c r="E87" s="55"/>
      <c r="F87" s="55"/>
      <c r="G87" s="45">
        <v>743526122.60000002</v>
      </c>
      <c r="H87" s="55"/>
      <c r="I87" s="55"/>
      <c r="J87" s="45">
        <v>743526122.60000002</v>
      </c>
      <c r="K87" s="45">
        <v>5359673.8</v>
      </c>
      <c r="L87" s="45">
        <v>1381102.08</v>
      </c>
      <c r="M87" s="71">
        <v>3978571.72</v>
      </c>
      <c r="N87" s="44">
        <v>764295555.76999998</v>
      </c>
      <c r="O87" s="53">
        <v>11106581.220000001</v>
      </c>
      <c r="P87" s="224">
        <v>727066807.5</v>
      </c>
      <c r="Q87" s="48">
        <f t="shared" si="28"/>
        <v>2.8848343513987037E-3</v>
      </c>
      <c r="R87" s="47">
        <v>753188974.54999995</v>
      </c>
      <c r="S87" s="48">
        <f t="shared" si="29"/>
        <v>2.9019768295417531E-3</v>
      </c>
      <c r="T87" s="49">
        <f t="shared" si="30"/>
        <v>3.5928152379587144E-2</v>
      </c>
      <c r="U87" s="87">
        <f t="shared" si="31"/>
        <v>1.8336727257925582E-3</v>
      </c>
      <c r="V87" s="50">
        <f t="shared" si="32"/>
        <v>5.2823021239484236E-3</v>
      </c>
      <c r="W87" s="51">
        <f t="shared" si="33"/>
        <v>42442.961479574726</v>
      </c>
      <c r="X87" s="51">
        <f t="shared" si="34"/>
        <v>224.19654557021872</v>
      </c>
      <c r="Y87" s="53">
        <f>411.66*102.6457</f>
        <v>42255.128862000005</v>
      </c>
      <c r="Z87" s="53">
        <f>411.66*102.6457</f>
        <v>42255.128862000005</v>
      </c>
      <c r="AA87" s="52">
        <v>200</v>
      </c>
      <c r="AB87" s="158">
        <v>17745.91</v>
      </c>
      <c r="AC87" s="3"/>
      <c r="AD87" s="9"/>
      <c r="AE87" s="9"/>
      <c r="AF87" s="9"/>
      <c r="AG87" s="5"/>
      <c r="AH87" s="6"/>
      <c r="AI87" s="6"/>
      <c r="AJ87" s="6"/>
      <c r="AK87" s="7"/>
      <c r="AL87" s="5"/>
      <c r="AM87" s="6"/>
      <c r="AN87" s="6"/>
      <c r="AO87" s="6"/>
      <c r="AP87" s="7"/>
      <c r="AQ87" s="5"/>
      <c r="AR87" s="6"/>
      <c r="AS87" s="6"/>
      <c r="AT87" s="6"/>
      <c r="AU87" s="7"/>
    </row>
    <row r="88" spans="1:257" ht="16.5" customHeight="1" x14ac:dyDescent="0.3">
      <c r="A88" s="156">
        <v>77</v>
      </c>
      <c r="B88" s="122" t="s">
        <v>37</v>
      </c>
      <c r="C88" s="86" t="s">
        <v>100</v>
      </c>
      <c r="D88" s="55"/>
      <c r="E88" s="44"/>
      <c r="F88" s="53"/>
      <c r="G88" s="44">
        <f>413.49*11232725.84</f>
        <v>4644619807.5816002</v>
      </c>
      <c r="H88" s="44"/>
      <c r="I88" s="53"/>
      <c r="J88" s="53">
        <f>413.49*11232725.84</f>
        <v>4644619807.5816002</v>
      </c>
      <c r="K88" s="53">
        <f>413.49*86069.63</f>
        <v>35588931.308700003</v>
      </c>
      <c r="L88" s="53">
        <f>413.49*47403.66</f>
        <v>19600939.373400003</v>
      </c>
      <c r="M88" s="211">
        <f>413.49*24817.24</f>
        <v>10261680.567600001</v>
      </c>
      <c r="N88" s="53">
        <f>413.49*15819643</f>
        <v>6541264184.0699997</v>
      </c>
      <c r="O88" s="53">
        <f>413.49*247204</f>
        <v>102216381.96000001</v>
      </c>
      <c r="P88" s="224">
        <f>410.66*15485735</f>
        <v>6359371935.1000004</v>
      </c>
      <c r="Q88" s="202">
        <f t="shared" si="28"/>
        <v>2.5232529421579088E-2</v>
      </c>
      <c r="R88" s="47">
        <f>413.49*15572439</f>
        <v>6439047802.1100006</v>
      </c>
      <c r="S88" s="48">
        <f t="shared" si="29"/>
        <v>2.480913576463209E-2</v>
      </c>
      <c r="T88" s="49">
        <f>((R88-P88)/P88)</f>
        <v>1.252888930276844E-2</v>
      </c>
      <c r="U88" s="87">
        <f>(L88/R88)</f>
        <v>3.0440742134228301E-3</v>
      </c>
      <c r="V88" s="50">
        <f>M88/R88</f>
        <v>1.5936642936922084E-3</v>
      </c>
      <c r="W88" s="51">
        <f>R88/AB88</f>
        <v>476.03203534380401</v>
      </c>
      <c r="X88" s="51">
        <f>M88/AB88</f>
        <v>0.75863525738104787</v>
      </c>
      <c r="Y88" s="53">
        <f>413.49*1.0767</f>
        <v>445.20468299999999</v>
      </c>
      <c r="Z88" s="44">
        <f>413.49*1.0821</f>
        <v>447.43752900000004</v>
      </c>
      <c r="AA88" s="52">
        <v>448</v>
      </c>
      <c r="AB88" s="158">
        <v>13526501</v>
      </c>
      <c r="AC88" s="10"/>
      <c r="AD88" s="10"/>
      <c r="AE88" s="10"/>
      <c r="AF88" s="11"/>
      <c r="AG88" s="5"/>
      <c r="AH88" s="6"/>
      <c r="AI88" s="6"/>
      <c r="AJ88" s="6"/>
      <c r="AK88" s="7"/>
      <c r="AL88" s="5"/>
      <c r="AM88" s="6"/>
      <c r="AN88" s="6"/>
      <c r="AO88" s="6"/>
      <c r="AP88" s="7"/>
      <c r="AQ88" s="5"/>
      <c r="AR88" s="6"/>
      <c r="AS88" s="6"/>
      <c r="AT88" s="6"/>
      <c r="AU88" s="7"/>
    </row>
    <row r="89" spans="1:257" ht="16.5" customHeight="1" x14ac:dyDescent="0.3">
      <c r="A89" s="156">
        <v>78</v>
      </c>
      <c r="B89" s="122" t="s">
        <v>164</v>
      </c>
      <c r="C89" s="120" t="s">
        <v>167</v>
      </c>
      <c r="D89" s="55"/>
      <c r="E89" s="44"/>
      <c r="F89" s="53"/>
      <c r="G89" s="44">
        <v>730706854.52999997</v>
      </c>
      <c r="H89" s="44"/>
      <c r="I89" s="53">
        <v>52803582.68</v>
      </c>
      <c r="J89" s="53">
        <v>783516866.98000002</v>
      </c>
      <c r="K89" s="53">
        <v>3889617.73</v>
      </c>
      <c r="L89" s="53">
        <v>1383678.13</v>
      </c>
      <c r="M89" s="71">
        <v>2505939.61</v>
      </c>
      <c r="N89" s="44">
        <v>783516866.98000002</v>
      </c>
      <c r="O89" s="53">
        <v>748928899.86000001</v>
      </c>
      <c r="P89" s="224">
        <v>725937582.78999996</v>
      </c>
      <c r="Q89" s="48">
        <f t="shared" si="28"/>
        <v>2.8803538467184562E-3</v>
      </c>
      <c r="R89" s="47">
        <v>776951026.19000006</v>
      </c>
      <c r="S89" s="48">
        <f t="shared" si="29"/>
        <v>2.9935301124650112E-3</v>
      </c>
      <c r="T89" s="49">
        <f t="shared" ref="T89" si="35">((R89-P89)/P89)</f>
        <v>7.0272492579788806E-2</v>
      </c>
      <c r="U89" s="87">
        <f t="shared" ref="U89" si="36">(L89/R89)</f>
        <v>1.7809077835771174E-3</v>
      </c>
      <c r="V89" s="50">
        <f t="shared" ref="V89" si="37">M89/R89</f>
        <v>3.2253507950025964E-3</v>
      </c>
      <c r="W89" s="51">
        <f t="shared" ref="W89" si="38">R89/AB89</f>
        <v>43228.548563686847</v>
      </c>
      <c r="X89" s="51">
        <f t="shared" ref="X89" si="39">M89/AB89</f>
        <v>139.42723347669573</v>
      </c>
      <c r="Y89" s="53">
        <f>413.49*104.55</f>
        <v>43230.379500000003</v>
      </c>
      <c r="Z89" s="53">
        <f>413.49*104.55</f>
        <v>43230.379500000003</v>
      </c>
      <c r="AA89" s="52">
        <v>34</v>
      </c>
      <c r="AB89" s="158">
        <v>17973.099999999999</v>
      </c>
      <c r="AC89" s="13"/>
      <c r="AD89" s="4"/>
      <c r="AE89" s="4"/>
      <c r="AF89" s="4"/>
      <c r="AG89" s="5"/>
      <c r="AH89" s="6"/>
      <c r="AI89" s="6"/>
      <c r="AJ89" s="6"/>
      <c r="AK89" s="7"/>
      <c r="AL89" s="5"/>
      <c r="AM89" s="6"/>
      <c r="AN89" s="6"/>
      <c r="AO89" s="6"/>
      <c r="AP89" s="7"/>
      <c r="AQ89" s="5"/>
      <c r="AR89" s="6"/>
      <c r="AS89" s="6"/>
      <c r="AT89" s="6"/>
      <c r="AU89" s="7"/>
    </row>
    <row r="90" spans="1:257" ht="6" customHeight="1" x14ac:dyDescent="0.3">
      <c r="A90" s="156"/>
      <c r="B90" s="122"/>
      <c r="C90" s="86"/>
      <c r="D90" s="104"/>
      <c r="E90" s="104"/>
      <c r="F90" s="104"/>
      <c r="G90" s="104"/>
      <c r="H90" s="104"/>
      <c r="I90" s="81"/>
      <c r="J90" s="83"/>
      <c r="K90" s="83"/>
      <c r="L90" s="83"/>
      <c r="M90" s="71"/>
      <c r="N90" s="44"/>
      <c r="O90" s="44"/>
      <c r="P90" s="112"/>
      <c r="Q90" s="48"/>
      <c r="R90" s="56"/>
      <c r="S90" s="48"/>
      <c r="T90" s="49"/>
      <c r="U90" s="87"/>
      <c r="V90" s="50"/>
      <c r="W90" s="51"/>
      <c r="X90" s="51"/>
      <c r="Y90" s="44"/>
      <c r="Z90" s="44"/>
      <c r="AA90" s="52"/>
      <c r="AB90" s="157"/>
      <c r="AC90" s="13"/>
      <c r="AD90" s="4"/>
      <c r="AE90" s="4"/>
      <c r="AF90" s="4"/>
      <c r="AG90" s="5"/>
      <c r="AH90" s="6"/>
      <c r="AI90" s="6"/>
      <c r="AJ90" s="6"/>
      <c r="AK90" s="7"/>
      <c r="AL90" s="5"/>
      <c r="AM90" s="6"/>
      <c r="AN90" s="6"/>
      <c r="AO90" s="6"/>
      <c r="AP90" s="7"/>
      <c r="AQ90" s="5"/>
      <c r="AR90" s="6"/>
      <c r="AS90" s="6"/>
      <c r="AT90" s="6"/>
      <c r="AU90" s="7"/>
    </row>
    <row r="91" spans="1:257" ht="16.5" customHeight="1" x14ac:dyDescent="0.3">
      <c r="A91" s="236" t="s">
        <v>184</v>
      </c>
      <c r="B91" s="237"/>
      <c r="C91" s="237"/>
      <c r="D91" s="132"/>
      <c r="E91" s="132"/>
      <c r="F91" s="132"/>
      <c r="G91" s="132"/>
      <c r="H91" s="132"/>
      <c r="I91" s="132"/>
      <c r="J91" s="132"/>
      <c r="K91" s="132"/>
      <c r="L91" s="132"/>
      <c r="M91" s="132"/>
      <c r="N91" s="132"/>
      <c r="O91" s="132"/>
      <c r="P91" s="133"/>
      <c r="Q91" s="134"/>
      <c r="R91" s="132"/>
      <c r="S91" s="134"/>
      <c r="T91" s="134"/>
      <c r="U91" s="135"/>
      <c r="V91" s="136"/>
      <c r="W91" s="137"/>
      <c r="X91" s="137"/>
      <c r="Y91" s="132"/>
      <c r="Z91" s="132"/>
      <c r="AA91" s="132"/>
      <c r="AB91" s="166"/>
      <c r="AC91" s="13"/>
      <c r="AD91" s="4"/>
      <c r="AE91" s="4"/>
      <c r="AF91" s="4"/>
      <c r="AG91" s="5"/>
      <c r="AH91" s="6"/>
      <c r="AI91" s="6"/>
      <c r="AJ91" s="6"/>
      <c r="AK91" s="7"/>
      <c r="AL91" s="5"/>
      <c r="AM91" s="6"/>
      <c r="AN91" s="6"/>
      <c r="AO91" s="6"/>
      <c r="AP91" s="7"/>
      <c r="AQ91" s="5"/>
      <c r="AR91" s="6"/>
      <c r="AS91" s="6"/>
      <c r="AT91" s="6"/>
      <c r="AU91" s="7"/>
    </row>
    <row r="92" spans="1:257" ht="16.5" customHeight="1" x14ac:dyDescent="0.3">
      <c r="A92" s="156">
        <v>79</v>
      </c>
      <c r="B92" s="120" t="s">
        <v>25</v>
      </c>
      <c r="C92" s="120" t="s">
        <v>114</v>
      </c>
      <c r="D92" s="81"/>
      <c r="E92" s="81"/>
      <c r="F92" s="81">
        <f>413.49*115352322.41</f>
        <v>47697031793.310898</v>
      </c>
      <c r="G92" s="81">
        <f>413.49*279485089.89</f>
        <v>115564289818.6161</v>
      </c>
      <c r="H92" s="81"/>
      <c r="I92" s="81"/>
      <c r="J92" s="81">
        <f>413.49*394837412.3</f>
        <v>163261321611.927</v>
      </c>
      <c r="K92" s="81">
        <f>413.49*2321185.59</f>
        <v>959787029.60909998</v>
      </c>
      <c r="L92" s="81">
        <f>413.49*574797.71</f>
        <v>237673105.10789999</v>
      </c>
      <c r="M92" s="203">
        <f>413.49*1746387.88</f>
        <v>722113924.50119996</v>
      </c>
      <c r="N92" s="81">
        <f>413.49*396995565.57</f>
        <v>164153696407.53931</v>
      </c>
      <c r="O92" s="81">
        <f>413.49*1725597.94</f>
        <v>713517492.21060002</v>
      </c>
      <c r="P92" s="224">
        <f>410.66*395947787.37</f>
        <v>162599918361.3642</v>
      </c>
      <c r="Q92" s="48">
        <f t="shared" ref="Q92:Q98" si="40">(P92/$P$99)</f>
        <v>0.64515918645273629</v>
      </c>
      <c r="R92" s="56">
        <f>413.49*395269967.63</f>
        <v>163440178915.3287</v>
      </c>
      <c r="S92" s="48">
        <f t="shared" ref="S92:S98" si="41">(R92/$R$99)</f>
        <v>0.62972192670746052</v>
      </c>
      <c r="T92" s="49">
        <f>((R92-P92)/P92)</f>
        <v>5.1676566780132199E-3</v>
      </c>
      <c r="U92" s="87">
        <f>(L92/R92)</f>
        <v>1.4541901916971601E-3</v>
      </c>
      <c r="V92" s="50">
        <f>M92/R92</f>
        <v>4.418215455303044E-3</v>
      </c>
      <c r="W92" s="51">
        <f>R92/AB92</f>
        <v>534.31478655040871</v>
      </c>
      <c r="X92" s="51">
        <f>M92/AB92</f>
        <v>2.3607178479339628</v>
      </c>
      <c r="Y92" s="44">
        <f>413.49*1.2922</f>
        <v>534.311778</v>
      </c>
      <c r="Z92" s="44">
        <f>413.49*1.2922</f>
        <v>534.311778</v>
      </c>
      <c r="AA92" s="70">
        <v>3740</v>
      </c>
      <c r="AB92" s="164">
        <v>305887433.82999998</v>
      </c>
      <c r="AC92" s="13"/>
      <c r="AD92" s="4"/>
      <c r="AE92" s="4"/>
      <c r="AF92" s="4"/>
      <c r="AG92" s="5"/>
      <c r="AH92" s="6"/>
      <c r="AI92" s="6"/>
      <c r="AJ92" s="6"/>
      <c r="AK92" s="7"/>
      <c r="AL92" s="5"/>
      <c r="AM92" s="6"/>
      <c r="AN92" s="6"/>
      <c r="AO92" s="6"/>
      <c r="AP92" s="7"/>
      <c r="AQ92" s="5"/>
      <c r="AR92" s="6"/>
      <c r="AS92" s="6"/>
      <c r="AT92" s="6"/>
      <c r="AU92" s="7"/>
    </row>
    <row r="93" spans="1:257" ht="16.5" customHeight="1" x14ac:dyDescent="0.3">
      <c r="A93" s="156">
        <v>80</v>
      </c>
      <c r="B93" s="122" t="s">
        <v>46</v>
      </c>
      <c r="C93" s="85" t="s">
        <v>117</v>
      </c>
      <c r="D93" s="81"/>
      <c r="E93" s="81"/>
      <c r="F93" s="81">
        <f>413.49*373927.93</f>
        <v>154615459.7757</v>
      </c>
      <c r="G93" s="81">
        <f>413.49*3518411.27</f>
        <v>1454827876.0323</v>
      </c>
      <c r="H93" s="81"/>
      <c r="I93" s="81"/>
      <c r="J93" s="81">
        <f>413.49*3980242.93</f>
        <v>1645790649.1257</v>
      </c>
      <c r="K93" s="81">
        <f>413.49*22750.4</f>
        <v>9407062.8960000016</v>
      </c>
      <c r="L93" s="81">
        <f>413.49*8032.78</f>
        <v>3321474.2022000002</v>
      </c>
      <c r="M93" s="203">
        <f>413.49*14717.62</f>
        <v>6085588.6938000005</v>
      </c>
      <c r="N93" s="81">
        <f>413.49*3980242.93</f>
        <v>1645790649.1257</v>
      </c>
      <c r="O93" s="81">
        <f>413.49*35386.12</f>
        <v>14631806.758800002</v>
      </c>
      <c r="P93" s="224">
        <f>410.66*3920316.78</f>
        <v>1609917288.8748</v>
      </c>
      <c r="Q93" s="48">
        <f t="shared" si="40"/>
        <v>6.3877825943205267E-3</v>
      </c>
      <c r="R93" s="56">
        <f>413.49*3944856.81</f>
        <v>1631158842.3669</v>
      </c>
      <c r="S93" s="48">
        <f t="shared" si="41"/>
        <v>6.284724452690002E-3</v>
      </c>
      <c r="T93" s="49">
        <f>((R93-P93)/P93)</f>
        <v>1.3194189315741869E-2</v>
      </c>
      <c r="U93" s="87">
        <f>(L93/R93)</f>
        <v>2.0362665584305454E-3</v>
      </c>
      <c r="V93" s="50">
        <f>M93/R93</f>
        <v>3.7308375712628216E-3</v>
      </c>
      <c r="W93" s="51">
        <f>R93/AB93</f>
        <v>435.12222537911055</v>
      </c>
      <c r="X93" s="51">
        <f>M93/AB93</f>
        <v>1.6233703465358749</v>
      </c>
      <c r="Y93" s="44">
        <f>413.49*1.08</f>
        <v>446.56920000000002</v>
      </c>
      <c r="Z93" s="44">
        <f>413.49*1.08</f>
        <v>446.56920000000002</v>
      </c>
      <c r="AA93" s="70">
        <v>250</v>
      </c>
      <c r="AB93" s="164">
        <v>3748737.13</v>
      </c>
      <c r="AC93" s="13"/>
      <c r="AD93" s="4"/>
      <c r="AE93" s="4"/>
      <c r="AF93" s="4"/>
      <c r="AG93" s="5"/>
      <c r="AH93" s="6"/>
      <c r="AI93" s="6"/>
      <c r="AJ93" s="6"/>
      <c r="AK93" s="7"/>
      <c r="AL93" s="5"/>
      <c r="AM93" s="6"/>
      <c r="AN93" s="6"/>
      <c r="AO93" s="6"/>
      <c r="AP93" s="7"/>
      <c r="AQ93" s="5"/>
      <c r="AR93" s="6"/>
      <c r="AS93" s="6"/>
      <c r="AT93" s="6"/>
      <c r="AU93" s="7"/>
    </row>
    <row r="94" spans="1:257" ht="16.5" customHeight="1" x14ac:dyDescent="0.3">
      <c r="A94" s="156">
        <v>81</v>
      </c>
      <c r="B94" s="120" t="s">
        <v>68</v>
      </c>
      <c r="C94" s="86" t="s">
        <v>123</v>
      </c>
      <c r="D94" s="81"/>
      <c r="E94" s="81"/>
      <c r="F94" s="81"/>
      <c r="G94" s="81">
        <f>413.49*9659068.9</f>
        <v>3993928399.4610004</v>
      </c>
      <c r="H94" s="81"/>
      <c r="I94" s="81"/>
      <c r="J94" s="81">
        <f>413.49*9659068.9</f>
        <v>3993928399.4610004</v>
      </c>
      <c r="K94" s="81">
        <f>413.49*60616.2</f>
        <v>25064192.537999999</v>
      </c>
      <c r="L94" s="81">
        <f>413.49*15509.23</f>
        <v>6412911.5126999998</v>
      </c>
      <c r="M94" s="203">
        <f>413.49*45106.97</f>
        <v>18651281.0253</v>
      </c>
      <c r="N94" s="81">
        <f>413.49*10944627.71</f>
        <v>4525494111.8079004</v>
      </c>
      <c r="O94" s="81">
        <f>413.49*229702.99</f>
        <v>94979889.335099995</v>
      </c>
      <c r="P94" s="224">
        <f>410.66*9796812.42</f>
        <v>4023158988.3972001</v>
      </c>
      <c r="Q94" s="48">
        <f t="shared" si="40"/>
        <v>1.5962972220907912E-2</v>
      </c>
      <c r="R94" s="56">
        <f>413.49*10714924.72</f>
        <v>4430514222.4728003</v>
      </c>
      <c r="S94" s="48">
        <f t="shared" si="41"/>
        <v>1.7070416656394832E-2</v>
      </c>
      <c r="T94" s="49">
        <f t="shared" ref="T94:T96" si="42">((R94-P94)/P94)</f>
        <v>0.10125258167783416</v>
      </c>
      <c r="U94" s="87">
        <f t="shared" ref="U94:U96" si="43">(L94/R94)</f>
        <v>1.4474418071319869E-3</v>
      </c>
      <c r="V94" s="50">
        <f t="shared" ref="V94:V96" si="44">M94/R94</f>
        <v>4.2097327959575246E-3</v>
      </c>
      <c r="W94" s="51">
        <f>R94/AB94</f>
        <v>45820.423634314793</v>
      </c>
      <c r="X94" s="51">
        <f>M94/AB94</f>
        <v>192.89174009804225</v>
      </c>
      <c r="Y94" s="44">
        <f>413.49*110.44</f>
        <v>45665.835599999999</v>
      </c>
      <c r="Z94" s="44">
        <f>413.49*110.44</f>
        <v>45665.835599999999</v>
      </c>
      <c r="AA94" s="70">
        <f>SUM(482+45+30)</f>
        <v>557</v>
      </c>
      <c r="AB94" s="164">
        <v>96693</v>
      </c>
      <c r="AC94" s="13"/>
      <c r="AD94" s="4"/>
      <c r="AE94" s="4"/>
      <c r="AF94" s="4"/>
      <c r="AG94" s="5"/>
      <c r="AH94" s="6"/>
      <c r="AI94" s="6"/>
      <c r="AJ94" s="6"/>
      <c r="AK94" s="7"/>
      <c r="AL94" s="5">
        <v>413.49</v>
      </c>
      <c r="AM94" s="6"/>
      <c r="AN94" s="6"/>
      <c r="AO94" s="6"/>
      <c r="AP94" s="7"/>
      <c r="AQ94" s="5"/>
      <c r="AR94" s="6"/>
      <c r="AS94" s="6"/>
      <c r="AT94" s="6"/>
      <c r="AU94" s="7"/>
    </row>
    <row r="95" spans="1:257" ht="16.5" customHeight="1" x14ac:dyDescent="0.3">
      <c r="A95" s="156">
        <v>82</v>
      </c>
      <c r="B95" s="122" t="s">
        <v>125</v>
      </c>
      <c r="C95" s="86" t="s">
        <v>126</v>
      </c>
      <c r="D95" s="81"/>
      <c r="E95" s="81"/>
      <c r="F95" s="81"/>
      <c r="G95" s="81">
        <f>413.49*889428.98</f>
        <v>367769988.94019997</v>
      </c>
      <c r="H95" s="81"/>
      <c r="I95" s="81"/>
      <c r="J95" s="81">
        <f>413.49*889428.98</f>
        <v>367769988.94019997</v>
      </c>
      <c r="K95" s="81">
        <f>413.49*3901.02</f>
        <v>1613032.7598000001</v>
      </c>
      <c r="L95" s="81">
        <f>413.49*1652.73</f>
        <v>683387.32770000002</v>
      </c>
      <c r="M95" s="203">
        <f>413.49*2248.29</f>
        <v>929645.43209999998</v>
      </c>
      <c r="N95" s="81">
        <f>413.49*1127999.66</f>
        <v>466416579.41339999</v>
      </c>
      <c r="O95" s="81">
        <f>413.49*34023.52</f>
        <v>14068385.284799999</v>
      </c>
      <c r="P95" s="224">
        <f>410.66*1092015.14</f>
        <v>448446937.39239997</v>
      </c>
      <c r="Q95" s="48">
        <f t="shared" si="40"/>
        <v>1.7793346036762091E-3</v>
      </c>
      <c r="R95" s="56">
        <f>413.49*1093976.14</f>
        <v>452348194.12859994</v>
      </c>
      <c r="S95" s="48">
        <f t="shared" si="41"/>
        <v>1.7428613835333152E-3</v>
      </c>
      <c r="T95" s="49">
        <f t="shared" si="42"/>
        <v>8.6994835083159406E-3</v>
      </c>
      <c r="U95" s="87">
        <f t="shared" si="43"/>
        <v>1.5107550700328804E-3</v>
      </c>
      <c r="V95" s="50">
        <f t="shared" si="44"/>
        <v>2.0551545118707984E-3</v>
      </c>
      <c r="W95" s="51">
        <f>R95/AB95</f>
        <v>44632.283584469653</v>
      </c>
      <c r="X95" s="51">
        <f>M95/AB95</f>
        <v>91.726238983719782</v>
      </c>
      <c r="Y95" s="44">
        <f>413.49*107.94</f>
        <v>44632.1106</v>
      </c>
      <c r="Z95" s="44">
        <f>413.49*107.94</f>
        <v>44632.1106</v>
      </c>
      <c r="AA95" s="70">
        <v>28</v>
      </c>
      <c r="AB95" s="164">
        <v>10135</v>
      </c>
      <c r="AC95" s="3"/>
      <c r="AD95" s="9"/>
      <c r="AE95" s="4"/>
      <c r="AF95" s="4"/>
      <c r="AG95" s="5"/>
      <c r="AH95" s="6"/>
      <c r="AI95" s="6"/>
      <c r="AJ95" s="6"/>
      <c r="AK95" s="7"/>
      <c r="AL95" s="5"/>
      <c r="AM95" s="6"/>
      <c r="AN95" s="6"/>
      <c r="AO95" s="6"/>
      <c r="AP95" s="7"/>
      <c r="AQ95" s="5"/>
      <c r="AR95" s="6"/>
      <c r="AS95" s="6"/>
      <c r="AT95" s="6"/>
      <c r="AU95" s="7"/>
    </row>
    <row r="96" spans="1:257" ht="15.75" customHeight="1" x14ac:dyDescent="0.35">
      <c r="A96" s="156">
        <v>83</v>
      </c>
      <c r="B96" s="122" t="s">
        <v>85</v>
      </c>
      <c r="C96" s="86" t="s">
        <v>127</v>
      </c>
      <c r="D96" s="81"/>
      <c r="E96" s="81"/>
      <c r="F96" s="81">
        <f>413.49*1219019.2</f>
        <v>504052249.00800002</v>
      </c>
      <c r="G96" s="81">
        <f>413.49*3663914.77</f>
        <v>1514992118.2473001</v>
      </c>
      <c r="H96" s="81"/>
      <c r="I96" s="81"/>
      <c r="J96" s="81">
        <f>413.49*20596.94</f>
        <v>8516628.7205999997</v>
      </c>
      <c r="K96" s="81">
        <f>413.49*4882933.97</f>
        <v>2019044367.2553</v>
      </c>
      <c r="L96" s="81">
        <f>413.49*7709.57</f>
        <v>3187830.0992999999</v>
      </c>
      <c r="M96" s="203">
        <f>413.49*12887.37</f>
        <v>5328798.6213000007</v>
      </c>
      <c r="N96" s="81">
        <f>413.49*5084556.57</f>
        <v>2102413296.1293001</v>
      </c>
      <c r="O96" s="81">
        <f>413.49*38229.93</f>
        <v>15807693.7557</v>
      </c>
      <c r="P96" s="224">
        <f>410.66*4951729.14</f>
        <v>2033477088.6324</v>
      </c>
      <c r="Q96" s="48">
        <f t="shared" si="40"/>
        <v>8.0683707433157354E-3</v>
      </c>
      <c r="R96" s="56">
        <f>413.49*5046326.64</f>
        <v>2086605602.3736</v>
      </c>
      <c r="S96" s="48">
        <f t="shared" si="41"/>
        <v>8.0395243625253354E-3</v>
      </c>
      <c r="T96" s="49">
        <f t="shared" si="42"/>
        <v>2.6126930093385591E-2</v>
      </c>
      <c r="U96" s="87">
        <f t="shared" si="43"/>
        <v>1.5277588134881416E-3</v>
      </c>
      <c r="V96" s="50">
        <f t="shared" si="44"/>
        <v>2.5538120933051613E-3</v>
      </c>
      <c r="W96" s="51">
        <f t="shared" ref="W96" si="45">R96/AB96</f>
        <v>448.40982857756904</v>
      </c>
      <c r="X96" s="51">
        <f t="shared" ref="X96" si="46">M96/AB96</f>
        <v>1.1451544429782903</v>
      </c>
      <c r="Y96" s="44">
        <f>413.49*1.08</f>
        <v>446.56920000000002</v>
      </c>
      <c r="Z96" s="44">
        <f>413.49*1.08</f>
        <v>446.56920000000002</v>
      </c>
      <c r="AA96" s="70">
        <v>140</v>
      </c>
      <c r="AB96" s="164">
        <v>4653344.93</v>
      </c>
      <c r="AC96" s="37"/>
      <c r="AD96" s="10"/>
      <c r="AE96" s="13"/>
      <c r="AF96" s="4"/>
      <c r="AG96" s="5"/>
      <c r="AH96" s="6"/>
      <c r="AI96" s="6"/>
      <c r="AJ96" s="6"/>
      <c r="AK96" s="7"/>
      <c r="AL96" s="5"/>
      <c r="AM96" s="6"/>
      <c r="AN96" s="6"/>
      <c r="AO96" s="6"/>
      <c r="AP96" s="7"/>
      <c r="AQ96" s="5"/>
      <c r="AR96" s="6"/>
      <c r="AS96" s="6"/>
      <c r="AT96" s="6"/>
      <c r="AU96" s="7"/>
    </row>
    <row r="97" spans="1:257" ht="16.5" customHeight="1" x14ac:dyDescent="0.3">
      <c r="A97" s="156">
        <v>84</v>
      </c>
      <c r="B97" s="122" t="s">
        <v>92</v>
      </c>
      <c r="C97" s="86" t="s">
        <v>128</v>
      </c>
      <c r="D97" s="81"/>
      <c r="E97" s="81"/>
      <c r="F97" s="81"/>
      <c r="G97" s="81">
        <v>94635506.739999995</v>
      </c>
      <c r="H97" s="81"/>
      <c r="I97" s="81"/>
      <c r="J97" s="81">
        <v>94635506.739999995</v>
      </c>
      <c r="K97" s="81">
        <v>543904.11</v>
      </c>
      <c r="L97" s="81">
        <v>41439.79</v>
      </c>
      <c r="M97" s="54">
        <v>502464.32</v>
      </c>
      <c r="N97" s="44">
        <v>106484482.77</v>
      </c>
      <c r="O97" s="44">
        <v>959680.35</v>
      </c>
      <c r="P97" s="224">
        <v>100089475.52</v>
      </c>
      <c r="Q97" s="48">
        <f t="shared" si="40"/>
        <v>3.9713208499560834E-4</v>
      </c>
      <c r="R97" s="56">
        <v>105524802.42</v>
      </c>
      <c r="S97" s="48">
        <f t="shared" si="41"/>
        <v>4.0657861693709987E-4</v>
      </c>
      <c r="T97" s="49">
        <f>((R97-P97)/P97)</f>
        <v>5.4304679605538669E-2</v>
      </c>
      <c r="U97" s="87">
        <f>(L97/R97)</f>
        <v>3.9270189613874098E-4</v>
      </c>
      <c r="V97" s="50">
        <f>M97/R97</f>
        <v>4.7615755583236084E-3</v>
      </c>
      <c r="W97" s="51">
        <f>R97/AB97</f>
        <v>413.03717408067013</v>
      </c>
      <c r="X97" s="51">
        <f>M97/AB97</f>
        <v>1.9667077127815724</v>
      </c>
      <c r="Y97" s="44">
        <v>412.11</v>
      </c>
      <c r="Z97" s="44">
        <v>412.11</v>
      </c>
      <c r="AA97" s="70">
        <v>5</v>
      </c>
      <c r="AB97" s="164">
        <v>255485</v>
      </c>
      <c r="AC97" s="25"/>
      <c r="AD97" s="22"/>
      <c r="AE97" s="4"/>
      <c r="AF97" s="4"/>
      <c r="AG97" s="5"/>
      <c r="AH97" s="6"/>
      <c r="AI97" s="6"/>
      <c r="AJ97" s="6"/>
      <c r="AK97" s="7"/>
      <c r="AL97" s="5"/>
      <c r="AM97" s="6"/>
      <c r="AN97" s="6"/>
      <c r="AO97" s="6"/>
      <c r="AP97" s="7"/>
      <c r="AQ97" s="5"/>
      <c r="AR97" s="6"/>
      <c r="AS97" s="6"/>
      <c r="AT97" s="6"/>
      <c r="AU97" s="7"/>
    </row>
    <row r="98" spans="1:257" ht="16.5" customHeight="1" x14ac:dyDescent="0.3">
      <c r="A98" s="156">
        <v>85</v>
      </c>
      <c r="B98" s="122" t="s">
        <v>31</v>
      </c>
      <c r="C98" s="122" t="s">
        <v>189</v>
      </c>
      <c r="D98" s="81"/>
      <c r="E98" s="81"/>
      <c r="F98" s="81"/>
      <c r="G98" s="81">
        <f>3620073.59*413.49</f>
        <v>1496864228.7291</v>
      </c>
      <c r="H98" s="81"/>
      <c r="I98" s="81"/>
      <c r="J98" s="81">
        <v>1496864228.73</v>
      </c>
      <c r="K98" s="81">
        <f>22948.05*413.49</f>
        <v>9488789.1944999993</v>
      </c>
      <c r="L98" s="81">
        <f>413.49*6631.12</f>
        <v>2741901.8088000002</v>
      </c>
      <c r="M98" s="54">
        <f>413.49*16316.92</f>
        <v>6746883.2508000005</v>
      </c>
      <c r="N98" s="44">
        <f>413.49*3676831.68</f>
        <v>1520333131.3632002</v>
      </c>
      <c r="O98" s="44">
        <f>413.49*18487.9</f>
        <v>7644561.7710000006</v>
      </c>
      <c r="P98" s="224">
        <f>410.66*3433551.66</f>
        <v>1410022324.6956</v>
      </c>
      <c r="Q98" s="202">
        <f t="shared" si="40"/>
        <v>5.594645219065269E-3</v>
      </c>
      <c r="R98" s="56">
        <f>413.49*3658343.78</f>
        <v>1512688569.5922</v>
      </c>
      <c r="S98" s="48">
        <f t="shared" si="41"/>
        <v>5.8282679747030854E-3</v>
      </c>
      <c r="T98" s="49">
        <f t="shared" ref="T98" si="47">((R98-P98)/P98)</f>
        <v>7.2811786805406731E-2</v>
      </c>
      <c r="U98" s="87">
        <f>(L98/R98)</f>
        <v>1.8126016576823735E-3</v>
      </c>
      <c r="V98" s="50">
        <f>M98/R98</f>
        <v>4.4601931861089341E-3</v>
      </c>
      <c r="W98" s="51">
        <f>R98/AB98</f>
        <v>418.70301273368329</v>
      </c>
      <c r="X98" s="51">
        <f>M98/AB98</f>
        <v>1.8674963243980565</v>
      </c>
      <c r="Y98" s="44">
        <f>413.49*1.01</f>
        <v>417.62490000000003</v>
      </c>
      <c r="Z98" s="44">
        <f>413.49*1.01</f>
        <v>417.62490000000003</v>
      </c>
      <c r="AA98" s="70">
        <v>108</v>
      </c>
      <c r="AB98" s="164">
        <v>3612796</v>
      </c>
      <c r="AC98" s="13"/>
      <c r="AD98" s="4"/>
      <c r="AE98" s="4"/>
      <c r="AF98" s="4"/>
      <c r="AG98" s="5"/>
      <c r="AH98" s="6"/>
      <c r="AI98" s="6"/>
      <c r="AJ98" s="6"/>
      <c r="AK98" s="7"/>
      <c r="AL98" s="5"/>
      <c r="AM98" s="6"/>
      <c r="AN98" s="6"/>
      <c r="AO98" s="6"/>
      <c r="AP98" s="7"/>
      <c r="AQ98" s="5"/>
      <c r="AR98" s="6"/>
      <c r="AS98" s="6"/>
      <c r="AT98" s="6"/>
      <c r="AU98" s="7"/>
    </row>
    <row r="99" spans="1:257" ht="16.5" customHeight="1" x14ac:dyDescent="0.3">
      <c r="A99" s="167"/>
      <c r="B99" s="108"/>
      <c r="C99" s="109" t="s">
        <v>54</v>
      </c>
      <c r="D99" s="118"/>
      <c r="E99" s="118"/>
      <c r="F99" s="118"/>
      <c r="G99" s="118"/>
      <c r="H99" s="118"/>
      <c r="I99" s="118"/>
      <c r="J99" s="118"/>
      <c r="K99" s="118"/>
      <c r="L99" s="118"/>
      <c r="M99" s="131"/>
      <c r="N99" s="118"/>
      <c r="O99" s="118"/>
      <c r="P99" s="123">
        <f t="shared" ref="P99" si="48">SUM(P82:P98)</f>
        <v>252030695331.77313</v>
      </c>
      <c r="Q99" s="125">
        <f>(P99/$P$146)</f>
        <v>0.19505739458187407</v>
      </c>
      <c r="R99" s="63">
        <f>SUM(R82:R98)</f>
        <v>259543414296.98285</v>
      </c>
      <c r="S99" s="125">
        <f>(R99/$R$146)</f>
        <v>0.19938527253582816</v>
      </c>
      <c r="T99" s="64">
        <f t="shared" si="26"/>
        <v>2.9808745935966156E-2</v>
      </c>
      <c r="U99" s="79"/>
      <c r="V99" s="65"/>
      <c r="W99" s="66"/>
      <c r="X99" s="66"/>
      <c r="Y99" s="62"/>
      <c r="Z99" s="62"/>
      <c r="AA99" s="182">
        <f>SUM(AA82:AA98)</f>
        <v>8418</v>
      </c>
      <c r="AB99" s="160"/>
      <c r="AC99" s="13"/>
      <c r="AD99" s="4"/>
      <c r="AE99" s="4"/>
      <c r="AF99" s="4"/>
      <c r="AG99" s="5"/>
      <c r="AH99" s="6"/>
      <c r="AI99" s="6"/>
      <c r="AJ99" s="6"/>
      <c r="AK99" s="7"/>
      <c r="AL99" s="5"/>
      <c r="AM99" s="6"/>
      <c r="AN99" s="6"/>
      <c r="AO99" s="6"/>
      <c r="AP99" s="7"/>
      <c r="AQ99" s="5"/>
      <c r="AR99" s="6"/>
      <c r="AS99" s="6"/>
      <c r="AT99" s="6"/>
      <c r="AU99" s="7"/>
      <c r="AV99" s="31"/>
      <c r="AW99" s="31"/>
      <c r="AX99" s="31"/>
      <c r="AY99" s="31"/>
      <c r="AZ99" s="31"/>
      <c r="BA99" s="31"/>
      <c r="BB99" s="31"/>
      <c r="BC99" s="31"/>
      <c r="BD99" s="31"/>
      <c r="BE99" s="31"/>
      <c r="BF99" s="31"/>
      <c r="BG99" s="31"/>
      <c r="BH99" s="31"/>
      <c r="BI99" s="31"/>
      <c r="BJ99" s="31"/>
      <c r="BK99" s="31"/>
      <c r="BL99" s="31"/>
      <c r="BM99" s="31"/>
      <c r="BN99" s="31"/>
      <c r="BO99" s="31"/>
      <c r="BP99" s="31"/>
      <c r="BQ99" s="31"/>
      <c r="BR99" s="31"/>
      <c r="BS99" s="31"/>
      <c r="BT99" s="31"/>
      <c r="BU99" s="31"/>
      <c r="BV99" s="31"/>
      <c r="BW99" s="31"/>
      <c r="BX99" s="31"/>
      <c r="BY99" s="31"/>
      <c r="BZ99" s="31"/>
      <c r="CA99" s="31"/>
      <c r="CB99" s="31"/>
      <c r="CC99" s="31"/>
      <c r="CD99" s="31"/>
      <c r="CE99" s="31"/>
      <c r="CF99" s="31"/>
      <c r="CG99" s="31"/>
      <c r="CH99" s="31"/>
      <c r="CI99" s="31"/>
      <c r="CJ99" s="31"/>
      <c r="CK99" s="31"/>
      <c r="CL99" s="31"/>
      <c r="CM99" s="31"/>
      <c r="CN99" s="31"/>
      <c r="CO99" s="31"/>
      <c r="CP99" s="31"/>
      <c r="CQ99" s="31"/>
      <c r="CR99" s="31"/>
      <c r="CS99" s="31"/>
      <c r="CT99" s="31"/>
      <c r="CU99" s="31"/>
      <c r="CV99" s="31"/>
      <c r="CW99" s="31"/>
      <c r="CX99" s="31"/>
      <c r="CY99" s="31"/>
      <c r="CZ99" s="31"/>
      <c r="DA99" s="31"/>
      <c r="DB99" s="31"/>
      <c r="DC99" s="31"/>
      <c r="DD99" s="31"/>
      <c r="DE99" s="31"/>
      <c r="DF99" s="31"/>
      <c r="DG99" s="31"/>
      <c r="DH99" s="31"/>
      <c r="DI99" s="31"/>
      <c r="DJ99" s="31"/>
      <c r="DK99" s="31"/>
      <c r="DL99" s="31"/>
      <c r="DM99" s="31"/>
      <c r="DN99" s="31"/>
      <c r="DO99" s="31"/>
      <c r="DP99" s="31"/>
      <c r="DQ99" s="31"/>
      <c r="DR99" s="31"/>
      <c r="DS99" s="31"/>
      <c r="DT99" s="31"/>
      <c r="DU99" s="31"/>
      <c r="DV99" s="31"/>
      <c r="DW99" s="31"/>
      <c r="DX99" s="31"/>
      <c r="DY99" s="31"/>
      <c r="DZ99" s="31"/>
      <c r="EA99" s="31"/>
      <c r="EB99" s="31"/>
      <c r="EC99" s="31"/>
      <c r="ED99" s="31"/>
      <c r="EE99" s="31"/>
      <c r="EF99" s="31"/>
      <c r="EG99" s="31"/>
      <c r="EH99" s="31"/>
      <c r="EI99" s="31"/>
      <c r="EJ99" s="31"/>
      <c r="EK99" s="31"/>
      <c r="EL99" s="31"/>
      <c r="EM99" s="31"/>
      <c r="EN99" s="31"/>
      <c r="EO99" s="31"/>
      <c r="EP99" s="31"/>
      <c r="EQ99" s="31"/>
      <c r="ER99" s="31"/>
      <c r="ES99" s="31"/>
      <c r="ET99" s="31"/>
      <c r="EU99" s="31"/>
      <c r="EV99" s="31"/>
      <c r="EW99" s="31"/>
      <c r="EX99" s="31"/>
      <c r="EY99" s="31"/>
      <c r="EZ99" s="31"/>
      <c r="FA99" s="31"/>
      <c r="FB99" s="31"/>
      <c r="FC99" s="31"/>
      <c r="FD99" s="31"/>
      <c r="FE99" s="31"/>
      <c r="FF99" s="31"/>
      <c r="FG99" s="31"/>
      <c r="FH99" s="31"/>
      <c r="FI99" s="31"/>
      <c r="FJ99" s="31"/>
      <c r="FK99" s="31"/>
      <c r="FL99" s="31"/>
      <c r="FM99" s="31"/>
      <c r="FN99" s="31"/>
      <c r="FO99" s="31"/>
      <c r="FP99" s="31"/>
      <c r="FQ99" s="31"/>
      <c r="FR99" s="31"/>
      <c r="FS99" s="31"/>
      <c r="FT99" s="31"/>
      <c r="FU99" s="31"/>
      <c r="FV99" s="31"/>
      <c r="FW99" s="31"/>
      <c r="FX99" s="31"/>
      <c r="FY99" s="31"/>
      <c r="FZ99" s="31"/>
      <c r="GA99" s="31"/>
      <c r="GB99" s="31"/>
      <c r="GC99" s="31"/>
      <c r="GD99" s="31"/>
      <c r="GE99" s="31"/>
      <c r="GF99" s="31"/>
      <c r="GG99" s="31"/>
      <c r="GH99" s="31"/>
      <c r="GI99" s="31"/>
      <c r="GJ99" s="31"/>
      <c r="GK99" s="31"/>
      <c r="GL99" s="31"/>
      <c r="GM99" s="31"/>
      <c r="GN99" s="31"/>
      <c r="GO99" s="31"/>
      <c r="GP99" s="31"/>
      <c r="GQ99" s="31"/>
      <c r="GR99" s="31"/>
      <c r="GS99" s="31"/>
      <c r="GT99" s="31"/>
      <c r="GU99" s="31"/>
      <c r="GV99" s="31"/>
      <c r="GW99" s="31"/>
      <c r="GX99" s="31"/>
      <c r="GY99" s="31"/>
      <c r="GZ99" s="31"/>
      <c r="HA99" s="31"/>
      <c r="HB99" s="31"/>
      <c r="HC99" s="31"/>
      <c r="HD99" s="31"/>
      <c r="HE99" s="31"/>
      <c r="HF99" s="31"/>
      <c r="HG99" s="31"/>
      <c r="HH99" s="31"/>
      <c r="HI99" s="31"/>
      <c r="HJ99" s="31"/>
      <c r="HK99" s="31"/>
      <c r="HL99" s="31"/>
      <c r="HM99" s="31"/>
      <c r="HN99" s="31"/>
      <c r="HO99" s="31"/>
      <c r="HP99" s="31"/>
      <c r="HQ99" s="31"/>
      <c r="HR99" s="31"/>
      <c r="HS99" s="31"/>
      <c r="HT99" s="31"/>
      <c r="HU99" s="31"/>
      <c r="HV99" s="31"/>
      <c r="HW99" s="31"/>
      <c r="HX99" s="31"/>
      <c r="HY99" s="31"/>
      <c r="HZ99" s="31"/>
      <c r="IA99" s="31"/>
      <c r="IB99" s="31"/>
      <c r="IC99" s="31"/>
      <c r="ID99" s="31"/>
      <c r="IE99" s="31"/>
      <c r="IF99" s="31"/>
      <c r="IG99" s="31"/>
      <c r="IH99" s="31"/>
      <c r="II99" s="31"/>
      <c r="IJ99" s="31"/>
      <c r="IK99" s="31"/>
      <c r="IL99" s="31"/>
      <c r="IM99" s="31"/>
      <c r="IN99" s="31"/>
      <c r="IO99" s="31"/>
      <c r="IP99" s="31"/>
      <c r="IQ99" s="31"/>
      <c r="IR99" s="31"/>
      <c r="IS99" s="31"/>
      <c r="IT99" s="31"/>
      <c r="IU99" s="31"/>
      <c r="IV99" s="31"/>
      <c r="IW99" s="31"/>
    </row>
    <row r="100" spans="1:257" s="99" customFormat="1" ht="16.5" customHeight="1" x14ac:dyDescent="0.3">
      <c r="A100" s="238" t="s">
        <v>129</v>
      </c>
      <c r="B100" s="239"/>
      <c r="C100" s="239"/>
      <c r="D100" s="110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121"/>
      <c r="Q100" s="49"/>
      <c r="R100" s="73">
        <v>0</v>
      </c>
      <c r="S100" s="49"/>
      <c r="T100" s="49"/>
      <c r="U100" s="49"/>
      <c r="V100" s="74"/>
      <c r="W100" s="75"/>
      <c r="X100" s="75"/>
      <c r="Y100" s="73"/>
      <c r="Z100" s="73"/>
      <c r="AA100" s="73"/>
      <c r="AB100" s="163"/>
      <c r="AC100" s="93"/>
      <c r="AD100" s="94"/>
      <c r="AE100" s="94"/>
      <c r="AF100" s="94"/>
      <c r="AG100" s="95"/>
      <c r="AH100" s="96"/>
      <c r="AI100" s="96"/>
      <c r="AJ100" s="96"/>
      <c r="AK100" s="97"/>
      <c r="AL100" s="95"/>
      <c r="AM100" s="96"/>
      <c r="AN100" s="96"/>
      <c r="AO100" s="96"/>
      <c r="AP100" s="97"/>
      <c r="AQ100" s="95"/>
      <c r="AR100" s="96"/>
      <c r="AS100" s="96"/>
      <c r="AT100" s="96"/>
      <c r="AU100" s="97"/>
      <c r="AV100" s="98"/>
      <c r="AW100" s="98"/>
      <c r="AX100" s="98"/>
      <c r="AY100" s="98"/>
      <c r="AZ100" s="98"/>
      <c r="BA100" s="98"/>
      <c r="BB100" s="98"/>
      <c r="BC100" s="98"/>
      <c r="BD100" s="98"/>
      <c r="BE100" s="98"/>
      <c r="BF100" s="98"/>
      <c r="BG100" s="98"/>
      <c r="BH100" s="98"/>
      <c r="BI100" s="98"/>
      <c r="BJ100" s="98"/>
      <c r="BK100" s="98"/>
      <c r="BL100" s="98"/>
      <c r="BM100" s="98"/>
      <c r="BN100" s="98"/>
      <c r="BO100" s="98"/>
      <c r="BP100" s="98"/>
      <c r="BQ100" s="98"/>
      <c r="BR100" s="98"/>
      <c r="BS100" s="98"/>
      <c r="BT100" s="98"/>
      <c r="BU100" s="98"/>
      <c r="BV100" s="98"/>
      <c r="BW100" s="98"/>
      <c r="BX100" s="98"/>
      <c r="BY100" s="98"/>
      <c r="BZ100" s="98"/>
      <c r="CA100" s="98"/>
      <c r="CB100" s="98"/>
      <c r="CC100" s="98"/>
      <c r="CD100" s="98"/>
      <c r="CE100" s="98"/>
      <c r="CF100" s="98"/>
      <c r="CG100" s="98"/>
      <c r="CH100" s="98"/>
      <c r="CI100" s="98"/>
      <c r="CJ100" s="98"/>
      <c r="CK100" s="98"/>
      <c r="CL100" s="98"/>
      <c r="CM100" s="98"/>
      <c r="CN100" s="98"/>
      <c r="CO100" s="98"/>
      <c r="CP100" s="98"/>
      <c r="CQ100" s="98"/>
      <c r="CR100" s="98"/>
      <c r="CS100" s="98"/>
      <c r="CT100" s="98"/>
      <c r="CU100" s="98"/>
      <c r="CV100" s="98"/>
      <c r="CW100" s="98"/>
      <c r="CX100" s="98"/>
      <c r="CY100" s="98"/>
      <c r="CZ100" s="98"/>
      <c r="DA100" s="98"/>
      <c r="DB100" s="98"/>
      <c r="DC100" s="98"/>
      <c r="DD100" s="98"/>
      <c r="DE100" s="98"/>
      <c r="DF100" s="98"/>
      <c r="DG100" s="98"/>
      <c r="DH100" s="98"/>
      <c r="DI100" s="98"/>
      <c r="DJ100" s="98"/>
      <c r="DK100" s="98"/>
      <c r="DL100" s="98"/>
      <c r="DM100" s="98"/>
      <c r="DN100" s="98"/>
      <c r="DO100" s="98"/>
      <c r="DP100" s="98"/>
      <c r="DQ100" s="98"/>
      <c r="DR100" s="98"/>
      <c r="DS100" s="98"/>
      <c r="DT100" s="98"/>
      <c r="DU100" s="98"/>
      <c r="DV100" s="98"/>
      <c r="DW100" s="98"/>
      <c r="DX100" s="98"/>
      <c r="DY100" s="98"/>
      <c r="DZ100" s="98"/>
      <c r="EA100" s="98"/>
      <c r="EB100" s="98"/>
      <c r="EC100" s="98"/>
      <c r="ED100" s="98"/>
      <c r="EE100" s="98"/>
      <c r="EF100" s="98"/>
      <c r="EG100" s="98"/>
      <c r="EH100" s="98"/>
      <c r="EI100" s="98"/>
      <c r="EJ100" s="98"/>
      <c r="EK100" s="98"/>
      <c r="EL100" s="98"/>
      <c r="EM100" s="98"/>
      <c r="EN100" s="98"/>
      <c r="EO100" s="98"/>
      <c r="EP100" s="98"/>
      <c r="EQ100" s="98"/>
      <c r="ER100" s="98"/>
      <c r="ES100" s="98"/>
      <c r="ET100" s="98"/>
      <c r="EU100" s="98"/>
      <c r="EV100" s="98"/>
      <c r="EW100" s="98"/>
      <c r="EX100" s="98"/>
      <c r="EY100" s="98"/>
      <c r="EZ100" s="98"/>
      <c r="FA100" s="98"/>
      <c r="FB100" s="98"/>
      <c r="FC100" s="98"/>
      <c r="FD100" s="98"/>
      <c r="FE100" s="98"/>
      <c r="FF100" s="98"/>
      <c r="FG100" s="98"/>
      <c r="FH100" s="98"/>
      <c r="FI100" s="98"/>
      <c r="FJ100" s="98"/>
      <c r="FK100" s="98"/>
      <c r="FL100" s="98"/>
      <c r="FM100" s="98"/>
      <c r="FN100" s="98"/>
      <c r="FO100" s="98"/>
      <c r="FP100" s="98"/>
      <c r="FQ100" s="98"/>
      <c r="FR100" s="98"/>
      <c r="FS100" s="98"/>
      <c r="FT100" s="98"/>
      <c r="FU100" s="98"/>
      <c r="FV100" s="98"/>
      <c r="FW100" s="98"/>
      <c r="FX100" s="98"/>
      <c r="FY100" s="98"/>
      <c r="FZ100" s="98"/>
      <c r="GA100" s="98"/>
      <c r="GB100" s="98"/>
      <c r="GC100" s="98"/>
      <c r="GD100" s="98"/>
      <c r="GE100" s="98"/>
      <c r="GF100" s="98"/>
      <c r="GG100" s="98"/>
      <c r="GH100" s="98"/>
      <c r="GI100" s="98"/>
      <c r="GJ100" s="98"/>
      <c r="GK100" s="98"/>
      <c r="GL100" s="98"/>
      <c r="GM100" s="98"/>
      <c r="GN100" s="98"/>
      <c r="GO100" s="98"/>
      <c r="GP100" s="98"/>
      <c r="GQ100" s="98"/>
      <c r="GR100" s="98"/>
      <c r="GS100" s="98"/>
      <c r="GT100" s="98"/>
      <c r="GU100" s="98"/>
      <c r="GV100" s="98"/>
      <c r="GW100" s="98"/>
      <c r="GX100" s="98"/>
      <c r="GY100" s="98"/>
      <c r="GZ100" s="98"/>
      <c r="HA100" s="98"/>
      <c r="HB100" s="98"/>
      <c r="HC100" s="98"/>
      <c r="HD100" s="98"/>
      <c r="HE100" s="98"/>
      <c r="HF100" s="98"/>
      <c r="HG100" s="98"/>
      <c r="HH100" s="98"/>
      <c r="HI100" s="98"/>
      <c r="HJ100" s="98"/>
      <c r="HK100" s="98"/>
      <c r="HL100" s="98"/>
      <c r="HM100" s="98"/>
      <c r="HN100" s="98"/>
      <c r="HO100" s="98"/>
      <c r="HP100" s="98"/>
      <c r="HQ100" s="98"/>
      <c r="HR100" s="98"/>
      <c r="HS100" s="98"/>
      <c r="HT100" s="98"/>
      <c r="HU100" s="98"/>
      <c r="HV100" s="98"/>
      <c r="HW100" s="98"/>
      <c r="HX100" s="98"/>
      <c r="HY100" s="98"/>
      <c r="HZ100" s="98"/>
      <c r="IA100" s="98"/>
      <c r="IB100" s="98"/>
      <c r="IC100" s="98"/>
      <c r="ID100" s="98"/>
      <c r="IE100" s="98"/>
      <c r="IF100" s="98"/>
      <c r="IG100" s="98"/>
      <c r="IH100" s="98"/>
      <c r="II100" s="98"/>
      <c r="IJ100" s="98"/>
      <c r="IK100" s="98"/>
      <c r="IL100" s="98"/>
      <c r="IM100" s="98"/>
      <c r="IN100" s="98"/>
      <c r="IO100" s="98"/>
      <c r="IP100" s="98"/>
      <c r="IQ100" s="98"/>
      <c r="IR100" s="98"/>
      <c r="IS100" s="98"/>
      <c r="IT100" s="98"/>
      <c r="IU100" s="98"/>
      <c r="IV100" s="98"/>
      <c r="IW100" s="98"/>
    </row>
    <row r="101" spans="1:257" ht="16.5" customHeight="1" x14ac:dyDescent="0.3">
      <c r="A101" s="156">
        <v>86</v>
      </c>
      <c r="B101" s="120" t="s">
        <v>107</v>
      </c>
      <c r="C101" s="120" t="s">
        <v>130</v>
      </c>
      <c r="D101" s="44"/>
      <c r="E101" s="44"/>
      <c r="F101" s="77"/>
      <c r="G101" s="77" t="s">
        <v>218</v>
      </c>
      <c r="H101" s="44">
        <v>1820390000</v>
      </c>
      <c r="I101" s="100">
        <v>1681024.45</v>
      </c>
      <c r="J101" s="77" t="s">
        <v>219</v>
      </c>
      <c r="K101" s="77" t="s">
        <v>220</v>
      </c>
      <c r="L101" s="45">
        <v>11228431.050000001</v>
      </c>
      <c r="M101" s="78">
        <v>10093112.140000001</v>
      </c>
      <c r="N101" s="44">
        <v>2517839039.1199999</v>
      </c>
      <c r="O101" s="44">
        <v>114256874.54000001</v>
      </c>
      <c r="P101" s="224">
        <v>2393489052.5599999</v>
      </c>
      <c r="Q101" s="48">
        <f>(P101/$P$105)</f>
        <v>4.7634520809190332E-2</v>
      </c>
      <c r="R101" s="56">
        <v>2403582164.6999998</v>
      </c>
      <c r="S101" s="48">
        <f>(R101/$R$105)</f>
        <v>4.7887612405842037E-2</v>
      </c>
      <c r="T101" s="49">
        <f>((R101-P101)/P101)</f>
        <v>4.216903406850595E-3</v>
      </c>
      <c r="U101" s="87">
        <f>(L101/R101)</f>
        <v>4.6715403429536864E-3</v>
      </c>
      <c r="V101" s="50">
        <f>M101/R101</f>
        <v>4.1991958037597438E-3</v>
      </c>
      <c r="W101" s="51">
        <f>R101/AB101</f>
        <v>120.17910823499999</v>
      </c>
      <c r="X101" s="51">
        <f>M101/AB101</f>
        <v>0.50465560700000001</v>
      </c>
      <c r="Y101" s="44">
        <v>68.599999999999994</v>
      </c>
      <c r="Z101" s="44">
        <v>68.599999999999994</v>
      </c>
      <c r="AA101" s="52">
        <v>2648</v>
      </c>
      <c r="AB101" s="158">
        <v>20000000</v>
      </c>
      <c r="AC101" s="13"/>
      <c r="AD101" s="4"/>
      <c r="AE101" s="4"/>
      <c r="AF101" s="4"/>
      <c r="AG101" s="5"/>
      <c r="AH101" s="6"/>
      <c r="AI101" s="6"/>
      <c r="AJ101" s="6"/>
      <c r="AK101" s="7"/>
      <c r="AL101" s="5"/>
      <c r="AM101" s="6"/>
      <c r="AN101" s="6"/>
      <c r="AO101" s="6"/>
      <c r="AP101" s="7"/>
      <c r="AQ101" s="5"/>
      <c r="AR101" s="6"/>
      <c r="AS101" s="6"/>
      <c r="AT101" s="6"/>
      <c r="AU101" s="7"/>
    </row>
    <row r="102" spans="1:257" ht="16.5" customHeight="1" x14ac:dyDescent="0.3">
      <c r="A102" s="156">
        <v>87</v>
      </c>
      <c r="B102" s="120" t="s">
        <v>107</v>
      </c>
      <c r="C102" s="86" t="s">
        <v>131</v>
      </c>
      <c r="D102" s="44"/>
      <c r="E102" s="44"/>
      <c r="F102" s="77"/>
      <c r="G102" s="77" t="s">
        <v>221</v>
      </c>
      <c r="H102" s="44">
        <v>9932058627.3999996</v>
      </c>
      <c r="I102" s="100">
        <v>116108876.06999999</v>
      </c>
      <c r="J102" s="77" t="s">
        <v>222</v>
      </c>
      <c r="K102" s="77" t="s">
        <v>223</v>
      </c>
      <c r="L102" s="45">
        <v>34533237.32</v>
      </c>
      <c r="M102" s="78">
        <v>29424773.289999999</v>
      </c>
      <c r="N102" s="44">
        <v>11146434845.110001</v>
      </c>
      <c r="O102" s="44">
        <v>1244944475.0899999</v>
      </c>
      <c r="P102" s="224">
        <v>9872074597</v>
      </c>
      <c r="Q102" s="48">
        <f t="shared" ref="Q102:Q104" si="49">(P102/$P$105)</f>
        <v>0.19647114839222249</v>
      </c>
      <c r="R102" s="56">
        <v>9901490370</v>
      </c>
      <c r="S102" s="48">
        <f t="shared" ref="S102:S104" si="50">(R102/$R$105)</f>
        <v>0.19727169723691096</v>
      </c>
      <c r="T102" s="49">
        <f>((R102-P102)/P102)</f>
        <v>2.9796951705509888E-3</v>
      </c>
      <c r="U102" s="87">
        <f>(L102/R102)</f>
        <v>3.4876807459845059E-3</v>
      </c>
      <c r="V102" s="50">
        <f>M102/R102</f>
        <v>2.9717519474798016E-3</v>
      </c>
      <c r="W102" s="51">
        <f>R102/AB102</f>
        <v>52.631928943175033</v>
      </c>
      <c r="X102" s="51">
        <f>M102/AB102</f>
        <v>0.15640903733649894</v>
      </c>
      <c r="Y102" s="119">
        <v>36.6</v>
      </c>
      <c r="Z102" s="119">
        <v>36.6</v>
      </c>
      <c r="AA102" s="52">
        <v>5244</v>
      </c>
      <c r="AB102" s="158">
        <v>188127066</v>
      </c>
      <c r="AC102" s="43"/>
      <c r="AD102" s="4"/>
      <c r="AE102" s="4"/>
      <c r="AF102" s="4"/>
      <c r="AG102" s="5"/>
      <c r="AH102" s="6"/>
      <c r="AI102" s="6"/>
      <c r="AJ102" s="6"/>
      <c r="AK102" s="7"/>
      <c r="AL102" s="5"/>
      <c r="AM102" s="6"/>
      <c r="AN102" s="6"/>
      <c r="AO102" s="6"/>
      <c r="AP102" s="7"/>
      <c r="AQ102" s="5"/>
      <c r="AR102" s="6"/>
      <c r="AS102" s="6"/>
      <c r="AT102" s="6"/>
      <c r="AU102" s="7"/>
    </row>
    <row r="103" spans="1:257" ht="16.5" customHeight="1" x14ac:dyDescent="0.3">
      <c r="A103" s="156">
        <v>88</v>
      </c>
      <c r="B103" s="122" t="s">
        <v>207</v>
      </c>
      <c r="C103" s="86" t="s">
        <v>132</v>
      </c>
      <c r="D103" s="44"/>
      <c r="E103" s="44"/>
      <c r="F103" s="77" t="s">
        <v>212</v>
      </c>
      <c r="G103" s="77" t="s">
        <v>211</v>
      </c>
      <c r="H103" s="44">
        <v>26522225000</v>
      </c>
      <c r="I103" s="100"/>
      <c r="J103" s="77" t="s">
        <v>213</v>
      </c>
      <c r="K103" s="77" t="s">
        <v>214</v>
      </c>
      <c r="L103" s="45">
        <v>26521512.82</v>
      </c>
      <c r="M103" s="78">
        <v>112415808.31</v>
      </c>
      <c r="N103" s="44">
        <v>30629972128.360001</v>
      </c>
      <c r="O103" s="44">
        <v>158205693.59</v>
      </c>
      <c r="P103" s="224">
        <v>30470362316.630001</v>
      </c>
      <c r="Q103" s="48">
        <f t="shared" si="49"/>
        <v>0.60641226091369227</v>
      </c>
      <c r="R103" s="56">
        <v>30471766434.77</v>
      </c>
      <c r="S103" s="48">
        <f t="shared" si="50"/>
        <v>0.60710225004175944</v>
      </c>
      <c r="T103" s="49">
        <f>((R103-P103)/P103)</f>
        <v>4.6081438921159639E-5</v>
      </c>
      <c r="U103" s="87">
        <f>(L103/R103)</f>
        <v>8.7036348472852108E-4</v>
      </c>
      <c r="V103" s="50">
        <f>M103/R103</f>
        <v>3.6891792456681225E-3</v>
      </c>
      <c r="W103" s="51">
        <f>R103/AB103</f>
        <v>11.420048250287312</v>
      </c>
      <c r="X103" s="51">
        <f>M103/AB103</f>
        <v>4.2130604989488507E-2</v>
      </c>
      <c r="Y103" s="119">
        <v>11.42</v>
      </c>
      <c r="Z103" s="119">
        <v>11.42</v>
      </c>
      <c r="AA103" s="52">
        <v>28836</v>
      </c>
      <c r="AB103" s="158">
        <v>2668269500</v>
      </c>
      <c r="AC103" s="43"/>
      <c r="AD103" s="4"/>
      <c r="AE103" s="4"/>
      <c r="AF103" s="4"/>
      <c r="AG103" s="5"/>
      <c r="AH103" s="6"/>
      <c r="AI103" s="6"/>
      <c r="AJ103" s="6"/>
      <c r="AK103" s="7"/>
      <c r="AL103" s="5"/>
      <c r="AM103" s="6"/>
      <c r="AN103" s="6"/>
      <c r="AO103" s="6"/>
      <c r="AP103" s="7"/>
      <c r="AQ103" s="5"/>
      <c r="AR103" s="6"/>
      <c r="AS103" s="6"/>
      <c r="AT103" s="6"/>
      <c r="AU103" s="7"/>
    </row>
    <row r="104" spans="1:257" ht="16.5" customHeight="1" x14ac:dyDescent="0.3">
      <c r="A104" s="156">
        <v>89</v>
      </c>
      <c r="B104" s="120" t="s">
        <v>31</v>
      </c>
      <c r="C104" s="86" t="s">
        <v>133</v>
      </c>
      <c r="D104" s="44"/>
      <c r="E104" s="44"/>
      <c r="F104" s="77" t="s">
        <v>208</v>
      </c>
      <c r="G104" s="77"/>
      <c r="H104" s="44">
        <v>610903488</v>
      </c>
      <c r="I104" s="100">
        <v>83245454</v>
      </c>
      <c r="J104" s="77" t="s">
        <v>209</v>
      </c>
      <c r="K104" s="77" t="s">
        <v>210</v>
      </c>
      <c r="L104" s="100">
        <v>17823084</v>
      </c>
      <c r="M104" s="78">
        <v>-95707276</v>
      </c>
      <c r="N104" s="44">
        <v>7688047203</v>
      </c>
      <c r="O104" s="44">
        <v>272737432</v>
      </c>
      <c r="P104" s="224">
        <v>7511017047</v>
      </c>
      <c r="Q104" s="48">
        <f t="shared" si="49"/>
        <v>0.1494820698848949</v>
      </c>
      <c r="R104" s="56">
        <v>7415309771</v>
      </c>
      <c r="S104" s="48">
        <f t="shared" si="50"/>
        <v>0.14773844031548752</v>
      </c>
      <c r="T104" s="49">
        <f>((R104-P104)/P104)</f>
        <v>-1.2742252533992951E-2</v>
      </c>
      <c r="U104" s="87">
        <f>(L104/R104)</f>
        <v>2.4035521846576136E-3</v>
      </c>
      <c r="V104" s="50">
        <f>M104/R104</f>
        <v>-1.2906713132106049E-2</v>
      </c>
      <c r="W104" s="51">
        <f>R104/AB104</f>
        <v>100.00417762643291</v>
      </c>
      <c r="X104" s="51">
        <f>M104/AB104</f>
        <v>-1.2907252326365475</v>
      </c>
      <c r="Y104" s="119">
        <v>100</v>
      </c>
      <c r="Z104" s="119">
        <v>100</v>
      </c>
      <c r="AA104" s="52">
        <v>59</v>
      </c>
      <c r="AB104" s="158">
        <v>74150000</v>
      </c>
      <c r="AC104" s="13"/>
      <c r="AD104" s="4"/>
      <c r="AE104" s="4"/>
      <c r="AF104" s="4"/>
      <c r="AG104" s="5"/>
      <c r="AH104" s="6"/>
      <c r="AI104" s="6"/>
      <c r="AJ104" s="6"/>
      <c r="AK104" s="7"/>
      <c r="AL104" s="5"/>
      <c r="AM104" s="6"/>
      <c r="AN104" s="6"/>
      <c r="AO104" s="6"/>
      <c r="AP104" s="7"/>
      <c r="AQ104" s="5"/>
      <c r="AR104" s="6"/>
      <c r="AS104" s="6"/>
      <c r="AT104" s="6"/>
      <c r="AU104" s="7"/>
    </row>
    <row r="105" spans="1:257" ht="16.5" customHeight="1" x14ac:dyDescent="0.3">
      <c r="A105" s="168"/>
      <c r="B105" s="72"/>
      <c r="C105" s="61" t="s">
        <v>54</v>
      </c>
      <c r="D105" s="62"/>
      <c r="E105" s="62"/>
      <c r="F105" s="62"/>
      <c r="G105" s="62"/>
      <c r="H105" s="62"/>
      <c r="I105" s="62"/>
      <c r="J105" s="62"/>
      <c r="K105" s="62"/>
      <c r="L105" s="62"/>
      <c r="M105" s="124"/>
      <c r="N105" s="62"/>
      <c r="O105" s="62"/>
      <c r="P105" s="123">
        <f>SUM(P101:P104)</f>
        <v>50246943013.190002</v>
      </c>
      <c r="Q105" s="125">
        <f>(P105/$P$146)</f>
        <v>3.888827024404571E-2</v>
      </c>
      <c r="R105" s="63">
        <f>SUM(R101:R104)</f>
        <v>50192148740.470001</v>
      </c>
      <c r="S105" s="125">
        <f>(R105/$R$146)</f>
        <v>3.8558386398994719E-2</v>
      </c>
      <c r="T105" s="64">
        <f>((R105-P105)/P105)</f>
        <v>-1.0904996291141041E-3</v>
      </c>
      <c r="U105" s="79"/>
      <c r="V105" s="65"/>
      <c r="W105" s="66"/>
      <c r="X105" s="66"/>
      <c r="Y105" s="62"/>
      <c r="Z105" s="62"/>
      <c r="AA105" s="67">
        <f>SUM(AA101:AA104)</f>
        <v>36787</v>
      </c>
      <c r="AB105" s="160"/>
      <c r="AC105" s="13"/>
      <c r="AD105" s="4"/>
      <c r="AE105" s="4"/>
      <c r="AF105" s="4"/>
      <c r="AG105" s="5"/>
      <c r="AH105" s="6"/>
      <c r="AI105" s="6"/>
      <c r="AJ105" s="6"/>
      <c r="AK105" s="7"/>
      <c r="AL105" s="5"/>
      <c r="AM105" s="6"/>
      <c r="AN105" s="6"/>
      <c r="AO105" s="6"/>
      <c r="AP105" s="7"/>
      <c r="AQ105" s="5"/>
      <c r="AR105" s="6"/>
      <c r="AS105" s="6"/>
      <c r="AT105" s="6"/>
      <c r="AU105" s="7"/>
    </row>
    <row r="106" spans="1:257" ht="16.5" customHeight="1" x14ac:dyDescent="0.3">
      <c r="A106" s="240" t="s">
        <v>190</v>
      </c>
      <c r="B106" s="241"/>
      <c r="C106" s="241"/>
      <c r="D106" s="73"/>
      <c r="E106" s="73"/>
      <c r="F106" s="73"/>
      <c r="G106" s="73"/>
      <c r="H106" s="73"/>
      <c r="I106" s="73"/>
      <c r="J106" s="73"/>
      <c r="K106" s="73"/>
      <c r="L106" s="73"/>
      <c r="M106" s="73"/>
      <c r="N106" s="73"/>
      <c r="O106" s="73"/>
      <c r="P106" s="121"/>
      <c r="Q106" s="49"/>
      <c r="R106" s="73"/>
      <c r="S106" s="49"/>
      <c r="T106" s="49"/>
      <c r="U106" s="49"/>
      <c r="V106" s="74"/>
      <c r="W106" s="75"/>
      <c r="X106" s="75"/>
      <c r="Y106" s="73"/>
      <c r="Z106" s="73"/>
      <c r="AA106" s="73"/>
      <c r="AB106" s="163"/>
      <c r="AC106" s="13"/>
      <c r="AD106" s="4"/>
      <c r="AE106" s="4"/>
      <c r="AF106" s="4"/>
      <c r="AG106" s="5"/>
      <c r="AH106" s="6"/>
      <c r="AI106" s="6"/>
      <c r="AJ106" s="6"/>
      <c r="AK106" s="7"/>
      <c r="AL106" s="5"/>
      <c r="AM106" s="6"/>
      <c r="AN106" s="6"/>
      <c r="AO106" s="6"/>
      <c r="AP106" s="7"/>
      <c r="AQ106" s="5"/>
      <c r="AR106" s="6"/>
      <c r="AS106" s="6"/>
      <c r="AT106" s="6"/>
      <c r="AU106" s="7"/>
    </row>
    <row r="107" spans="1:257" ht="16.5" customHeight="1" x14ac:dyDescent="0.3">
      <c r="A107" s="156">
        <v>90</v>
      </c>
      <c r="B107" s="120" t="s">
        <v>25</v>
      </c>
      <c r="C107" s="86" t="s">
        <v>134</v>
      </c>
      <c r="D107" s="44">
        <v>795003420.79999995</v>
      </c>
      <c r="E107" s="44"/>
      <c r="F107" s="44">
        <v>491969899.14999998</v>
      </c>
      <c r="G107" s="44">
        <v>344953897.57999998</v>
      </c>
      <c r="H107" s="55"/>
      <c r="I107" s="53"/>
      <c r="J107" s="53">
        <v>1631927217.53</v>
      </c>
      <c r="K107" s="53">
        <v>7271333.1900000004</v>
      </c>
      <c r="L107" s="44">
        <v>2080778.44</v>
      </c>
      <c r="M107" s="54">
        <v>23115018.199999999</v>
      </c>
      <c r="N107" s="44">
        <v>1655735319.1099999</v>
      </c>
      <c r="O107" s="44">
        <v>11026597.960000001</v>
      </c>
      <c r="P107" s="224">
        <v>1627640330.01</v>
      </c>
      <c r="Q107" s="48">
        <f>(P107/$P$146)</f>
        <v>1.2597008537797248E-3</v>
      </c>
      <c r="R107" s="111">
        <v>1644708721.1500001</v>
      </c>
      <c r="S107" s="48">
        <f t="shared" ref="S107:S128" si="51">(R107/$R$129)</f>
        <v>5.6040820033422582E-2</v>
      </c>
      <c r="T107" s="49">
        <f t="shared" ref="T107:T129" si="52">((R107-P107)/P107)</f>
        <v>1.0486586517486476E-2</v>
      </c>
      <c r="U107" s="87">
        <f t="shared" ref="U107:U125" si="53">(L107/R107)</f>
        <v>1.2651349222159499E-3</v>
      </c>
      <c r="V107" s="50">
        <f t="shared" ref="V107:V128" si="54">M107/R107</f>
        <v>1.4054171357368191E-2</v>
      </c>
      <c r="W107" s="51">
        <f t="shared" ref="W107:W128" si="55">R107/AB107</f>
        <v>3449.8505334539341</v>
      </c>
      <c r="X107" s="51">
        <f>M107/AB107</f>
        <v>48.484790554469654</v>
      </c>
      <c r="Y107" s="44">
        <v>3427.76</v>
      </c>
      <c r="Z107" s="44">
        <v>3461.94</v>
      </c>
      <c r="AA107" s="52">
        <v>1310</v>
      </c>
      <c r="AB107" s="158">
        <v>476747.82</v>
      </c>
      <c r="AC107" s="13"/>
      <c r="AD107" s="4"/>
      <c r="AE107" s="4"/>
      <c r="AF107" s="4"/>
      <c r="AG107" s="5"/>
      <c r="AH107" s="6"/>
      <c r="AI107" s="6"/>
      <c r="AJ107" s="6"/>
      <c r="AK107" s="7"/>
      <c r="AL107" s="5"/>
      <c r="AM107" s="6"/>
      <c r="AN107" s="6"/>
      <c r="AO107" s="6"/>
      <c r="AP107" s="7"/>
      <c r="AQ107" s="5"/>
      <c r="AR107" s="6"/>
      <c r="AS107" s="6"/>
      <c r="AT107" s="6"/>
      <c r="AU107" s="7"/>
    </row>
    <row r="108" spans="1:257" ht="16.5" customHeight="1" x14ac:dyDescent="0.3">
      <c r="A108" s="156">
        <v>91</v>
      </c>
      <c r="B108" s="120" t="s">
        <v>31</v>
      </c>
      <c r="C108" s="86" t="s">
        <v>180</v>
      </c>
      <c r="D108" s="44">
        <v>103051344.5</v>
      </c>
      <c r="E108" s="44"/>
      <c r="F108" s="44">
        <v>35986306.109999999</v>
      </c>
      <c r="G108" s="44">
        <v>52403083.920000002</v>
      </c>
      <c r="H108" s="55"/>
      <c r="I108" s="53"/>
      <c r="J108" s="53">
        <v>191440734.53</v>
      </c>
      <c r="K108" s="53">
        <v>1041970.24</v>
      </c>
      <c r="L108" s="44">
        <v>488405.2</v>
      </c>
      <c r="M108" s="54">
        <v>553565.04</v>
      </c>
      <c r="N108" s="44">
        <v>194769643.69999999</v>
      </c>
      <c r="O108" s="44">
        <v>2109267.13</v>
      </c>
      <c r="P108" s="224">
        <v>191526741.41</v>
      </c>
      <c r="Q108" s="48">
        <f t="shared" ref="Q108:Q128" si="56">(P108/$P$146)</f>
        <v>1.4823078245692232E-4</v>
      </c>
      <c r="R108" s="111">
        <v>192660376.58000001</v>
      </c>
      <c r="S108" s="48">
        <f t="shared" si="51"/>
        <v>6.5645942972454834E-3</v>
      </c>
      <c r="T108" s="49">
        <f t="shared" si="52"/>
        <v>5.918939369271947E-3</v>
      </c>
      <c r="U108" s="87">
        <f t="shared" si="53"/>
        <v>2.5350578498282718E-3</v>
      </c>
      <c r="V108" s="50">
        <f t="shared" si="54"/>
        <v>2.8732687531633598E-3</v>
      </c>
      <c r="W108" s="51">
        <f t="shared" si="55"/>
        <v>142.67429474262619</v>
      </c>
      <c r="X108" s="51">
        <f t="shared" ref="X108:X128" si="57">M108/AB108</f>
        <v>0.40994159296360727</v>
      </c>
      <c r="Y108" s="44">
        <v>139.85</v>
      </c>
      <c r="Z108" s="44">
        <v>141.44999999999999</v>
      </c>
      <c r="AA108" s="52">
        <v>713</v>
      </c>
      <c r="AB108" s="158">
        <v>1350351</v>
      </c>
      <c r="AC108" s="13"/>
      <c r="AD108" s="4"/>
      <c r="AE108" s="4"/>
      <c r="AF108" s="4"/>
      <c r="AG108" s="5"/>
      <c r="AH108" s="6"/>
      <c r="AI108" s="6"/>
      <c r="AJ108" s="6"/>
      <c r="AK108" s="7"/>
      <c r="AL108" s="5"/>
      <c r="AM108" s="6"/>
      <c r="AN108" s="6"/>
      <c r="AO108" s="6"/>
      <c r="AP108" s="7"/>
      <c r="AQ108" s="5"/>
      <c r="AR108" s="6"/>
      <c r="AS108" s="6"/>
      <c r="AT108" s="6"/>
      <c r="AU108" s="7"/>
      <c r="AV108" s="31"/>
      <c r="AW108" s="31"/>
      <c r="AX108" s="31"/>
      <c r="AY108" s="31"/>
      <c r="AZ108" s="31"/>
      <c r="BA108" s="31"/>
      <c r="BB108" s="31"/>
      <c r="BC108" s="31"/>
      <c r="BD108" s="31"/>
      <c r="BE108" s="31"/>
      <c r="BF108" s="31"/>
      <c r="BG108" s="31"/>
      <c r="BH108" s="31"/>
      <c r="BI108" s="31"/>
      <c r="BJ108" s="31"/>
      <c r="BK108" s="31"/>
      <c r="BL108" s="31"/>
      <c r="BM108" s="31"/>
      <c r="BN108" s="31"/>
      <c r="BO108" s="31"/>
      <c r="BP108" s="31"/>
      <c r="BQ108" s="31"/>
      <c r="BR108" s="31"/>
      <c r="BS108" s="31"/>
      <c r="BT108" s="31"/>
      <c r="BU108" s="31"/>
      <c r="BV108" s="31"/>
      <c r="BW108" s="31"/>
      <c r="BX108" s="31"/>
      <c r="BY108" s="31"/>
      <c r="BZ108" s="31"/>
      <c r="CA108" s="31"/>
      <c r="CB108" s="31"/>
      <c r="CC108" s="31"/>
      <c r="CD108" s="31"/>
      <c r="CE108" s="31"/>
      <c r="CF108" s="31"/>
      <c r="CG108" s="31"/>
      <c r="CH108" s="31"/>
      <c r="CI108" s="31"/>
      <c r="CJ108" s="31"/>
      <c r="CK108" s="31"/>
      <c r="CL108" s="31"/>
      <c r="CM108" s="31"/>
      <c r="CN108" s="31"/>
      <c r="CO108" s="31"/>
      <c r="CP108" s="31"/>
      <c r="CQ108" s="31"/>
      <c r="CR108" s="31"/>
      <c r="CS108" s="31"/>
      <c r="CT108" s="31"/>
      <c r="CU108" s="31"/>
      <c r="CV108" s="31"/>
      <c r="CW108" s="31"/>
      <c r="CX108" s="31"/>
      <c r="CY108" s="31"/>
      <c r="CZ108" s="31"/>
      <c r="DA108" s="31"/>
      <c r="DB108" s="31"/>
      <c r="DC108" s="31"/>
      <c r="DD108" s="31"/>
      <c r="DE108" s="31"/>
      <c r="DF108" s="31"/>
      <c r="DG108" s="31"/>
      <c r="DH108" s="31"/>
      <c r="DI108" s="31"/>
      <c r="DJ108" s="31"/>
      <c r="DK108" s="31"/>
      <c r="DL108" s="31"/>
      <c r="DM108" s="31"/>
      <c r="DN108" s="31"/>
      <c r="DO108" s="31"/>
      <c r="DP108" s="31"/>
      <c r="DQ108" s="31"/>
      <c r="DR108" s="31"/>
      <c r="DS108" s="31"/>
      <c r="DT108" s="31"/>
      <c r="DU108" s="31"/>
      <c r="DV108" s="31"/>
      <c r="DW108" s="31"/>
      <c r="DX108" s="31"/>
      <c r="DY108" s="31"/>
      <c r="DZ108" s="31"/>
      <c r="EA108" s="31"/>
      <c r="EB108" s="31"/>
      <c r="EC108" s="31"/>
      <c r="ED108" s="31"/>
      <c r="EE108" s="31"/>
      <c r="EF108" s="31"/>
      <c r="EG108" s="31"/>
      <c r="EH108" s="31"/>
      <c r="EI108" s="31"/>
      <c r="EJ108" s="31"/>
      <c r="EK108" s="31"/>
      <c r="EL108" s="31"/>
      <c r="EM108" s="31"/>
      <c r="EN108" s="31"/>
      <c r="EO108" s="31"/>
      <c r="EP108" s="31"/>
      <c r="EQ108" s="31"/>
      <c r="ER108" s="31"/>
      <c r="ES108" s="31"/>
      <c r="ET108" s="31"/>
      <c r="EU108" s="31"/>
      <c r="EV108" s="31"/>
      <c r="EW108" s="31"/>
      <c r="EX108" s="31"/>
      <c r="EY108" s="31"/>
      <c r="EZ108" s="31"/>
      <c r="FA108" s="31"/>
      <c r="FB108" s="31"/>
      <c r="FC108" s="31"/>
      <c r="FD108" s="31"/>
      <c r="FE108" s="31"/>
      <c r="FF108" s="31"/>
      <c r="FG108" s="31"/>
      <c r="FH108" s="31"/>
      <c r="FI108" s="31"/>
      <c r="FJ108" s="31"/>
      <c r="FK108" s="31"/>
      <c r="FL108" s="31"/>
      <c r="FM108" s="31"/>
      <c r="FN108" s="31"/>
      <c r="FO108" s="31"/>
      <c r="FP108" s="31"/>
      <c r="FQ108" s="31"/>
      <c r="FR108" s="31"/>
      <c r="FS108" s="31"/>
      <c r="FT108" s="31"/>
      <c r="FU108" s="31"/>
      <c r="FV108" s="31"/>
      <c r="FW108" s="31"/>
      <c r="FX108" s="31"/>
      <c r="FY108" s="31"/>
      <c r="FZ108" s="31"/>
      <c r="GA108" s="31"/>
      <c r="GB108" s="31"/>
      <c r="GC108" s="31"/>
      <c r="GD108" s="31"/>
      <c r="GE108" s="31"/>
      <c r="GF108" s="31"/>
      <c r="GG108" s="31"/>
      <c r="GH108" s="31"/>
      <c r="GI108" s="31"/>
      <c r="GJ108" s="31"/>
      <c r="GK108" s="31"/>
      <c r="GL108" s="31"/>
      <c r="GM108" s="31"/>
      <c r="GN108" s="31"/>
      <c r="GO108" s="31"/>
      <c r="GP108" s="31"/>
      <c r="GQ108" s="31"/>
      <c r="GR108" s="31"/>
      <c r="GS108" s="31"/>
      <c r="GT108" s="31"/>
      <c r="GU108" s="31"/>
      <c r="GV108" s="31"/>
      <c r="GW108" s="31"/>
      <c r="GX108" s="31"/>
      <c r="GY108" s="31"/>
      <c r="GZ108" s="31"/>
      <c r="HA108" s="31"/>
      <c r="HB108" s="31"/>
      <c r="HC108" s="31"/>
      <c r="HD108" s="31"/>
      <c r="HE108" s="31"/>
      <c r="HF108" s="31"/>
      <c r="HG108" s="31"/>
      <c r="HH108" s="31"/>
      <c r="HI108" s="31"/>
      <c r="HJ108" s="31"/>
      <c r="HK108" s="31"/>
      <c r="HL108" s="31"/>
      <c r="HM108" s="31"/>
      <c r="HN108" s="31"/>
      <c r="HO108" s="31"/>
      <c r="HP108" s="31"/>
      <c r="HQ108" s="31"/>
      <c r="HR108" s="31"/>
      <c r="HS108" s="31"/>
      <c r="HT108" s="31"/>
      <c r="HU108" s="31"/>
      <c r="HV108" s="31"/>
      <c r="HW108" s="31"/>
      <c r="HX108" s="31"/>
      <c r="HY108" s="31"/>
      <c r="HZ108" s="31"/>
      <c r="IA108" s="31"/>
      <c r="IB108" s="31"/>
      <c r="IC108" s="31"/>
      <c r="ID108" s="31"/>
      <c r="IE108" s="31"/>
      <c r="IF108" s="31"/>
      <c r="IG108" s="31"/>
      <c r="IH108" s="31"/>
      <c r="II108" s="31"/>
      <c r="IJ108" s="31"/>
      <c r="IK108" s="31"/>
      <c r="IL108" s="31"/>
      <c r="IM108" s="31"/>
      <c r="IN108" s="31"/>
      <c r="IO108" s="31"/>
      <c r="IP108" s="31"/>
      <c r="IQ108" s="31"/>
      <c r="IR108" s="31"/>
      <c r="IS108" s="31"/>
      <c r="IT108" s="31"/>
      <c r="IU108" s="31"/>
      <c r="IV108" s="31"/>
      <c r="IW108" s="31"/>
    </row>
    <row r="109" spans="1:257" ht="16.5" customHeight="1" x14ac:dyDescent="0.3">
      <c r="A109" s="156">
        <v>92</v>
      </c>
      <c r="B109" s="120" t="s">
        <v>35</v>
      </c>
      <c r="C109" s="86" t="s">
        <v>135</v>
      </c>
      <c r="D109" s="44">
        <v>470867223.69999999</v>
      </c>
      <c r="E109" s="44"/>
      <c r="F109" s="44"/>
      <c r="G109" s="44">
        <v>305165547</v>
      </c>
      <c r="H109" s="55"/>
      <c r="I109" s="53"/>
      <c r="J109" s="53">
        <v>776032770</v>
      </c>
      <c r="K109" s="53">
        <v>5312467</v>
      </c>
      <c r="L109" s="44">
        <v>1743020</v>
      </c>
      <c r="M109" s="54">
        <v>18171102</v>
      </c>
      <c r="N109" s="44">
        <v>1052806616</v>
      </c>
      <c r="O109" s="44">
        <v>81813036</v>
      </c>
      <c r="P109" s="224">
        <v>953107486.25</v>
      </c>
      <c r="Q109" s="48">
        <f t="shared" si="56"/>
        <v>7.3765087534148025E-4</v>
      </c>
      <c r="R109" s="111">
        <v>970993579.79999995</v>
      </c>
      <c r="S109" s="48">
        <f t="shared" si="51"/>
        <v>3.3085053760238306E-2</v>
      </c>
      <c r="T109" s="49">
        <f t="shared" si="52"/>
        <v>1.8766082323382813E-2</v>
      </c>
      <c r="U109" s="87">
        <f t="shared" si="53"/>
        <v>1.7950891089918617E-3</v>
      </c>
      <c r="V109" s="50">
        <f t="shared" si="54"/>
        <v>1.8713926001181991E-2</v>
      </c>
      <c r="W109" s="51">
        <f t="shared" si="55"/>
        <v>1.3794107567483098</v>
      </c>
      <c r="X109" s="51">
        <f t="shared" si="57"/>
        <v>2.5814190827022323E-2</v>
      </c>
      <c r="Y109" s="44">
        <v>1.38</v>
      </c>
      <c r="Z109" s="44">
        <v>1.4</v>
      </c>
      <c r="AA109" s="52">
        <v>1326</v>
      </c>
      <c r="AB109" s="158">
        <v>703919101</v>
      </c>
      <c r="AC109" s="13"/>
      <c r="AD109" s="4"/>
      <c r="AE109" s="4"/>
      <c r="AF109" s="4"/>
      <c r="AG109" s="5"/>
      <c r="AH109" s="6"/>
      <c r="AI109" s="6"/>
      <c r="AJ109" s="6"/>
      <c r="AK109" s="7"/>
      <c r="AL109" s="5"/>
      <c r="AM109" s="6"/>
      <c r="AN109" s="6"/>
      <c r="AO109" s="6"/>
      <c r="AP109" s="7"/>
      <c r="AQ109" s="5"/>
      <c r="AR109" s="6"/>
      <c r="AS109" s="6"/>
      <c r="AT109" s="6"/>
      <c r="AU109" s="7"/>
      <c r="AV109" s="31"/>
      <c r="AW109" s="31"/>
      <c r="AX109" s="31"/>
      <c r="AY109" s="31"/>
      <c r="AZ109" s="31"/>
      <c r="BA109" s="31"/>
      <c r="BB109" s="31"/>
      <c r="BC109" s="31"/>
      <c r="BD109" s="31"/>
      <c r="BE109" s="31"/>
      <c r="BF109" s="31"/>
      <c r="BG109" s="31"/>
      <c r="BH109" s="31"/>
      <c r="BI109" s="31"/>
      <c r="BJ109" s="31"/>
      <c r="BK109" s="31"/>
      <c r="BL109" s="31"/>
      <c r="BM109" s="31"/>
      <c r="BN109" s="31"/>
      <c r="BO109" s="31"/>
      <c r="BP109" s="31"/>
      <c r="BQ109" s="31"/>
      <c r="BR109" s="31"/>
      <c r="BS109" s="31"/>
      <c r="BT109" s="31"/>
      <c r="BU109" s="31"/>
      <c r="BV109" s="31"/>
      <c r="BW109" s="31"/>
      <c r="BX109" s="31"/>
      <c r="BY109" s="31"/>
      <c r="BZ109" s="31"/>
      <c r="CA109" s="31"/>
      <c r="CB109" s="31"/>
      <c r="CC109" s="31"/>
      <c r="CD109" s="31"/>
      <c r="CE109" s="31"/>
      <c r="CF109" s="31"/>
      <c r="CG109" s="31"/>
      <c r="CH109" s="31"/>
      <c r="CI109" s="31"/>
      <c r="CJ109" s="31"/>
      <c r="CK109" s="31"/>
      <c r="CL109" s="31"/>
      <c r="CM109" s="31"/>
      <c r="CN109" s="31"/>
      <c r="CO109" s="31"/>
      <c r="CP109" s="31"/>
      <c r="CQ109" s="31"/>
      <c r="CR109" s="31"/>
      <c r="CS109" s="31"/>
      <c r="CT109" s="31"/>
      <c r="CU109" s="31"/>
      <c r="CV109" s="31"/>
      <c r="CW109" s="31"/>
      <c r="CX109" s="31"/>
      <c r="CY109" s="31"/>
      <c r="CZ109" s="31"/>
      <c r="DA109" s="31"/>
      <c r="DB109" s="31"/>
      <c r="DC109" s="31"/>
      <c r="DD109" s="31"/>
      <c r="DE109" s="31"/>
      <c r="DF109" s="31"/>
      <c r="DG109" s="31"/>
      <c r="DH109" s="31"/>
      <c r="DI109" s="31"/>
      <c r="DJ109" s="31"/>
      <c r="DK109" s="31"/>
      <c r="DL109" s="31"/>
      <c r="DM109" s="31"/>
      <c r="DN109" s="31"/>
      <c r="DO109" s="31"/>
      <c r="DP109" s="31"/>
      <c r="DQ109" s="31"/>
      <c r="DR109" s="31"/>
      <c r="DS109" s="31"/>
      <c r="DT109" s="31"/>
      <c r="DU109" s="31"/>
      <c r="DV109" s="31"/>
      <c r="DW109" s="31"/>
      <c r="DX109" s="31"/>
      <c r="DY109" s="31"/>
      <c r="DZ109" s="31"/>
      <c r="EA109" s="31"/>
      <c r="EB109" s="31"/>
      <c r="EC109" s="31"/>
      <c r="ED109" s="31"/>
      <c r="EE109" s="31"/>
      <c r="EF109" s="31"/>
      <c r="EG109" s="31"/>
      <c r="EH109" s="31"/>
      <c r="EI109" s="31"/>
      <c r="EJ109" s="31"/>
      <c r="EK109" s="31"/>
      <c r="EL109" s="31"/>
      <c r="EM109" s="31"/>
      <c r="EN109" s="31"/>
      <c r="EO109" s="31"/>
      <c r="EP109" s="31"/>
      <c r="EQ109" s="31"/>
      <c r="ER109" s="31"/>
      <c r="ES109" s="31"/>
      <c r="ET109" s="31"/>
      <c r="EU109" s="31"/>
      <c r="EV109" s="31"/>
      <c r="EW109" s="31"/>
      <c r="EX109" s="31"/>
      <c r="EY109" s="31"/>
      <c r="EZ109" s="31"/>
      <c r="FA109" s="31"/>
      <c r="FB109" s="31"/>
      <c r="FC109" s="31"/>
      <c r="FD109" s="31"/>
      <c r="FE109" s="31"/>
      <c r="FF109" s="31"/>
      <c r="FG109" s="31"/>
      <c r="FH109" s="31"/>
      <c r="FI109" s="31"/>
      <c r="FJ109" s="31"/>
      <c r="FK109" s="31"/>
      <c r="FL109" s="31"/>
      <c r="FM109" s="31"/>
      <c r="FN109" s="31"/>
      <c r="FO109" s="31"/>
      <c r="FP109" s="31"/>
      <c r="FQ109" s="31"/>
      <c r="FR109" s="31"/>
      <c r="FS109" s="31"/>
      <c r="FT109" s="31"/>
      <c r="FU109" s="31"/>
      <c r="FV109" s="31"/>
      <c r="FW109" s="31"/>
      <c r="FX109" s="31"/>
      <c r="FY109" s="31"/>
      <c r="FZ109" s="31"/>
      <c r="GA109" s="31"/>
      <c r="GB109" s="31"/>
      <c r="GC109" s="31"/>
      <c r="GD109" s="31"/>
      <c r="GE109" s="31"/>
      <c r="GF109" s="31"/>
      <c r="GG109" s="31"/>
      <c r="GH109" s="31"/>
      <c r="GI109" s="31"/>
      <c r="GJ109" s="31"/>
      <c r="GK109" s="31"/>
      <c r="GL109" s="31"/>
      <c r="GM109" s="31"/>
      <c r="GN109" s="31"/>
      <c r="GO109" s="31"/>
      <c r="GP109" s="31"/>
      <c r="GQ109" s="31"/>
      <c r="GR109" s="31"/>
      <c r="GS109" s="31"/>
      <c r="GT109" s="31"/>
      <c r="GU109" s="31"/>
      <c r="GV109" s="31"/>
      <c r="GW109" s="31"/>
      <c r="GX109" s="31"/>
      <c r="GY109" s="31"/>
      <c r="GZ109" s="31"/>
      <c r="HA109" s="31"/>
      <c r="HB109" s="31"/>
      <c r="HC109" s="31"/>
      <c r="HD109" s="31"/>
      <c r="HE109" s="31"/>
      <c r="HF109" s="31"/>
      <c r="HG109" s="31"/>
      <c r="HH109" s="31"/>
      <c r="HI109" s="31"/>
      <c r="HJ109" s="31"/>
      <c r="HK109" s="31"/>
      <c r="HL109" s="31"/>
      <c r="HM109" s="31"/>
      <c r="HN109" s="31"/>
      <c r="HO109" s="31"/>
      <c r="HP109" s="31"/>
      <c r="HQ109" s="31"/>
      <c r="HR109" s="31"/>
      <c r="HS109" s="31"/>
      <c r="HT109" s="31"/>
      <c r="HU109" s="31"/>
      <c r="HV109" s="31"/>
      <c r="HW109" s="31"/>
      <c r="HX109" s="31"/>
      <c r="HY109" s="31"/>
      <c r="HZ109" s="31"/>
      <c r="IA109" s="31"/>
      <c r="IB109" s="31"/>
      <c r="IC109" s="31"/>
      <c r="ID109" s="31"/>
      <c r="IE109" s="31"/>
      <c r="IF109" s="31"/>
      <c r="IG109" s="31"/>
      <c r="IH109" s="31"/>
      <c r="II109" s="31"/>
      <c r="IJ109" s="31"/>
      <c r="IK109" s="31"/>
      <c r="IL109" s="31"/>
      <c r="IM109" s="31"/>
      <c r="IN109" s="31"/>
      <c r="IO109" s="31"/>
      <c r="IP109" s="31"/>
      <c r="IQ109" s="31"/>
      <c r="IR109" s="31"/>
      <c r="IS109" s="31"/>
      <c r="IT109" s="31"/>
      <c r="IU109" s="31"/>
      <c r="IV109" s="31"/>
      <c r="IW109" s="31"/>
    </row>
    <row r="110" spans="1:257" ht="16.5" customHeight="1" x14ac:dyDescent="0.3">
      <c r="A110" s="156">
        <v>93</v>
      </c>
      <c r="B110" s="122" t="s">
        <v>37</v>
      </c>
      <c r="C110" s="86" t="s">
        <v>173</v>
      </c>
      <c r="D110" s="44">
        <v>2582901176.5999999</v>
      </c>
      <c r="E110" s="44"/>
      <c r="F110" s="44"/>
      <c r="G110" s="44">
        <v>443815212.47000003</v>
      </c>
      <c r="H110" s="107">
        <v>58000000</v>
      </c>
      <c r="I110" s="53"/>
      <c r="J110" s="53">
        <v>3084716389.0700002</v>
      </c>
      <c r="K110" s="53">
        <v>20364194.760000002</v>
      </c>
      <c r="L110" s="44">
        <v>15451697.550000001</v>
      </c>
      <c r="M110" s="54">
        <v>3363280.11</v>
      </c>
      <c r="N110" s="44">
        <v>4594770784</v>
      </c>
      <c r="O110" s="44">
        <v>12168505</v>
      </c>
      <c r="P110" s="224">
        <v>4569949021</v>
      </c>
      <c r="Q110" s="48">
        <f t="shared" si="56"/>
        <v>3.536880094048879E-3</v>
      </c>
      <c r="R110" s="111">
        <v>4582602279</v>
      </c>
      <c r="S110" s="48">
        <f t="shared" si="51"/>
        <v>0.15614484577100349</v>
      </c>
      <c r="T110" s="49">
        <f t="shared" si="52"/>
        <v>2.7687963130125252E-3</v>
      </c>
      <c r="U110" s="87">
        <f t="shared" si="53"/>
        <v>3.3718172796291233E-3</v>
      </c>
      <c r="V110" s="50">
        <f t="shared" si="54"/>
        <v>7.3392363230219567E-4</v>
      </c>
      <c r="W110" s="51">
        <f t="shared" si="55"/>
        <v>456.46922524781769</v>
      </c>
      <c r="X110" s="51">
        <f t="shared" si="57"/>
        <v>0.33501355182804748</v>
      </c>
      <c r="Y110" s="44">
        <v>455.77519999999998</v>
      </c>
      <c r="Z110" s="44">
        <v>469.51710000000003</v>
      </c>
      <c r="AA110" s="52">
        <v>35669</v>
      </c>
      <c r="AB110" s="158">
        <v>10039236</v>
      </c>
      <c r="AC110" s="13"/>
      <c r="AD110" s="4"/>
      <c r="AE110" s="4"/>
      <c r="AF110" s="4"/>
      <c r="AG110" s="5"/>
      <c r="AH110" s="6"/>
      <c r="AI110" s="6"/>
      <c r="AJ110" s="6"/>
      <c r="AK110" s="7"/>
      <c r="AL110" s="5"/>
      <c r="AM110" s="6"/>
      <c r="AN110" s="6"/>
      <c r="AO110" s="6"/>
      <c r="AP110" s="7"/>
      <c r="AQ110" s="5"/>
      <c r="AR110" s="6"/>
      <c r="AS110" s="6"/>
      <c r="AT110" s="6"/>
      <c r="AU110" s="7"/>
    </row>
    <row r="111" spans="1:257" ht="16.5" customHeight="1" x14ac:dyDescent="0.3">
      <c r="A111" s="156">
        <v>94</v>
      </c>
      <c r="B111" s="120" t="s">
        <v>77</v>
      </c>
      <c r="C111" s="86" t="s">
        <v>201</v>
      </c>
      <c r="D111" s="44">
        <v>1061514504.95</v>
      </c>
      <c r="E111" s="44"/>
      <c r="F111" s="44">
        <v>355333195</v>
      </c>
      <c r="G111" s="44">
        <v>1071115637.64</v>
      </c>
      <c r="H111" s="55"/>
      <c r="I111" s="53"/>
      <c r="J111" s="53">
        <v>2487963337.5900002</v>
      </c>
      <c r="K111" s="53">
        <v>11717149</v>
      </c>
      <c r="L111" s="44">
        <v>17411308.870000001</v>
      </c>
      <c r="M111" s="54">
        <v>23593028.780000001</v>
      </c>
      <c r="N111" s="44">
        <v>2500679279.9099998</v>
      </c>
      <c r="O111" s="44">
        <v>36951556.259999998</v>
      </c>
      <c r="P111" s="224">
        <v>2433027598.75</v>
      </c>
      <c r="Q111" s="48">
        <f t="shared" si="56"/>
        <v>1.8830246995638026E-3</v>
      </c>
      <c r="R111" s="111">
        <v>2463727723.6500001</v>
      </c>
      <c r="S111" s="48">
        <f t="shared" si="51"/>
        <v>8.3947583056459871E-2</v>
      </c>
      <c r="T111" s="49">
        <f t="shared" si="52"/>
        <v>1.2618075074763924E-2</v>
      </c>
      <c r="U111" s="87">
        <f t="shared" si="53"/>
        <v>7.0670588729688181E-3</v>
      </c>
      <c r="V111" s="50">
        <f t="shared" si="54"/>
        <v>9.576151030620806E-3</v>
      </c>
      <c r="W111" s="51">
        <f t="shared" si="55"/>
        <v>13.249202135365298</v>
      </c>
      <c r="X111" s="51">
        <f t="shared" si="57"/>
        <v>0.12687636068348179</v>
      </c>
      <c r="Y111" s="44">
        <v>13.2492</v>
      </c>
      <c r="Z111" s="44">
        <v>13.3688</v>
      </c>
      <c r="AA111" s="52">
        <v>6438</v>
      </c>
      <c r="AB111" s="158">
        <v>185952912.37</v>
      </c>
      <c r="AC111" s="13"/>
      <c r="AD111" s="4"/>
      <c r="AE111" s="4"/>
      <c r="AF111" s="4"/>
      <c r="AG111" s="5"/>
      <c r="AH111" s="6"/>
      <c r="AI111" s="6"/>
      <c r="AJ111" s="6"/>
      <c r="AK111" s="7"/>
      <c r="AL111" s="5"/>
      <c r="AM111" s="6"/>
      <c r="AN111" s="6"/>
      <c r="AO111" s="6"/>
      <c r="AP111" s="7"/>
      <c r="AQ111" s="5"/>
      <c r="AR111" s="6"/>
      <c r="AS111" s="6"/>
      <c r="AT111" s="6"/>
      <c r="AU111" s="7"/>
    </row>
    <row r="112" spans="1:257" ht="16.5" customHeight="1" x14ac:dyDescent="0.3">
      <c r="A112" s="156">
        <v>95</v>
      </c>
      <c r="B112" s="122" t="s">
        <v>57</v>
      </c>
      <c r="C112" s="85" t="s">
        <v>138</v>
      </c>
      <c r="D112" s="44">
        <v>1725954266.52</v>
      </c>
      <c r="E112" s="44"/>
      <c r="F112" s="44">
        <v>1104170913.03</v>
      </c>
      <c r="G112" s="44">
        <v>1330893006.78</v>
      </c>
      <c r="H112" s="55"/>
      <c r="I112" s="53"/>
      <c r="J112" s="53">
        <v>4139662803.4699998</v>
      </c>
      <c r="K112" s="53">
        <v>95859271.560000002</v>
      </c>
      <c r="L112" s="44">
        <v>13062320.41</v>
      </c>
      <c r="M112" s="54">
        <v>-17363186.170000002</v>
      </c>
      <c r="N112" s="44">
        <v>4165435426.46</v>
      </c>
      <c r="O112" s="44">
        <v>25772622.989999998</v>
      </c>
      <c r="P112" s="224">
        <v>4103222247.3800001</v>
      </c>
      <c r="Q112" s="48">
        <f t="shared" si="56"/>
        <v>3.1756601707213722E-3</v>
      </c>
      <c r="R112" s="111">
        <v>4139662803.4699998</v>
      </c>
      <c r="S112" s="48">
        <f t="shared" si="51"/>
        <v>0.14105239133535183</v>
      </c>
      <c r="T112" s="49">
        <f t="shared" ref="T112:T121" si="58">((R112-P112)/P112)</f>
        <v>8.8809608383430341E-3</v>
      </c>
      <c r="U112" s="87">
        <f t="shared" ref="U112:U121" si="59">(L112/R112)</f>
        <v>3.1554068604454301E-3</v>
      </c>
      <c r="V112" s="50">
        <f>M112/R112</f>
        <v>-4.1943479443411705E-3</v>
      </c>
      <c r="W112" s="51">
        <f t="shared" ref="W112:W121" si="60">R112/AB112</f>
        <v>175.25638823297723</v>
      </c>
      <c r="X112" s="51">
        <f t="shared" ref="X112:X117" si="61">M112/AB112</f>
        <v>-0.73508627171764618</v>
      </c>
      <c r="Y112" s="44">
        <v>173.86</v>
      </c>
      <c r="Z112" s="44">
        <v>175.14</v>
      </c>
      <c r="AA112" s="52">
        <v>5493</v>
      </c>
      <c r="AB112" s="158">
        <v>23620610.039999999</v>
      </c>
      <c r="AC112" s="13"/>
      <c r="AD112" s="4"/>
      <c r="AE112" s="4"/>
      <c r="AF112" s="4"/>
      <c r="AG112" s="5"/>
      <c r="AH112" s="6"/>
      <c r="AI112" s="6"/>
      <c r="AJ112" s="6"/>
      <c r="AK112" s="7"/>
      <c r="AL112" s="5"/>
      <c r="AM112" s="6"/>
      <c r="AN112" s="6"/>
      <c r="AO112" s="6"/>
      <c r="AP112" s="7"/>
      <c r="AQ112" s="5"/>
      <c r="AR112" s="6"/>
      <c r="AS112" s="6"/>
      <c r="AT112" s="6"/>
      <c r="AU112" s="7"/>
      <c r="AV112" s="31"/>
      <c r="AW112" s="31"/>
      <c r="AX112" s="31"/>
      <c r="AY112" s="31"/>
      <c r="AZ112" s="31"/>
      <c r="BA112" s="31"/>
      <c r="BB112" s="31"/>
      <c r="BC112" s="31"/>
      <c r="BD112" s="31"/>
      <c r="BE112" s="31"/>
      <c r="BF112" s="31"/>
      <c r="BG112" s="31"/>
      <c r="BH112" s="31"/>
      <c r="BI112" s="31"/>
      <c r="BJ112" s="31"/>
      <c r="BK112" s="31"/>
      <c r="BL112" s="31"/>
      <c r="BM112" s="31"/>
      <c r="BN112" s="31"/>
      <c r="BO112" s="31"/>
      <c r="BP112" s="31"/>
      <c r="BQ112" s="31"/>
      <c r="BR112" s="31"/>
      <c r="BS112" s="31"/>
      <c r="BT112" s="31"/>
      <c r="BU112" s="31"/>
      <c r="BV112" s="31"/>
      <c r="BW112" s="31"/>
      <c r="BX112" s="31"/>
      <c r="BY112" s="31"/>
      <c r="BZ112" s="31"/>
      <c r="CA112" s="31"/>
      <c r="CB112" s="31"/>
      <c r="CC112" s="31"/>
      <c r="CD112" s="31"/>
      <c r="CE112" s="31"/>
      <c r="CF112" s="31"/>
      <c r="CG112" s="31"/>
      <c r="CH112" s="31"/>
      <c r="CI112" s="31"/>
      <c r="CJ112" s="31"/>
      <c r="CK112" s="31"/>
      <c r="CL112" s="31"/>
      <c r="CM112" s="31"/>
      <c r="CN112" s="31"/>
      <c r="CO112" s="31"/>
      <c r="CP112" s="31"/>
      <c r="CQ112" s="31"/>
      <c r="CR112" s="31"/>
      <c r="CS112" s="31"/>
      <c r="CT112" s="31"/>
      <c r="CU112" s="31"/>
      <c r="CV112" s="31"/>
      <c r="CW112" s="31"/>
      <c r="CX112" s="31"/>
      <c r="CY112" s="31"/>
      <c r="CZ112" s="31"/>
      <c r="DA112" s="31"/>
      <c r="DB112" s="31"/>
      <c r="DC112" s="31"/>
      <c r="DD112" s="31"/>
      <c r="DE112" s="31"/>
      <c r="DF112" s="31"/>
      <c r="DG112" s="31"/>
      <c r="DH112" s="31"/>
      <c r="DI112" s="31"/>
      <c r="DJ112" s="31"/>
      <c r="DK112" s="31"/>
      <c r="DL112" s="31"/>
      <c r="DM112" s="31"/>
      <c r="DN112" s="31"/>
      <c r="DO112" s="31"/>
      <c r="DP112" s="31"/>
      <c r="DQ112" s="31"/>
      <c r="DR112" s="31"/>
      <c r="DS112" s="31"/>
      <c r="DT112" s="31"/>
      <c r="DU112" s="31"/>
      <c r="DV112" s="31"/>
      <c r="DW112" s="31"/>
      <c r="DX112" s="31"/>
      <c r="DY112" s="31"/>
      <c r="DZ112" s="31"/>
      <c r="EA112" s="31"/>
      <c r="EB112" s="31"/>
      <c r="EC112" s="31"/>
      <c r="ED112" s="31"/>
      <c r="EE112" s="31"/>
      <c r="EF112" s="31"/>
      <c r="EG112" s="31"/>
      <c r="EH112" s="31"/>
      <c r="EI112" s="31"/>
      <c r="EJ112" s="31"/>
      <c r="EK112" s="31"/>
      <c r="EL112" s="31"/>
      <c r="EM112" s="31"/>
      <c r="EN112" s="31"/>
      <c r="EO112" s="31"/>
      <c r="EP112" s="31"/>
      <c r="EQ112" s="31"/>
      <c r="ER112" s="31"/>
      <c r="ES112" s="31"/>
      <c r="ET112" s="31"/>
      <c r="EU112" s="31"/>
      <c r="EV112" s="31"/>
      <c r="EW112" s="31"/>
      <c r="EX112" s="31"/>
      <c r="EY112" s="31"/>
      <c r="EZ112" s="31"/>
      <c r="FA112" s="31"/>
      <c r="FB112" s="31"/>
      <c r="FC112" s="31"/>
      <c r="FD112" s="31"/>
      <c r="FE112" s="31"/>
      <c r="FF112" s="31"/>
      <c r="FG112" s="31"/>
      <c r="FH112" s="31"/>
      <c r="FI112" s="31"/>
      <c r="FJ112" s="31"/>
      <c r="FK112" s="31"/>
      <c r="FL112" s="31"/>
      <c r="FM112" s="31"/>
      <c r="FN112" s="31"/>
      <c r="FO112" s="31"/>
      <c r="FP112" s="31"/>
      <c r="FQ112" s="31"/>
      <c r="FR112" s="31"/>
      <c r="FS112" s="31"/>
      <c r="FT112" s="31"/>
      <c r="FU112" s="31"/>
      <c r="FV112" s="31"/>
      <c r="FW112" s="31"/>
      <c r="FX112" s="31"/>
      <c r="FY112" s="31"/>
      <c r="FZ112" s="31"/>
      <c r="GA112" s="31"/>
      <c r="GB112" s="31"/>
      <c r="GC112" s="31"/>
      <c r="GD112" s="31"/>
      <c r="GE112" s="31"/>
      <c r="GF112" s="31"/>
      <c r="GG112" s="31"/>
      <c r="GH112" s="31"/>
      <c r="GI112" s="31"/>
      <c r="GJ112" s="31"/>
      <c r="GK112" s="31"/>
      <c r="GL112" s="31"/>
      <c r="GM112" s="31"/>
      <c r="GN112" s="31"/>
      <c r="GO112" s="31"/>
      <c r="GP112" s="31"/>
      <c r="GQ112" s="31"/>
      <c r="GR112" s="31"/>
      <c r="GS112" s="31"/>
      <c r="GT112" s="31"/>
      <c r="GU112" s="31"/>
      <c r="GV112" s="31"/>
      <c r="GW112" s="31"/>
      <c r="GX112" s="31"/>
      <c r="GY112" s="31"/>
      <c r="GZ112" s="31"/>
      <c r="HA112" s="31"/>
      <c r="HB112" s="31"/>
      <c r="HC112" s="31"/>
      <c r="HD112" s="31"/>
      <c r="HE112" s="31"/>
      <c r="HF112" s="31"/>
      <c r="HG112" s="31"/>
      <c r="HH112" s="31"/>
      <c r="HI112" s="31"/>
      <c r="HJ112" s="31"/>
      <c r="HK112" s="31"/>
      <c r="HL112" s="31"/>
      <c r="HM112" s="31"/>
      <c r="HN112" s="31"/>
      <c r="HO112" s="31"/>
      <c r="HP112" s="31"/>
      <c r="HQ112" s="31"/>
      <c r="HR112" s="31"/>
      <c r="HS112" s="31"/>
      <c r="HT112" s="31"/>
      <c r="HU112" s="31"/>
      <c r="HV112" s="31"/>
      <c r="HW112" s="31"/>
      <c r="HX112" s="31"/>
      <c r="HY112" s="31"/>
      <c r="HZ112" s="31"/>
      <c r="IA112" s="31"/>
      <c r="IB112" s="31"/>
      <c r="IC112" s="31"/>
      <c r="ID112" s="31"/>
      <c r="IE112" s="31"/>
      <c r="IF112" s="31"/>
      <c r="IG112" s="31"/>
      <c r="IH112" s="31"/>
      <c r="II112" s="31"/>
      <c r="IJ112" s="31"/>
      <c r="IK112" s="31"/>
      <c r="IL112" s="31"/>
      <c r="IM112" s="31"/>
      <c r="IN112" s="31"/>
      <c r="IO112" s="31"/>
      <c r="IP112" s="31"/>
      <c r="IQ112" s="31"/>
      <c r="IR112" s="31"/>
      <c r="IS112" s="31"/>
      <c r="IT112" s="31"/>
      <c r="IU112" s="31"/>
      <c r="IV112" s="31"/>
      <c r="IW112" s="31"/>
    </row>
    <row r="113" spans="1:257" ht="16.5" customHeight="1" x14ac:dyDescent="0.3">
      <c r="A113" s="156">
        <v>96</v>
      </c>
      <c r="B113" s="120" t="s">
        <v>90</v>
      </c>
      <c r="C113" s="89" t="s">
        <v>139</v>
      </c>
      <c r="D113" s="44">
        <v>2850181342.0500002</v>
      </c>
      <c r="E113" s="44">
        <v>152330705.93000001</v>
      </c>
      <c r="F113" s="44">
        <v>383112734.24000001</v>
      </c>
      <c r="G113" s="44">
        <v>1105856204.1800001</v>
      </c>
      <c r="H113" s="55"/>
      <c r="I113" s="53"/>
      <c r="J113" s="53">
        <v>4491480986.3999996</v>
      </c>
      <c r="K113" s="53">
        <v>30932657.300000001</v>
      </c>
      <c r="L113" s="44">
        <v>6509566.5999999996</v>
      </c>
      <c r="M113" s="203">
        <v>4943267.8899999997</v>
      </c>
      <c r="N113" s="44">
        <v>5381844327.9099998</v>
      </c>
      <c r="O113" s="44">
        <v>144207045.00999999</v>
      </c>
      <c r="P113" s="224">
        <v>5205564642.4499998</v>
      </c>
      <c r="Q113" s="48">
        <f t="shared" si="56"/>
        <v>4.0288103603696801E-3</v>
      </c>
      <c r="R113" s="111">
        <v>5237637282.8999996</v>
      </c>
      <c r="S113" s="48">
        <f t="shared" si="51"/>
        <v>0.17846411622728525</v>
      </c>
      <c r="T113" s="49">
        <f t="shared" si="58"/>
        <v>6.1612222021903114E-3</v>
      </c>
      <c r="U113" s="87">
        <f t="shared" si="59"/>
        <v>1.2428441009560999E-3</v>
      </c>
      <c r="V113" s="50">
        <f>M113/R113</f>
        <v>9.437972931304223E-4</v>
      </c>
      <c r="W113" s="51">
        <f t="shared" si="60"/>
        <v>181.31400633459049</v>
      </c>
      <c r="X113" s="51">
        <f t="shared" si="61"/>
        <v>0.17112366838521875</v>
      </c>
      <c r="Y113" s="44">
        <v>179.24199999999999</v>
      </c>
      <c r="Z113" s="44">
        <v>182.64599999999999</v>
      </c>
      <c r="AA113" s="52">
        <v>25</v>
      </c>
      <c r="AB113" s="158">
        <v>28887108</v>
      </c>
      <c r="AC113" s="13"/>
      <c r="AD113" s="4"/>
      <c r="AE113" s="4"/>
      <c r="AF113" s="4"/>
      <c r="AG113" s="5"/>
      <c r="AH113" s="6"/>
      <c r="AI113" s="6"/>
      <c r="AJ113" s="6"/>
      <c r="AK113" s="7"/>
      <c r="AL113" s="5"/>
      <c r="AM113" s="6"/>
      <c r="AN113" s="6"/>
      <c r="AO113" s="6"/>
      <c r="AP113" s="7"/>
      <c r="AQ113" s="5"/>
      <c r="AR113" s="6"/>
      <c r="AS113" s="6"/>
      <c r="AT113" s="6"/>
      <c r="AU113" s="7"/>
      <c r="AV113" s="31"/>
      <c r="AW113" s="31"/>
      <c r="AX113" s="31"/>
      <c r="AY113" s="31"/>
      <c r="AZ113" s="31"/>
      <c r="BA113" s="31"/>
      <c r="BB113" s="31"/>
      <c r="BC113" s="31"/>
      <c r="BD113" s="31"/>
      <c r="BE113" s="31"/>
      <c r="BF113" s="31"/>
      <c r="BG113" s="31"/>
      <c r="BH113" s="31"/>
      <c r="BI113" s="31"/>
      <c r="BJ113" s="31"/>
      <c r="BK113" s="31"/>
      <c r="BL113" s="31"/>
      <c r="BM113" s="31"/>
      <c r="BN113" s="31"/>
      <c r="BO113" s="31"/>
      <c r="BP113" s="31"/>
      <c r="BQ113" s="31"/>
      <c r="BR113" s="31"/>
      <c r="BS113" s="31"/>
      <c r="BT113" s="31"/>
      <c r="BU113" s="31"/>
      <c r="BV113" s="31"/>
      <c r="BW113" s="31"/>
      <c r="BX113" s="31"/>
      <c r="BY113" s="31"/>
      <c r="BZ113" s="31"/>
      <c r="CA113" s="31"/>
      <c r="CB113" s="31"/>
      <c r="CC113" s="31"/>
      <c r="CD113" s="31"/>
      <c r="CE113" s="31"/>
      <c r="CF113" s="31"/>
      <c r="CG113" s="31"/>
      <c r="CH113" s="31"/>
      <c r="CI113" s="31"/>
      <c r="CJ113" s="31"/>
      <c r="CK113" s="31"/>
      <c r="CL113" s="31"/>
      <c r="CM113" s="31"/>
      <c r="CN113" s="31"/>
      <c r="CO113" s="31"/>
      <c r="CP113" s="31"/>
      <c r="CQ113" s="31"/>
      <c r="CR113" s="31"/>
      <c r="CS113" s="31"/>
      <c r="CT113" s="31"/>
      <c r="CU113" s="31"/>
      <c r="CV113" s="31"/>
      <c r="CW113" s="31"/>
      <c r="CX113" s="31"/>
      <c r="CY113" s="31"/>
      <c r="CZ113" s="31"/>
      <c r="DA113" s="31"/>
      <c r="DB113" s="31"/>
      <c r="DC113" s="31"/>
      <c r="DD113" s="31"/>
      <c r="DE113" s="31"/>
      <c r="DF113" s="31"/>
      <c r="DG113" s="31"/>
      <c r="DH113" s="31"/>
      <c r="DI113" s="31"/>
      <c r="DJ113" s="31"/>
      <c r="DK113" s="31"/>
      <c r="DL113" s="31"/>
      <c r="DM113" s="31"/>
      <c r="DN113" s="31"/>
      <c r="DO113" s="31"/>
      <c r="DP113" s="31"/>
      <c r="DQ113" s="31"/>
      <c r="DR113" s="31"/>
      <c r="DS113" s="31"/>
      <c r="DT113" s="31"/>
      <c r="DU113" s="31"/>
      <c r="DV113" s="31"/>
      <c r="DW113" s="31"/>
      <c r="DX113" s="31"/>
      <c r="DY113" s="31"/>
      <c r="DZ113" s="31"/>
      <c r="EA113" s="31"/>
      <c r="EB113" s="31"/>
      <c r="EC113" s="31"/>
      <c r="ED113" s="31"/>
      <c r="EE113" s="31"/>
      <c r="EF113" s="31"/>
      <c r="EG113" s="31"/>
      <c r="EH113" s="31"/>
      <c r="EI113" s="31"/>
      <c r="EJ113" s="31"/>
      <c r="EK113" s="31"/>
      <c r="EL113" s="31"/>
      <c r="EM113" s="31"/>
      <c r="EN113" s="31"/>
      <c r="EO113" s="31"/>
      <c r="EP113" s="31"/>
      <c r="EQ113" s="31"/>
      <c r="ER113" s="31"/>
      <c r="ES113" s="31"/>
      <c r="ET113" s="31"/>
      <c r="EU113" s="31"/>
      <c r="EV113" s="31"/>
      <c r="EW113" s="31"/>
      <c r="EX113" s="31"/>
      <c r="EY113" s="31"/>
      <c r="EZ113" s="31"/>
      <c r="FA113" s="31"/>
      <c r="FB113" s="31"/>
      <c r="FC113" s="31"/>
      <c r="FD113" s="31"/>
      <c r="FE113" s="31"/>
      <c r="FF113" s="31"/>
      <c r="FG113" s="31"/>
      <c r="FH113" s="31"/>
      <c r="FI113" s="31"/>
      <c r="FJ113" s="31"/>
      <c r="FK113" s="31"/>
      <c r="FL113" s="31"/>
      <c r="FM113" s="31"/>
      <c r="FN113" s="31"/>
      <c r="FO113" s="31"/>
      <c r="FP113" s="31"/>
      <c r="FQ113" s="31"/>
      <c r="FR113" s="31"/>
      <c r="FS113" s="31"/>
      <c r="FT113" s="31"/>
      <c r="FU113" s="31"/>
      <c r="FV113" s="31"/>
      <c r="FW113" s="31"/>
      <c r="FX113" s="31"/>
      <c r="FY113" s="31"/>
      <c r="FZ113" s="31"/>
      <c r="GA113" s="31"/>
      <c r="GB113" s="31"/>
      <c r="GC113" s="31"/>
      <c r="GD113" s="31"/>
      <c r="GE113" s="31"/>
      <c r="GF113" s="31"/>
      <c r="GG113" s="31"/>
      <c r="GH113" s="31"/>
      <c r="GI113" s="31"/>
      <c r="GJ113" s="31"/>
      <c r="GK113" s="31"/>
      <c r="GL113" s="31"/>
      <c r="GM113" s="31"/>
      <c r="GN113" s="31"/>
      <c r="GO113" s="31"/>
      <c r="GP113" s="31"/>
      <c r="GQ113" s="31"/>
      <c r="GR113" s="31"/>
      <c r="GS113" s="31"/>
      <c r="GT113" s="31"/>
      <c r="GU113" s="31"/>
      <c r="GV113" s="31"/>
      <c r="GW113" s="31"/>
      <c r="GX113" s="31"/>
      <c r="GY113" s="31"/>
      <c r="GZ113" s="31"/>
      <c r="HA113" s="31"/>
      <c r="HB113" s="31"/>
      <c r="HC113" s="31"/>
      <c r="HD113" s="31"/>
      <c r="HE113" s="31"/>
      <c r="HF113" s="31"/>
      <c r="HG113" s="31"/>
      <c r="HH113" s="31"/>
      <c r="HI113" s="31"/>
      <c r="HJ113" s="31"/>
      <c r="HK113" s="31"/>
      <c r="HL113" s="31"/>
      <c r="HM113" s="31"/>
      <c r="HN113" s="31"/>
      <c r="HO113" s="31"/>
      <c r="HP113" s="31"/>
      <c r="HQ113" s="31"/>
      <c r="HR113" s="31"/>
      <c r="HS113" s="31"/>
      <c r="HT113" s="31"/>
      <c r="HU113" s="31"/>
      <c r="HV113" s="31"/>
      <c r="HW113" s="31"/>
      <c r="HX113" s="31"/>
      <c r="HY113" s="31"/>
      <c r="HZ113" s="31"/>
      <c r="IA113" s="31"/>
      <c r="IB113" s="31"/>
      <c r="IC113" s="31"/>
      <c r="ID113" s="31"/>
      <c r="IE113" s="31"/>
      <c r="IF113" s="31"/>
      <c r="IG113" s="31"/>
      <c r="IH113" s="31"/>
      <c r="II113" s="31"/>
      <c r="IJ113" s="31"/>
      <c r="IK113" s="31"/>
      <c r="IL113" s="31"/>
      <c r="IM113" s="31"/>
      <c r="IN113" s="31"/>
      <c r="IO113" s="31"/>
      <c r="IP113" s="31"/>
      <c r="IQ113" s="31"/>
      <c r="IR113" s="31"/>
      <c r="IS113" s="31"/>
      <c r="IT113" s="31"/>
      <c r="IU113" s="31"/>
      <c r="IV113" s="31"/>
      <c r="IW113" s="31"/>
    </row>
    <row r="114" spans="1:257" ht="16.5" customHeight="1" x14ac:dyDescent="0.3">
      <c r="A114" s="156">
        <v>97</v>
      </c>
      <c r="B114" s="120" t="s">
        <v>85</v>
      </c>
      <c r="C114" s="120" t="s">
        <v>179</v>
      </c>
      <c r="D114" s="44">
        <v>932161723.52999997</v>
      </c>
      <c r="E114" s="44"/>
      <c r="F114" s="44">
        <v>639201545.98000002</v>
      </c>
      <c r="G114" s="44">
        <v>604765673.34000003</v>
      </c>
      <c r="H114" s="55"/>
      <c r="I114" s="53"/>
      <c r="J114" s="53">
        <v>2176128942.8600001</v>
      </c>
      <c r="K114" s="53">
        <v>12908740.58</v>
      </c>
      <c r="L114" s="44">
        <v>5612324.4400000004</v>
      </c>
      <c r="M114" s="54">
        <v>7296416.1399999997</v>
      </c>
      <c r="N114" s="44">
        <v>2184420214.3800001</v>
      </c>
      <c r="O114" s="44">
        <v>36510714.979999997</v>
      </c>
      <c r="P114" s="224">
        <v>2137962040.22</v>
      </c>
      <c r="Q114" s="48">
        <f t="shared" si="56"/>
        <v>1.6546607734874877E-3</v>
      </c>
      <c r="R114" s="111">
        <v>2147909499.4000001</v>
      </c>
      <c r="S114" s="48">
        <f t="shared" si="51"/>
        <v>7.3186582010576082E-2</v>
      </c>
      <c r="T114" s="49">
        <f t="shared" si="58"/>
        <v>4.6527763322572633E-3</v>
      </c>
      <c r="U114" s="87">
        <f t="shared" si="59"/>
        <v>2.6129240741138092E-3</v>
      </c>
      <c r="V114" s="50">
        <f>M114/R114</f>
        <v>3.3969849018490724E-3</v>
      </c>
      <c r="W114" s="51">
        <f t="shared" si="60"/>
        <v>3924.6447053809716</v>
      </c>
      <c r="X114" s="51">
        <f t="shared" si="61"/>
        <v>13.33195880930106</v>
      </c>
      <c r="Y114" s="44">
        <v>3894.84</v>
      </c>
      <c r="Z114" s="44">
        <v>3894.84</v>
      </c>
      <c r="AA114" s="52">
        <v>795</v>
      </c>
      <c r="AB114" s="158">
        <v>547287.63</v>
      </c>
      <c r="AC114" s="13"/>
      <c r="AD114" s="4"/>
      <c r="AE114" s="4"/>
      <c r="AF114" s="4"/>
      <c r="AG114" s="5"/>
      <c r="AH114" s="6"/>
      <c r="AI114" s="6"/>
      <c r="AJ114" s="6"/>
      <c r="AK114" s="7"/>
      <c r="AL114" s="5"/>
      <c r="AM114" s="6"/>
      <c r="AN114" s="6"/>
      <c r="AO114" s="6"/>
      <c r="AP114" s="7"/>
      <c r="AQ114" s="5"/>
      <c r="AR114" s="6"/>
      <c r="AS114" s="6"/>
      <c r="AT114" s="6"/>
      <c r="AU114" s="7"/>
      <c r="AV114" s="31"/>
      <c r="AW114" s="31"/>
      <c r="AX114" s="31"/>
      <c r="AY114" s="31"/>
      <c r="AZ114" s="31"/>
      <c r="BA114" s="31"/>
      <c r="BB114" s="31"/>
      <c r="BC114" s="31"/>
      <c r="BD114" s="31"/>
      <c r="BE114" s="31"/>
      <c r="BF114" s="31"/>
      <c r="BG114" s="31"/>
      <c r="BH114" s="31"/>
      <c r="BI114" s="31"/>
      <c r="BJ114" s="31"/>
      <c r="BK114" s="31"/>
      <c r="BL114" s="31"/>
      <c r="BM114" s="31"/>
      <c r="BN114" s="31"/>
      <c r="BO114" s="31"/>
      <c r="BP114" s="31"/>
      <c r="BQ114" s="31"/>
      <c r="BR114" s="31"/>
      <c r="BS114" s="31"/>
      <c r="BT114" s="31"/>
      <c r="BU114" s="31"/>
      <c r="BV114" s="31"/>
      <c r="BW114" s="31"/>
      <c r="BX114" s="31"/>
      <c r="BY114" s="31"/>
      <c r="BZ114" s="31"/>
      <c r="CA114" s="31"/>
      <c r="CB114" s="31"/>
      <c r="CC114" s="31"/>
      <c r="CD114" s="31"/>
      <c r="CE114" s="31"/>
      <c r="CF114" s="31"/>
      <c r="CG114" s="31"/>
      <c r="CH114" s="31"/>
      <c r="CI114" s="31"/>
      <c r="CJ114" s="31"/>
      <c r="CK114" s="31"/>
      <c r="CL114" s="31"/>
      <c r="CM114" s="31"/>
      <c r="CN114" s="31"/>
      <c r="CO114" s="31"/>
      <c r="CP114" s="31"/>
      <c r="CQ114" s="31"/>
      <c r="CR114" s="31"/>
      <c r="CS114" s="31"/>
      <c r="CT114" s="31"/>
      <c r="CU114" s="31"/>
      <c r="CV114" s="31"/>
      <c r="CW114" s="31"/>
      <c r="CX114" s="31"/>
      <c r="CY114" s="31"/>
      <c r="CZ114" s="31"/>
      <c r="DA114" s="31"/>
      <c r="DB114" s="31"/>
      <c r="DC114" s="31"/>
      <c r="DD114" s="31"/>
      <c r="DE114" s="31"/>
      <c r="DF114" s="31"/>
      <c r="DG114" s="31"/>
      <c r="DH114" s="31"/>
      <c r="DI114" s="31"/>
      <c r="DJ114" s="31"/>
      <c r="DK114" s="31"/>
      <c r="DL114" s="31"/>
      <c r="DM114" s="31"/>
      <c r="DN114" s="31"/>
      <c r="DO114" s="31"/>
      <c r="DP114" s="31"/>
      <c r="DQ114" s="31"/>
      <c r="DR114" s="31"/>
      <c r="DS114" s="31"/>
      <c r="DT114" s="31"/>
      <c r="DU114" s="31"/>
      <c r="DV114" s="31"/>
      <c r="DW114" s="31"/>
      <c r="DX114" s="31"/>
      <c r="DY114" s="31"/>
      <c r="DZ114" s="31"/>
      <c r="EA114" s="31"/>
      <c r="EB114" s="31"/>
      <c r="EC114" s="31"/>
      <c r="ED114" s="31"/>
      <c r="EE114" s="31"/>
      <c r="EF114" s="31"/>
      <c r="EG114" s="31"/>
      <c r="EH114" s="31"/>
      <c r="EI114" s="31"/>
      <c r="EJ114" s="31"/>
      <c r="EK114" s="31"/>
      <c r="EL114" s="31"/>
      <c r="EM114" s="31"/>
      <c r="EN114" s="31"/>
      <c r="EO114" s="31"/>
      <c r="EP114" s="31"/>
      <c r="EQ114" s="31"/>
      <c r="ER114" s="31"/>
      <c r="ES114" s="31"/>
      <c r="ET114" s="31"/>
      <c r="EU114" s="31"/>
      <c r="EV114" s="31"/>
      <c r="EW114" s="31"/>
      <c r="EX114" s="31"/>
      <c r="EY114" s="31"/>
      <c r="EZ114" s="31"/>
      <c r="FA114" s="31"/>
      <c r="FB114" s="31"/>
      <c r="FC114" s="31"/>
      <c r="FD114" s="31"/>
      <c r="FE114" s="31"/>
      <c r="FF114" s="31"/>
      <c r="FG114" s="31"/>
      <c r="FH114" s="31"/>
      <c r="FI114" s="31"/>
      <c r="FJ114" s="31"/>
      <c r="FK114" s="31"/>
      <c r="FL114" s="31"/>
      <c r="FM114" s="31"/>
      <c r="FN114" s="31"/>
      <c r="FO114" s="31"/>
      <c r="FP114" s="31"/>
      <c r="FQ114" s="31"/>
      <c r="FR114" s="31"/>
      <c r="FS114" s="31"/>
      <c r="FT114" s="31"/>
      <c r="FU114" s="31"/>
      <c r="FV114" s="31"/>
      <c r="FW114" s="31"/>
      <c r="FX114" s="31"/>
      <c r="FY114" s="31"/>
      <c r="FZ114" s="31"/>
      <c r="GA114" s="31"/>
      <c r="GB114" s="31"/>
      <c r="GC114" s="31"/>
      <c r="GD114" s="31"/>
      <c r="GE114" s="31"/>
      <c r="GF114" s="31"/>
      <c r="GG114" s="31"/>
      <c r="GH114" s="31"/>
      <c r="GI114" s="31"/>
      <c r="GJ114" s="31"/>
      <c r="GK114" s="31"/>
      <c r="GL114" s="31"/>
      <c r="GM114" s="31"/>
      <c r="GN114" s="31"/>
      <c r="GO114" s="31"/>
      <c r="GP114" s="31"/>
      <c r="GQ114" s="31"/>
      <c r="GR114" s="31"/>
      <c r="GS114" s="31"/>
      <c r="GT114" s="31"/>
      <c r="GU114" s="31"/>
      <c r="GV114" s="31"/>
      <c r="GW114" s="31"/>
      <c r="GX114" s="31"/>
      <c r="GY114" s="31"/>
      <c r="GZ114" s="31"/>
      <c r="HA114" s="31"/>
      <c r="HB114" s="31"/>
      <c r="HC114" s="31"/>
      <c r="HD114" s="31"/>
      <c r="HE114" s="31"/>
      <c r="HF114" s="31"/>
      <c r="HG114" s="31"/>
      <c r="HH114" s="31"/>
      <c r="HI114" s="31"/>
      <c r="HJ114" s="31"/>
      <c r="HK114" s="31"/>
      <c r="HL114" s="31"/>
      <c r="HM114" s="31"/>
      <c r="HN114" s="31"/>
      <c r="HO114" s="31"/>
      <c r="HP114" s="31"/>
      <c r="HQ114" s="31"/>
      <c r="HR114" s="31"/>
      <c r="HS114" s="31"/>
      <c r="HT114" s="31"/>
      <c r="HU114" s="31"/>
      <c r="HV114" s="31"/>
      <c r="HW114" s="31"/>
      <c r="HX114" s="31"/>
      <c r="HY114" s="31"/>
      <c r="HZ114" s="31"/>
      <c r="IA114" s="31"/>
      <c r="IB114" s="31"/>
      <c r="IC114" s="31"/>
      <c r="ID114" s="31"/>
      <c r="IE114" s="31"/>
      <c r="IF114" s="31"/>
      <c r="IG114" s="31"/>
      <c r="IH114" s="31"/>
      <c r="II114" s="31"/>
      <c r="IJ114" s="31"/>
      <c r="IK114" s="31"/>
      <c r="IL114" s="31"/>
      <c r="IM114" s="31"/>
      <c r="IN114" s="31"/>
      <c r="IO114" s="31"/>
      <c r="IP114" s="31"/>
      <c r="IQ114" s="31"/>
      <c r="IR114" s="31"/>
      <c r="IS114" s="31"/>
      <c r="IT114" s="31"/>
      <c r="IU114" s="31"/>
      <c r="IV114" s="31"/>
      <c r="IW114" s="31"/>
    </row>
    <row r="115" spans="1:257" ht="16.5" customHeight="1" x14ac:dyDescent="0.3">
      <c r="A115" s="156">
        <v>98</v>
      </c>
      <c r="B115" s="120" t="s">
        <v>81</v>
      </c>
      <c r="C115" s="69" t="s">
        <v>181</v>
      </c>
      <c r="D115" s="44">
        <v>919107974</v>
      </c>
      <c r="E115" s="44"/>
      <c r="F115" s="44"/>
      <c r="G115" s="44">
        <v>605562044.52999997</v>
      </c>
      <c r="H115" s="55"/>
      <c r="I115" s="53"/>
      <c r="J115" s="53">
        <v>1822501119.53</v>
      </c>
      <c r="K115" s="53">
        <v>7344139.9500000002</v>
      </c>
      <c r="L115" s="44">
        <v>5962504.9299999997</v>
      </c>
      <c r="M115" s="54">
        <v>1381635.02</v>
      </c>
      <c r="N115" s="44">
        <v>1847332934</v>
      </c>
      <c r="O115" s="44">
        <v>105309456</v>
      </c>
      <c r="P115" s="224">
        <v>1679909603</v>
      </c>
      <c r="Q115" s="48">
        <f t="shared" si="56"/>
        <v>1.3001542921702222E-3</v>
      </c>
      <c r="R115" s="111">
        <v>1742021180</v>
      </c>
      <c r="S115" s="48">
        <f t="shared" si="51"/>
        <v>5.9356586480875689E-2</v>
      </c>
      <c r="T115" s="49">
        <f t="shared" si="58"/>
        <v>3.6973166228159243E-2</v>
      </c>
      <c r="U115" s="87">
        <f t="shared" si="59"/>
        <v>3.4227511114417104E-3</v>
      </c>
      <c r="V115" s="50">
        <f>M115/R115</f>
        <v>7.9312182645219047E-4</v>
      </c>
      <c r="W115" s="51">
        <f t="shared" si="60"/>
        <v>1.1968808131788937</v>
      </c>
      <c r="X115" s="51">
        <f t="shared" si="61"/>
        <v>9.4927229659402704E-4</v>
      </c>
      <c r="Y115" s="44">
        <v>1.19</v>
      </c>
      <c r="Z115" s="44">
        <v>1.21</v>
      </c>
      <c r="AA115" s="52">
        <v>10338</v>
      </c>
      <c r="AB115" s="158">
        <v>1455467545.99</v>
      </c>
      <c r="AC115" s="13"/>
      <c r="AD115" s="4"/>
      <c r="AE115" s="4"/>
      <c r="AF115" s="4"/>
      <c r="AG115" s="5"/>
      <c r="AH115" s="6"/>
      <c r="AI115" s="6"/>
      <c r="AJ115" s="6"/>
      <c r="AK115" s="7"/>
      <c r="AL115" s="5"/>
      <c r="AM115" s="6"/>
      <c r="AN115" s="6"/>
      <c r="AO115" s="6"/>
      <c r="AP115" s="7"/>
      <c r="AQ115" s="5"/>
      <c r="AR115" s="6"/>
      <c r="AS115" s="6"/>
      <c r="AT115" s="6"/>
      <c r="AU115" s="7"/>
      <c r="AV115" s="31"/>
      <c r="AW115" s="31"/>
      <c r="AX115" s="31"/>
      <c r="AY115" s="31"/>
      <c r="AZ115" s="31"/>
      <c r="BA115" s="31"/>
      <c r="BB115" s="31"/>
      <c r="BC115" s="31"/>
      <c r="BD115" s="31"/>
      <c r="BE115" s="31"/>
      <c r="BF115" s="31"/>
      <c r="BG115" s="31"/>
      <c r="BH115" s="31"/>
      <c r="BI115" s="31"/>
      <c r="BJ115" s="31"/>
      <c r="BK115" s="31"/>
      <c r="BL115" s="31"/>
      <c r="BM115" s="31"/>
      <c r="BN115" s="31"/>
      <c r="BO115" s="31"/>
      <c r="BP115" s="31"/>
      <c r="BQ115" s="31"/>
      <c r="BR115" s="31"/>
      <c r="BS115" s="31"/>
      <c r="BT115" s="31"/>
      <c r="BU115" s="31"/>
      <c r="BV115" s="31"/>
      <c r="BW115" s="31"/>
      <c r="BX115" s="31"/>
      <c r="BY115" s="31"/>
      <c r="BZ115" s="31"/>
      <c r="CA115" s="31"/>
      <c r="CB115" s="31"/>
      <c r="CC115" s="31"/>
      <c r="CD115" s="31"/>
      <c r="CE115" s="31"/>
      <c r="CF115" s="31"/>
      <c r="CG115" s="31"/>
      <c r="CH115" s="31"/>
      <c r="CI115" s="31"/>
      <c r="CJ115" s="31"/>
      <c r="CK115" s="31"/>
      <c r="CL115" s="31"/>
      <c r="CM115" s="31"/>
      <c r="CN115" s="31"/>
      <c r="CO115" s="31"/>
      <c r="CP115" s="31"/>
      <c r="CQ115" s="31"/>
      <c r="CR115" s="31"/>
      <c r="CS115" s="31"/>
      <c r="CT115" s="31"/>
      <c r="CU115" s="31"/>
      <c r="CV115" s="31"/>
      <c r="CW115" s="31"/>
      <c r="CX115" s="31"/>
      <c r="CY115" s="31"/>
      <c r="CZ115" s="31"/>
      <c r="DA115" s="31"/>
      <c r="DB115" s="31"/>
      <c r="DC115" s="31"/>
      <c r="DD115" s="31"/>
      <c r="DE115" s="31"/>
      <c r="DF115" s="31"/>
      <c r="DG115" s="31"/>
      <c r="DH115" s="31"/>
      <c r="DI115" s="31"/>
      <c r="DJ115" s="31"/>
      <c r="DK115" s="31"/>
      <c r="DL115" s="31"/>
      <c r="DM115" s="31"/>
      <c r="DN115" s="31"/>
      <c r="DO115" s="31"/>
      <c r="DP115" s="31"/>
      <c r="DQ115" s="31"/>
      <c r="DR115" s="31"/>
      <c r="DS115" s="31"/>
      <c r="DT115" s="31"/>
      <c r="DU115" s="31"/>
      <c r="DV115" s="31"/>
      <c r="DW115" s="31"/>
      <c r="DX115" s="31"/>
      <c r="DY115" s="31"/>
      <c r="DZ115" s="31"/>
      <c r="EA115" s="31"/>
      <c r="EB115" s="31"/>
      <c r="EC115" s="31"/>
      <c r="ED115" s="31"/>
      <c r="EE115" s="31"/>
      <c r="EF115" s="31"/>
      <c r="EG115" s="31"/>
      <c r="EH115" s="31"/>
      <c r="EI115" s="31"/>
      <c r="EJ115" s="31"/>
      <c r="EK115" s="31"/>
      <c r="EL115" s="31"/>
      <c r="EM115" s="31"/>
      <c r="EN115" s="31"/>
      <c r="EO115" s="31"/>
      <c r="EP115" s="31"/>
      <c r="EQ115" s="31"/>
      <c r="ER115" s="31"/>
      <c r="ES115" s="31"/>
      <c r="ET115" s="31"/>
      <c r="EU115" s="31"/>
      <c r="EV115" s="31"/>
      <c r="EW115" s="31"/>
      <c r="EX115" s="31"/>
      <c r="EY115" s="31"/>
      <c r="EZ115" s="31"/>
      <c r="FA115" s="31"/>
      <c r="FB115" s="31"/>
      <c r="FC115" s="31"/>
      <c r="FD115" s="31"/>
      <c r="FE115" s="31"/>
      <c r="FF115" s="31"/>
      <c r="FG115" s="31"/>
      <c r="FH115" s="31"/>
      <c r="FI115" s="31"/>
      <c r="FJ115" s="31"/>
      <c r="FK115" s="31"/>
      <c r="FL115" s="31"/>
      <c r="FM115" s="31"/>
      <c r="FN115" s="31"/>
      <c r="FO115" s="31"/>
      <c r="FP115" s="31"/>
      <c r="FQ115" s="31"/>
      <c r="FR115" s="31"/>
      <c r="FS115" s="31"/>
      <c r="FT115" s="31"/>
      <c r="FU115" s="31"/>
      <c r="FV115" s="31"/>
      <c r="FW115" s="31"/>
      <c r="FX115" s="31"/>
      <c r="FY115" s="31"/>
      <c r="FZ115" s="31"/>
      <c r="GA115" s="31"/>
      <c r="GB115" s="31"/>
      <c r="GC115" s="31"/>
      <c r="GD115" s="31"/>
      <c r="GE115" s="31"/>
      <c r="GF115" s="31"/>
      <c r="GG115" s="31"/>
      <c r="GH115" s="31"/>
      <c r="GI115" s="31"/>
      <c r="GJ115" s="31"/>
      <c r="GK115" s="31"/>
      <c r="GL115" s="31"/>
      <c r="GM115" s="31"/>
      <c r="GN115" s="31"/>
      <c r="GO115" s="31"/>
      <c r="GP115" s="31"/>
      <c r="GQ115" s="31"/>
      <c r="GR115" s="31"/>
      <c r="GS115" s="31"/>
      <c r="GT115" s="31"/>
      <c r="GU115" s="31"/>
      <c r="GV115" s="31"/>
      <c r="GW115" s="31"/>
      <c r="GX115" s="31"/>
      <c r="GY115" s="31"/>
      <c r="GZ115" s="31"/>
      <c r="HA115" s="31"/>
      <c r="HB115" s="31"/>
      <c r="HC115" s="31"/>
      <c r="HD115" s="31"/>
      <c r="HE115" s="31"/>
      <c r="HF115" s="31"/>
      <c r="HG115" s="31"/>
      <c r="HH115" s="31"/>
      <c r="HI115" s="31"/>
      <c r="HJ115" s="31"/>
      <c r="HK115" s="31"/>
      <c r="HL115" s="31"/>
      <c r="HM115" s="31"/>
      <c r="HN115" s="31"/>
      <c r="HO115" s="31"/>
      <c r="HP115" s="31"/>
      <c r="HQ115" s="31"/>
      <c r="HR115" s="31"/>
      <c r="HS115" s="31"/>
      <c r="HT115" s="31"/>
      <c r="HU115" s="31"/>
      <c r="HV115" s="31"/>
      <c r="HW115" s="31"/>
      <c r="HX115" s="31"/>
      <c r="HY115" s="31"/>
      <c r="HZ115" s="31"/>
      <c r="IA115" s="31"/>
      <c r="IB115" s="31"/>
      <c r="IC115" s="31"/>
      <c r="ID115" s="31"/>
      <c r="IE115" s="31"/>
      <c r="IF115" s="31"/>
      <c r="IG115" s="31"/>
      <c r="IH115" s="31"/>
      <c r="II115" s="31"/>
      <c r="IJ115" s="31"/>
      <c r="IK115" s="31"/>
      <c r="IL115" s="31"/>
      <c r="IM115" s="31"/>
      <c r="IN115" s="31"/>
      <c r="IO115" s="31"/>
      <c r="IP115" s="31"/>
      <c r="IQ115" s="31"/>
      <c r="IR115" s="31"/>
      <c r="IS115" s="31"/>
      <c r="IT115" s="31"/>
      <c r="IU115" s="31"/>
      <c r="IV115" s="31"/>
      <c r="IW115" s="31"/>
    </row>
    <row r="116" spans="1:257" ht="16.5" customHeight="1" x14ac:dyDescent="0.3">
      <c r="A116" s="156">
        <v>99</v>
      </c>
      <c r="B116" s="122" t="s">
        <v>29</v>
      </c>
      <c r="C116" s="86" t="s">
        <v>141</v>
      </c>
      <c r="D116" s="44">
        <v>240842231.84999999</v>
      </c>
      <c r="E116" s="44"/>
      <c r="F116" s="44">
        <v>927460121.44000006</v>
      </c>
      <c r="G116" s="44"/>
      <c r="H116" s="55"/>
      <c r="I116" s="53"/>
      <c r="J116" s="53">
        <v>1168302353.29</v>
      </c>
      <c r="K116" s="53">
        <v>9118636.6899999995</v>
      </c>
      <c r="L116" s="44">
        <v>1896856.58</v>
      </c>
      <c r="M116" s="54">
        <v>7221780.1100000003</v>
      </c>
      <c r="N116" s="44">
        <v>1176191209.6600001</v>
      </c>
      <c r="O116" s="44">
        <v>38503583.469999999</v>
      </c>
      <c r="P116" s="224">
        <v>1138457662.45</v>
      </c>
      <c r="Q116" s="48">
        <f t="shared" si="56"/>
        <v>8.8110134833751868E-4</v>
      </c>
      <c r="R116" s="111">
        <v>1137687626.1900001</v>
      </c>
      <c r="S116" s="48">
        <f t="shared" si="51"/>
        <v>3.8764886872482751E-2</v>
      </c>
      <c r="T116" s="49">
        <f t="shared" si="58"/>
        <v>-6.7638550417662953E-4</v>
      </c>
      <c r="U116" s="87">
        <f t="shared" si="59"/>
        <v>1.6672912109911746E-3</v>
      </c>
      <c r="V116" s="50">
        <f>M116/R116</f>
        <v>6.3477706391032894E-3</v>
      </c>
      <c r="W116" s="51">
        <f t="shared" si="60"/>
        <v>1525.1526592801126</v>
      </c>
      <c r="X116" s="51">
        <f t="shared" si="61"/>
        <v>9.6813192707286024</v>
      </c>
      <c r="Y116" s="44">
        <v>552.20000000000005</v>
      </c>
      <c r="Z116" s="44">
        <v>552.20000000000005</v>
      </c>
      <c r="AA116" s="52">
        <v>830</v>
      </c>
      <c r="AB116" s="158">
        <v>745950</v>
      </c>
      <c r="AC116" s="13"/>
      <c r="AD116" s="4"/>
      <c r="AE116" s="4"/>
      <c r="AF116" s="4"/>
      <c r="AG116" s="5"/>
      <c r="AH116" s="6"/>
      <c r="AI116" s="6"/>
      <c r="AJ116" s="6"/>
      <c r="AK116" s="7"/>
      <c r="AL116" s="5"/>
      <c r="AM116" s="6"/>
      <c r="AN116" s="6"/>
      <c r="AO116" s="6"/>
      <c r="AP116" s="7"/>
      <c r="AQ116" s="5"/>
      <c r="AR116" s="6"/>
      <c r="AS116" s="6"/>
      <c r="AT116" s="6"/>
      <c r="AU116" s="7"/>
      <c r="AV116" s="31"/>
      <c r="AW116" s="31"/>
      <c r="AX116" s="31"/>
      <c r="AY116" s="31"/>
      <c r="AZ116" s="31"/>
      <c r="BA116" s="31"/>
      <c r="BB116" s="31"/>
      <c r="BC116" s="31"/>
      <c r="BD116" s="31"/>
      <c r="BE116" s="31"/>
      <c r="BF116" s="31"/>
      <c r="BG116" s="31"/>
      <c r="BH116" s="31"/>
      <c r="BI116" s="31"/>
      <c r="BJ116" s="31"/>
      <c r="BK116" s="31"/>
      <c r="BL116" s="31"/>
      <c r="BM116" s="31"/>
      <c r="BN116" s="31"/>
      <c r="BO116" s="31"/>
      <c r="BP116" s="31"/>
      <c r="BQ116" s="31"/>
      <c r="BR116" s="31"/>
      <c r="BS116" s="31"/>
      <c r="BT116" s="31"/>
      <c r="BU116" s="31"/>
      <c r="BV116" s="31"/>
      <c r="BW116" s="31"/>
      <c r="BX116" s="31"/>
      <c r="BY116" s="31"/>
      <c r="BZ116" s="31"/>
      <c r="CA116" s="31"/>
      <c r="CB116" s="31"/>
      <c r="CC116" s="31"/>
      <c r="CD116" s="31"/>
      <c r="CE116" s="31"/>
      <c r="CF116" s="31"/>
      <c r="CG116" s="31"/>
      <c r="CH116" s="31"/>
      <c r="CI116" s="31"/>
      <c r="CJ116" s="31"/>
      <c r="CK116" s="31"/>
      <c r="CL116" s="31"/>
      <c r="CM116" s="31"/>
      <c r="CN116" s="31"/>
      <c r="CO116" s="31"/>
      <c r="CP116" s="31"/>
      <c r="CQ116" s="31"/>
      <c r="CR116" s="31"/>
      <c r="CS116" s="31"/>
      <c r="CT116" s="31"/>
      <c r="CU116" s="31"/>
      <c r="CV116" s="31"/>
      <c r="CW116" s="31"/>
      <c r="CX116" s="31"/>
      <c r="CY116" s="31"/>
      <c r="CZ116" s="31"/>
      <c r="DA116" s="31"/>
      <c r="DB116" s="31"/>
      <c r="DC116" s="31"/>
      <c r="DD116" s="31"/>
      <c r="DE116" s="31"/>
      <c r="DF116" s="31"/>
      <c r="DG116" s="31"/>
      <c r="DH116" s="31"/>
      <c r="DI116" s="31"/>
      <c r="DJ116" s="31"/>
      <c r="DK116" s="31"/>
      <c r="DL116" s="31"/>
      <c r="DM116" s="31"/>
      <c r="DN116" s="31"/>
      <c r="DO116" s="31"/>
      <c r="DP116" s="31"/>
      <c r="DQ116" s="31"/>
      <c r="DR116" s="31"/>
      <c r="DS116" s="31"/>
      <c r="DT116" s="31"/>
      <c r="DU116" s="31"/>
      <c r="DV116" s="31"/>
      <c r="DW116" s="31"/>
      <c r="DX116" s="31"/>
      <c r="DY116" s="31"/>
      <c r="DZ116" s="31"/>
      <c r="EA116" s="31"/>
      <c r="EB116" s="31"/>
      <c r="EC116" s="31"/>
      <c r="ED116" s="31"/>
      <c r="EE116" s="31"/>
      <c r="EF116" s="31"/>
      <c r="EG116" s="31"/>
      <c r="EH116" s="31"/>
      <c r="EI116" s="31"/>
      <c r="EJ116" s="31"/>
      <c r="EK116" s="31"/>
      <c r="EL116" s="31"/>
      <c r="EM116" s="31"/>
      <c r="EN116" s="31"/>
      <c r="EO116" s="31"/>
      <c r="EP116" s="31"/>
      <c r="EQ116" s="31"/>
      <c r="ER116" s="31"/>
      <c r="ES116" s="31"/>
      <c r="ET116" s="31"/>
      <c r="EU116" s="31"/>
      <c r="EV116" s="31"/>
      <c r="EW116" s="31"/>
      <c r="EX116" s="31"/>
      <c r="EY116" s="31"/>
      <c r="EZ116" s="31"/>
      <c r="FA116" s="31"/>
      <c r="FB116" s="31"/>
      <c r="FC116" s="31"/>
      <c r="FD116" s="31"/>
      <c r="FE116" s="31"/>
      <c r="FF116" s="31"/>
      <c r="FG116" s="31"/>
      <c r="FH116" s="31"/>
      <c r="FI116" s="31"/>
      <c r="FJ116" s="31"/>
      <c r="FK116" s="31"/>
      <c r="FL116" s="31"/>
      <c r="FM116" s="31"/>
      <c r="FN116" s="31"/>
      <c r="FO116" s="31"/>
      <c r="FP116" s="31"/>
      <c r="FQ116" s="31"/>
      <c r="FR116" s="31"/>
      <c r="FS116" s="31"/>
      <c r="FT116" s="31"/>
      <c r="FU116" s="31"/>
      <c r="FV116" s="31"/>
      <c r="FW116" s="31"/>
      <c r="FX116" s="31"/>
      <c r="FY116" s="31"/>
      <c r="FZ116" s="31"/>
      <c r="GA116" s="31"/>
      <c r="GB116" s="31"/>
      <c r="GC116" s="31"/>
      <c r="GD116" s="31"/>
      <c r="GE116" s="31"/>
      <c r="GF116" s="31"/>
      <c r="GG116" s="31"/>
      <c r="GH116" s="31"/>
      <c r="GI116" s="31"/>
      <c r="GJ116" s="31"/>
      <c r="GK116" s="31"/>
      <c r="GL116" s="31"/>
      <c r="GM116" s="31"/>
      <c r="GN116" s="31"/>
      <c r="GO116" s="31"/>
      <c r="GP116" s="31"/>
      <c r="GQ116" s="31"/>
      <c r="GR116" s="31"/>
      <c r="GS116" s="31"/>
      <c r="GT116" s="31"/>
      <c r="GU116" s="31"/>
      <c r="GV116" s="31"/>
      <c r="GW116" s="31"/>
      <c r="GX116" s="31"/>
      <c r="GY116" s="31"/>
      <c r="GZ116" s="31"/>
      <c r="HA116" s="31"/>
      <c r="HB116" s="31"/>
      <c r="HC116" s="31"/>
      <c r="HD116" s="31"/>
      <c r="HE116" s="31"/>
      <c r="HF116" s="31"/>
      <c r="HG116" s="31"/>
      <c r="HH116" s="31"/>
      <c r="HI116" s="31"/>
      <c r="HJ116" s="31"/>
      <c r="HK116" s="31"/>
      <c r="HL116" s="31"/>
      <c r="HM116" s="31"/>
      <c r="HN116" s="31"/>
      <c r="HO116" s="31"/>
      <c r="HP116" s="31"/>
      <c r="HQ116" s="31"/>
      <c r="HR116" s="31"/>
      <c r="HS116" s="31"/>
      <c r="HT116" s="31"/>
      <c r="HU116" s="31"/>
      <c r="HV116" s="31"/>
      <c r="HW116" s="31"/>
      <c r="HX116" s="31"/>
      <c r="HY116" s="31"/>
      <c r="HZ116" s="31"/>
      <c r="IA116" s="31"/>
      <c r="IB116" s="31"/>
      <c r="IC116" s="31"/>
      <c r="ID116" s="31"/>
      <c r="IE116" s="31"/>
      <c r="IF116" s="31"/>
      <c r="IG116" s="31"/>
      <c r="IH116" s="31"/>
      <c r="II116" s="31"/>
      <c r="IJ116" s="31"/>
      <c r="IK116" s="31"/>
      <c r="IL116" s="31"/>
      <c r="IM116" s="31"/>
      <c r="IN116" s="31"/>
      <c r="IO116" s="31"/>
      <c r="IP116" s="31"/>
      <c r="IQ116" s="31"/>
      <c r="IR116" s="31"/>
      <c r="IS116" s="31"/>
      <c r="IT116" s="31"/>
      <c r="IU116" s="31"/>
      <c r="IV116" s="31"/>
      <c r="IW116" s="31"/>
    </row>
    <row r="117" spans="1:257" ht="16.5" customHeight="1" x14ac:dyDescent="0.3">
      <c r="A117" s="156">
        <v>100</v>
      </c>
      <c r="B117" s="122" t="s">
        <v>46</v>
      </c>
      <c r="C117" s="86" t="s">
        <v>145</v>
      </c>
      <c r="D117" s="44">
        <v>1117636775.55</v>
      </c>
      <c r="E117" s="44"/>
      <c r="F117" s="44">
        <v>481474498.43000001</v>
      </c>
      <c r="G117" s="44">
        <v>521845114.14999998</v>
      </c>
      <c r="H117" s="55"/>
      <c r="I117" s="53"/>
      <c r="J117" s="53">
        <v>2120956388.1300001</v>
      </c>
      <c r="K117" s="53">
        <v>10455733.32</v>
      </c>
      <c r="L117" s="44">
        <v>3781667.91</v>
      </c>
      <c r="M117" s="54">
        <v>-13760536.289999999</v>
      </c>
      <c r="N117" s="44">
        <v>2124563343.01</v>
      </c>
      <c r="O117" s="44">
        <v>71771542.510000005</v>
      </c>
      <c r="P117" s="224">
        <v>2082605902.21</v>
      </c>
      <c r="Q117" s="48">
        <f t="shared" si="56"/>
        <v>1.611818277496548E-3</v>
      </c>
      <c r="R117" s="111">
        <v>2052791800.5</v>
      </c>
      <c r="S117" s="48">
        <f t="shared" si="51"/>
        <v>6.9945598499330977E-2</v>
      </c>
      <c r="T117" s="49">
        <f t="shared" si="58"/>
        <v>-1.4315767413490086E-2</v>
      </c>
      <c r="U117" s="87">
        <f t="shared" si="59"/>
        <v>1.8422072365443473E-3</v>
      </c>
      <c r="V117" s="50">
        <f ca="1">V117/R117</f>
        <v>0</v>
      </c>
      <c r="W117" s="51">
        <f t="shared" si="60"/>
        <v>2.9406935038476969</v>
      </c>
      <c r="X117" s="51">
        <f t="shared" si="61"/>
        <v>-1.9712432438402795E-2</v>
      </c>
      <c r="Y117" s="44">
        <v>2.85</v>
      </c>
      <c r="Z117" s="44">
        <v>2.92</v>
      </c>
      <c r="AA117" s="52">
        <v>2030</v>
      </c>
      <c r="AB117" s="158">
        <v>698063840.32000005</v>
      </c>
      <c r="AC117" s="13"/>
      <c r="AD117" s="4"/>
      <c r="AE117" s="4"/>
      <c r="AF117" s="4"/>
      <c r="AG117" s="5"/>
      <c r="AH117" s="6"/>
      <c r="AI117" s="6"/>
      <c r="AJ117" s="6"/>
      <c r="AK117" s="7"/>
      <c r="AL117" s="5"/>
      <c r="AM117" s="6"/>
      <c r="AN117" s="6"/>
      <c r="AO117" s="6"/>
      <c r="AP117" s="7"/>
      <c r="AQ117" s="5"/>
      <c r="AR117" s="6"/>
      <c r="AS117" s="6"/>
      <c r="AT117" s="6"/>
      <c r="AU117" s="7"/>
      <c r="AV117" s="31"/>
      <c r="AW117" s="31"/>
      <c r="AX117" s="31"/>
      <c r="AY117" s="31"/>
      <c r="AZ117" s="31"/>
      <c r="BA117" s="31"/>
      <c r="BB117" s="31"/>
      <c r="BC117" s="31"/>
      <c r="BD117" s="31"/>
      <c r="BE117" s="31"/>
      <c r="BF117" s="31"/>
      <c r="BG117" s="31"/>
      <c r="BH117" s="31"/>
      <c r="BI117" s="31"/>
      <c r="BJ117" s="31"/>
      <c r="BK117" s="31"/>
      <c r="BL117" s="31"/>
      <c r="BM117" s="31"/>
      <c r="BN117" s="31"/>
      <c r="BO117" s="31"/>
      <c r="BP117" s="31"/>
      <c r="BQ117" s="31"/>
      <c r="BR117" s="31"/>
      <c r="BS117" s="31"/>
      <c r="BT117" s="31"/>
      <c r="BU117" s="31"/>
      <c r="BV117" s="31"/>
      <c r="BW117" s="31"/>
      <c r="BX117" s="31"/>
      <c r="BY117" s="31"/>
      <c r="BZ117" s="31"/>
      <c r="CA117" s="31"/>
      <c r="CB117" s="31"/>
      <c r="CC117" s="31"/>
      <c r="CD117" s="31"/>
      <c r="CE117" s="31"/>
      <c r="CF117" s="31"/>
      <c r="CG117" s="31"/>
      <c r="CH117" s="31"/>
      <c r="CI117" s="31"/>
      <c r="CJ117" s="31"/>
      <c r="CK117" s="31"/>
      <c r="CL117" s="31"/>
      <c r="CM117" s="31"/>
      <c r="CN117" s="31"/>
      <c r="CO117" s="31"/>
      <c r="CP117" s="31"/>
      <c r="CQ117" s="31"/>
      <c r="CR117" s="31"/>
      <c r="CS117" s="31"/>
      <c r="CT117" s="31"/>
      <c r="CU117" s="31"/>
      <c r="CV117" s="31"/>
      <c r="CW117" s="31"/>
      <c r="CX117" s="31"/>
      <c r="CY117" s="31"/>
      <c r="CZ117" s="31"/>
      <c r="DA117" s="31"/>
      <c r="DB117" s="31"/>
      <c r="DC117" s="31"/>
      <c r="DD117" s="31"/>
      <c r="DE117" s="31"/>
      <c r="DF117" s="31"/>
      <c r="DG117" s="31"/>
      <c r="DH117" s="31"/>
      <c r="DI117" s="31"/>
      <c r="DJ117" s="31"/>
      <c r="DK117" s="31"/>
      <c r="DL117" s="31"/>
      <c r="DM117" s="31"/>
      <c r="DN117" s="31"/>
      <c r="DO117" s="31"/>
      <c r="DP117" s="31"/>
      <c r="DQ117" s="31"/>
      <c r="DR117" s="31"/>
      <c r="DS117" s="31"/>
      <c r="DT117" s="31"/>
      <c r="DU117" s="31"/>
      <c r="DV117" s="31"/>
      <c r="DW117" s="31"/>
      <c r="DX117" s="31"/>
      <c r="DY117" s="31"/>
      <c r="DZ117" s="31"/>
      <c r="EA117" s="31"/>
      <c r="EB117" s="31"/>
      <c r="EC117" s="31"/>
      <c r="ED117" s="31"/>
      <c r="EE117" s="31"/>
      <c r="EF117" s="31"/>
      <c r="EG117" s="31"/>
      <c r="EH117" s="31"/>
      <c r="EI117" s="31"/>
      <c r="EJ117" s="31"/>
      <c r="EK117" s="31"/>
      <c r="EL117" s="31"/>
      <c r="EM117" s="31"/>
      <c r="EN117" s="31"/>
      <c r="EO117" s="31"/>
      <c r="EP117" s="31"/>
      <c r="EQ117" s="31"/>
      <c r="ER117" s="31"/>
      <c r="ES117" s="31"/>
      <c r="ET117" s="31"/>
      <c r="EU117" s="31"/>
      <c r="EV117" s="31"/>
      <c r="EW117" s="31"/>
      <c r="EX117" s="31"/>
      <c r="EY117" s="31"/>
      <c r="EZ117" s="31"/>
      <c r="FA117" s="31"/>
      <c r="FB117" s="31"/>
      <c r="FC117" s="31"/>
      <c r="FD117" s="31"/>
      <c r="FE117" s="31"/>
      <c r="FF117" s="31"/>
      <c r="FG117" s="31"/>
      <c r="FH117" s="31"/>
      <c r="FI117" s="31"/>
      <c r="FJ117" s="31"/>
      <c r="FK117" s="31"/>
      <c r="FL117" s="31"/>
      <c r="FM117" s="31"/>
      <c r="FN117" s="31"/>
      <c r="FO117" s="31"/>
      <c r="FP117" s="31"/>
      <c r="FQ117" s="31"/>
      <c r="FR117" s="31"/>
      <c r="FS117" s="31"/>
      <c r="FT117" s="31"/>
      <c r="FU117" s="31"/>
      <c r="FV117" s="31"/>
      <c r="FW117" s="31"/>
      <c r="FX117" s="31"/>
      <c r="FY117" s="31"/>
      <c r="FZ117" s="31"/>
      <c r="GA117" s="31"/>
      <c r="GB117" s="31"/>
      <c r="GC117" s="31"/>
      <c r="GD117" s="31"/>
      <c r="GE117" s="31"/>
      <c r="GF117" s="31"/>
      <c r="GG117" s="31"/>
      <c r="GH117" s="31"/>
      <c r="GI117" s="31"/>
      <c r="GJ117" s="31"/>
      <c r="GK117" s="31"/>
      <c r="GL117" s="31"/>
      <c r="GM117" s="31"/>
      <c r="GN117" s="31"/>
      <c r="GO117" s="31"/>
      <c r="GP117" s="31"/>
      <c r="GQ117" s="31"/>
      <c r="GR117" s="31"/>
      <c r="GS117" s="31"/>
      <c r="GT117" s="31"/>
      <c r="GU117" s="31"/>
      <c r="GV117" s="31"/>
      <c r="GW117" s="31"/>
      <c r="GX117" s="31"/>
      <c r="GY117" s="31"/>
      <c r="GZ117" s="31"/>
      <c r="HA117" s="31"/>
      <c r="HB117" s="31"/>
      <c r="HC117" s="31"/>
      <c r="HD117" s="31"/>
      <c r="HE117" s="31"/>
      <c r="HF117" s="31"/>
      <c r="HG117" s="31"/>
      <c r="HH117" s="31"/>
      <c r="HI117" s="31"/>
      <c r="HJ117" s="31"/>
      <c r="HK117" s="31"/>
      <c r="HL117" s="31"/>
      <c r="HM117" s="31"/>
      <c r="HN117" s="31"/>
      <c r="HO117" s="31"/>
      <c r="HP117" s="31"/>
      <c r="HQ117" s="31"/>
      <c r="HR117" s="31"/>
      <c r="HS117" s="31"/>
      <c r="HT117" s="31"/>
      <c r="HU117" s="31"/>
      <c r="HV117" s="31"/>
      <c r="HW117" s="31"/>
      <c r="HX117" s="31"/>
      <c r="HY117" s="31"/>
      <c r="HZ117" s="31"/>
      <c r="IA117" s="31"/>
      <c r="IB117" s="31"/>
      <c r="IC117" s="31"/>
      <c r="ID117" s="31"/>
      <c r="IE117" s="31"/>
      <c r="IF117" s="31"/>
      <c r="IG117" s="31"/>
      <c r="IH117" s="31"/>
      <c r="II117" s="31"/>
      <c r="IJ117" s="31"/>
      <c r="IK117" s="31"/>
      <c r="IL117" s="31"/>
      <c r="IM117" s="31"/>
      <c r="IN117" s="31"/>
      <c r="IO117" s="31"/>
      <c r="IP117" s="31"/>
      <c r="IQ117" s="31"/>
      <c r="IR117" s="31"/>
      <c r="IS117" s="31"/>
      <c r="IT117" s="31"/>
      <c r="IU117" s="31"/>
      <c r="IV117" s="31"/>
      <c r="IW117" s="31"/>
    </row>
    <row r="118" spans="1:257" ht="16.5" customHeight="1" x14ac:dyDescent="0.3">
      <c r="A118" s="156">
        <v>101</v>
      </c>
      <c r="B118" s="122" t="s">
        <v>48</v>
      </c>
      <c r="C118" s="85" t="s">
        <v>146</v>
      </c>
      <c r="D118" s="44">
        <v>77629424.780000001</v>
      </c>
      <c r="E118" s="44"/>
      <c r="F118" s="44">
        <v>31802041.079999998</v>
      </c>
      <c r="G118" s="44"/>
      <c r="H118" s="107">
        <v>814800</v>
      </c>
      <c r="I118" s="53"/>
      <c r="J118" s="53">
        <v>162820864.91999999</v>
      </c>
      <c r="K118" s="53">
        <v>511361.22</v>
      </c>
      <c r="L118" s="44">
        <v>176310.18</v>
      </c>
      <c r="M118" s="54">
        <v>335051.03999999998</v>
      </c>
      <c r="N118" s="44">
        <v>163789857.37</v>
      </c>
      <c r="O118" s="44">
        <v>3091259.89</v>
      </c>
      <c r="P118" s="224">
        <v>161915139.71000001</v>
      </c>
      <c r="Q118" s="48">
        <f t="shared" si="56"/>
        <v>1.2531309035043221E-4</v>
      </c>
      <c r="R118" s="111">
        <v>160698597.47999999</v>
      </c>
      <c r="S118" s="48">
        <f t="shared" si="51"/>
        <v>5.4755477764495677E-3</v>
      </c>
      <c r="T118" s="49">
        <f t="shared" si="58"/>
        <v>-7.5134557038885998E-3</v>
      </c>
      <c r="U118" s="87">
        <f t="shared" si="59"/>
        <v>1.0971482188694458E-3</v>
      </c>
      <c r="V118" s="50">
        <f>M117/R118</f>
        <v>-8.5629473472614404E-2</v>
      </c>
      <c r="W118" s="51">
        <f t="shared" si="60"/>
        <v>1.5870394284475002</v>
      </c>
      <c r="X118" s="51">
        <f>M117/AB118</f>
        <v>-0.13589735063823835</v>
      </c>
      <c r="Y118" s="44">
        <v>1.587</v>
      </c>
      <c r="Z118" s="44">
        <v>1.6175999999999999</v>
      </c>
      <c r="AA118" s="52">
        <v>99</v>
      </c>
      <c r="AB118" s="158">
        <v>101256840</v>
      </c>
      <c r="AC118" s="13"/>
      <c r="AD118" s="4"/>
      <c r="AE118" s="4"/>
      <c r="AF118" s="4"/>
      <c r="AG118" s="5"/>
      <c r="AH118" s="6"/>
      <c r="AI118" s="6"/>
      <c r="AJ118" s="6"/>
      <c r="AK118" s="7"/>
      <c r="AL118" s="5"/>
      <c r="AM118" s="6"/>
      <c r="AN118" s="6"/>
      <c r="AO118" s="6"/>
      <c r="AP118" s="7"/>
      <c r="AQ118" s="5"/>
      <c r="AR118" s="6"/>
      <c r="AS118" s="6"/>
      <c r="AT118" s="6"/>
      <c r="AU118" s="7"/>
      <c r="AV118" s="31"/>
      <c r="AW118" s="31"/>
      <c r="AX118" s="31"/>
      <c r="AY118" s="31"/>
      <c r="AZ118" s="31"/>
      <c r="BA118" s="31"/>
      <c r="BB118" s="31"/>
      <c r="BC118" s="31"/>
      <c r="BD118" s="31"/>
      <c r="BE118" s="31"/>
      <c r="BF118" s="31"/>
      <c r="BG118" s="31"/>
      <c r="BH118" s="31"/>
      <c r="BI118" s="31"/>
      <c r="BJ118" s="31"/>
      <c r="BK118" s="31"/>
      <c r="BL118" s="31"/>
      <c r="BM118" s="31"/>
      <c r="BN118" s="31"/>
      <c r="BO118" s="31"/>
      <c r="BP118" s="31"/>
      <c r="BQ118" s="31"/>
      <c r="BR118" s="31"/>
      <c r="BS118" s="31"/>
      <c r="BT118" s="31"/>
      <c r="BU118" s="31"/>
      <c r="BV118" s="31"/>
      <c r="BW118" s="31"/>
      <c r="BX118" s="31"/>
      <c r="BY118" s="31"/>
      <c r="BZ118" s="31"/>
      <c r="CA118" s="31"/>
      <c r="CB118" s="31"/>
      <c r="CC118" s="31"/>
      <c r="CD118" s="31"/>
      <c r="CE118" s="31"/>
      <c r="CF118" s="31"/>
      <c r="CG118" s="31"/>
      <c r="CH118" s="31"/>
      <c r="CI118" s="31"/>
      <c r="CJ118" s="31"/>
      <c r="CK118" s="31"/>
      <c r="CL118" s="31"/>
      <c r="CM118" s="31"/>
      <c r="CN118" s="31"/>
      <c r="CO118" s="31"/>
      <c r="CP118" s="31"/>
      <c r="CQ118" s="31"/>
      <c r="CR118" s="31"/>
      <c r="CS118" s="31"/>
      <c r="CT118" s="31"/>
      <c r="CU118" s="31"/>
      <c r="CV118" s="31"/>
      <c r="CW118" s="31"/>
      <c r="CX118" s="31"/>
      <c r="CY118" s="31"/>
      <c r="CZ118" s="31"/>
      <c r="DA118" s="31"/>
      <c r="DB118" s="31"/>
      <c r="DC118" s="31"/>
      <c r="DD118" s="31"/>
      <c r="DE118" s="31"/>
      <c r="DF118" s="31"/>
      <c r="DG118" s="31"/>
      <c r="DH118" s="31"/>
      <c r="DI118" s="31"/>
      <c r="DJ118" s="31"/>
      <c r="DK118" s="31"/>
      <c r="DL118" s="31"/>
      <c r="DM118" s="31"/>
      <c r="DN118" s="31"/>
      <c r="DO118" s="31"/>
      <c r="DP118" s="31"/>
      <c r="DQ118" s="31"/>
      <c r="DR118" s="31"/>
      <c r="DS118" s="31"/>
      <c r="DT118" s="31"/>
      <c r="DU118" s="31"/>
      <c r="DV118" s="31"/>
      <c r="DW118" s="31"/>
      <c r="DX118" s="31"/>
      <c r="DY118" s="31"/>
      <c r="DZ118" s="31"/>
      <c r="EA118" s="31"/>
      <c r="EB118" s="31"/>
      <c r="EC118" s="31"/>
      <c r="ED118" s="31"/>
      <c r="EE118" s="31"/>
      <c r="EF118" s="31"/>
      <c r="EG118" s="31"/>
      <c r="EH118" s="31"/>
      <c r="EI118" s="31"/>
      <c r="EJ118" s="31"/>
      <c r="EK118" s="31"/>
      <c r="EL118" s="31"/>
      <c r="EM118" s="31"/>
      <c r="EN118" s="31"/>
      <c r="EO118" s="31"/>
      <c r="EP118" s="31"/>
      <c r="EQ118" s="31"/>
      <c r="ER118" s="31"/>
      <c r="ES118" s="31"/>
      <c r="ET118" s="31"/>
      <c r="EU118" s="31"/>
      <c r="EV118" s="31"/>
      <c r="EW118" s="31"/>
      <c r="EX118" s="31"/>
      <c r="EY118" s="31"/>
      <c r="EZ118" s="31"/>
      <c r="FA118" s="31"/>
      <c r="FB118" s="31"/>
      <c r="FC118" s="31"/>
      <c r="FD118" s="31"/>
      <c r="FE118" s="31"/>
      <c r="FF118" s="31"/>
      <c r="FG118" s="31"/>
      <c r="FH118" s="31"/>
      <c r="FI118" s="31"/>
      <c r="FJ118" s="31"/>
      <c r="FK118" s="31"/>
      <c r="FL118" s="31"/>
      <c r="FM118" s="31"/>
      <c r="FN118" s="31"/>
      <c r="FO118" s="31"/>
      <c r="FP118" s="31"/>
      <c r="FQ118" s="31"/>
      <c r="FR118" s="31"/>
      <c r="FS118" s="31"/>
      <c r="FT118" s="31"/>
      <c r="FU118" s="31"/>
      <c r="FV118" s="31"/>
      <c r="FW118" s="31"/>
      <c r="FX118" s="31"/>
      <c r="FY118" s="31"/>
      <c r="FZ118" s="31"/>
      <c r="GA118" s="31"/>
      <c r="GB118" s="31"/>
      <c r="GC118" s="31"/>
      <c r="GD118" s="31"/>
      <c r="GE118" s="31"/>
      <c r="GF118" s="31"/>
      <c r="GG118" s="31"/>
      <c r="GH118" s="31"/>
      <c r="GI118" s="31"/>
      <c r="GJ118" s="31"/>
      <c r="GK118" s="31"/>
      <c r="GL118" s="31"/>
      <c r="GM118" s="31"/>
      <c r="GN118" s="31"/>
      <c r="GO118" s="31"/>
      <c r="GP118" s="31"/>
      <c r="GQ118" s="31"/>
      <c r="GR118" s="31"/>
      <c r="GS118" s="31"/>
      <c r="GT118" s="31"/>
      <c r="GU118" s="31"/>
      <c r="GV118" s="31"/>
      <c r="GW118" s="31"/>
      <c r="GX118" s="31"/>
      <c r="GY118" s="31"/>
      <c r="GZ118" s="31"/>
      <c r="HA118" s="31"/>
      <c r="HB118" s="31"/>
      <c r="HC118" s="31"/>
      <c r="HD118" s="31"/>
      <c r="HE118" s="31"/>
      <c r="HF118" s="31"/>
      <c r="HG118" s="31"/>
      <c r="HH118" s="31"/>
      <c r="HI118" s="31"/>
      <c r="HJ118" s="31"/>
      <c r="HK118" s="31"/>
      <c r="HL118" s="31"/>
      <c r="HM118" s="31"/>
      <c r="HN118" s="31"/>
      <c r="HO118" s="31"/>
      <c r="HP118" s="31"/>
      <c r="HQ118" s="31"/>
      <c r="HR118" s="31"/>
      <c r="HS118" s="31"/>
      <c r="HT118" s="31"/>
      <c r="HU118" s="31"/>
      <c r="HV118" s="31"/>
      <c r="HW118" s="31"/>
      <c r="HX118" s="31"/>
      <c r="HY118" s="31"/>
      <c r="HZ118" s="31"/>
      <c r="IA118" s="31"/>
      <c r="IB118" s="31"/>
      <c r="IC118" s="31"/>
      <c r="ID118" s="31"/>
      <c r="IE118" s="31"/>
      <c r="IF118" s="31"/>
      <c r="IG118" s="31"/>
      <c r="IH118" s="31"/>
      <c r="II118" s="31"/>
      <c r="IJ118" s="31"/>
      <c r="IK118" s="31"/>
      <c r="IL118" s="31"/>
      <c r="IM118" s="31"/>
      <c r="IN118" s="31"/>
      <c r="IO118" s="31"/>
      <c r="IP118" s="31"/>
      <c r="IQ118" s="31"/>
      <c r="IR118" s="31"/>
      <c r="IS118" s="31"/>
      <c r="IT118" s="31"/>
      <c r="IU118" s="31"/>
      <c r="IV118" s="31"/>
      <c r="IW118" s="31"/>
    </row>
    <row r="119" spans="1:257" ht="16.5" customHeight="1" x14ac:dyDescent="0.3">
      <c r="A119" s="156">
        <v>102</v>
      </c>
      <c r="B119" s="120" t="s">
        <v>35</v>
      </c>
      <c r="C119" s="86" t="s">
        <v>140</v>
      </c>
      <c r="D119" s="44">
        <v>257489858</v>
      </c>
      <c r="E119" s="44"/>
      <c r="F119" s="44"/>
      <c r="G119" s="44"/>
      <c r="H119" s="55"/>
      <c r="I119" s="53"/>
      <c r="J119" s="53">
        <v>257489858</v>
      </c>
      <c r="K119" s="53">
        <v>2914621</v>
      </c>
      <c r="L119" s="44">
        <v>1028657</v>
      </c>
      <c r="M119" s="54">
        <v>1169150</v>
      </c>
      <c r="N119" s="44">
        <v>584430472</v>
      </c>
      <c r="O119" s="44">
        <v>4995076</v>
      </c>
      <c r="P119" s="224">
        <v>579538082</v>
      </c>
      <c r="Q119" s="48">
        <f t="shared" si="56"/>
        <v>4.4852944672904414E-4</v>
      </c>
      <c r="R119" s="111">
        <v>579435396</v>
      </c>
      <c r="S119" s="48">
        <f t="shared" si="51"/>
        <v>1.9743334689394793E-2</v>
      </c>
      <c r="T119" s="49">
        <f t="shared" si="58"/>
        <v>-1.7718594030202142E-4</v>
      </c>
      <c r="U119" s="87">
        <f t="shared" si="59"/>
        <v>1.7752747020653187E-3</v>
      </c>
      <c r="V119" s="50">
        <f>M119/R119</f>
        <v>2.0177400415489978E-3</v>
      </c>
      <c r="W119" s="51">
        <f t="shared" si="60"/>
        <v>1.0993798041957212</v>
      </c>
      <c r="X119" s="51">
        <f>M119/AB119</f>
        <v>2.2182626517960034E-3</v>
      </c>
      <c r="Y119" s="44">
        <v>1.1000000000000001</v>
      </c>
      <c r="Z119" s="44">
        <v>1.1200000000000001</v>
      </c>
      <c r="AA119" s="52">
        <v>254</v>
      </c>
      <c r="AB119" s="158">
        <v>527056613</v>
      </c>
      <c r="AC119" s="13"/>
      <c r="AD119" s="4"/>
      <c r="AE119" s="4"/>
      <c r="AF119" s="4"/>
      <c r="AG119" s="5"/>
      <c r="AH119" s="6"/>
      <c r="AI119" s="6"/>
      <c r="AJ119" s="6"/>
      <c r="AK119" s="7"/>
      <c r="AL119" s="5"/>
      <c r="AM119" s="6"/>
      <c r="AN119" s="6"/>
      <c r="AO119" s="6"/>
      <c r="AP119" s="7"/>
      <c r="AQ119" s="5"/>
      <c r="AR119" s="6"/>
      <c r="AS119" s="6"/>
      <c r="AT119" s="6"/>
      <c r="AU119" s="7"/>
      <c r="AV119" s="31"/>
      <c r="AW119" s="31"/>
      <c r="AX119" s="31"/>
      <c r="AY119" s="31"/>
      <c r="AZ119" s="31"/>
      <c r="BA119" s="31"/>
      <c r="BB119" s="31"/>
      <c r="BC119" s="31"/>
      <c r="BD119" s="31"/>
      <c r="BE119" s="31"/>
      <c r="BF119" s="31"/>
      <c r="BG119" s="31"/>
      <c r="BH119" s="31"/>
      <c r="BI119" s="31"/>
      <c r="BJ119" s="31"/>
      <c r="BK119" s="31"/>
      <c r="BL119" s="31"/>
      <c r="BM119" s="31"/>
      <c r="BN119" s="31"/>
      <c r="BO119" s="31"/>
      <c r="BP119" s="31"/>
      <c r="BQ119" s="31"/>
      <c r="BR119" s="31"/>
      <c r="BS119" s="31"/>
      <c r="BT119" s="31"/>
      <c r="BU119" s="31"/>
      <c r="BV119" s="31"/>
      <c r="BW119" s="31"/>
      <c r="BX119" s="31"/>
      <c r="BY119" s="31"/>
      <c r="BZ119" s="31"/>
      <c r="CA119" s="31"/>
      <c r="CB119" s="31"/>
      <c r="CC119" s="31"/>
      <c r="CD119" s="31"/>
      <c r="CE119" s="31"/>
      <c r="CF119" s="31"/>
      <c r="CG119" s="31"/>
      <c r="CH119" s="31"/>
      <c r="CI119" s="31"/>
      <c r="CJ119" s="31"/>
      <c r="CK119" s="31"/>
      <c r="CL119" s="31"/>
      <c r="CM119" s="31"/>
      <c r="CN119" s="31"/>
      <c r="CO119" s="31"/>
      <c r="CP119" s="31"/>
      <c r="CQ119" s="31"/>
      <c r="CR119" s="31"/>
      <c r="CS119" s="31"/>
      <c r="CT119" s="31"/>
      <c r="CU119" s="31"/>
      <c r="CV119" s="31"/>
      <c r="CW119" s="31"/>
      <c r="CX119" s="31"/>
      <c r="CY119" s="31"/>
      <c r="CZ119" s="31"/>
      <c r="DA119" s="31"/>
      <c r="DB119" s="31"/>
      <c r="DC119" s="31"/>
      <c r="DD119" s="31"/>
      <c r="DE119" s="31"/>
      <c r="DF119" s="31"/>
      <c r="DG119" s="31"/>
      <c r="DH119" s="31"/>
      <c r="DI119" s="31"/>
      <c r="DJ119" s="31"/>
      <c r="DK119" s="31"/>
      <c r="DL119" s="31"/>
      <c r="DM119" s="31"/>
      <c r="DN119" s="31"/>
      <c r="DO119" s="31"/>
      <c r="DP119" s="31"/>
      <c r="DQ119" s="31"/>
      <c r="DR119" s="31"/>
      <c r="DS119" s="31"/>
      <c r="DT119" s="31"/>
      <c r="DU119" s="31"/>
      <c r="DV119" s="31"/>
      <c r="DW119" s="31"/>
      <c r="DX119" s="31"/>
      <c r="DY119" s="31"/>
      <c r="DZ119" s="31"/>
      <c r="EA119" s="31"/>
      <c r="EB119" s="31"/>
      <c r="EC119" s="31"/>
      <c r="ED119" s="31"/>
      <c r="EE119" s="31"/>
      <c r="EF119" s="31"/>
      <c r="EG119" s="31"/>
      <c r="EH119" s="31"/>
      <c r="EI119" s="31"/>
      <c r="EJ119" s="31"/>
      <c r="EK119" s="31"/>
      <c r="EL119" s="31"/>
      <c r="EM119" s="31"/>
      <c r="EN119" s="31"/>
      <c r="EO119" s="31"/>
      <c r="EP119" s="31"/>
      <c r="EQ119" s="31"/>
      <c r="ER119" s="31"/>
      <c r="ES119" s="31"/>
      <c r="ET119" s="31"/>
      <c r="EU119" s="31"/>
      <c r="EV119" s="31"/>
      <c r="EW119" s="31"/>
      <c r="EX119" s="31"/>
      <c r="EY119" s="31"/>
      <c r="EZ119" s="31"/>
      <c r="FA119" s="31"/>
      <c r="FB119" s="31"/>
      <c r="FC119" s="31"/>
      <c r="FD119" s="31"/>
      <c r="FE119" s="31"/>
      <c r="FF119" s="31"/>
      <c r="FG119" s="31"/>
      <c r="FH119" s="31"/>
      <c r="FI119" s="31"/>
      <c r="FJ119" s="31"/>
      <c r="FK119" s="31"/>
      <c r="FL119" s="31"/>
      <c r="FM119" s="31"/>
      <c r="FN119" s="31"/>
      <c r="FO119" s="31"/>
      <c r="FP119" s="31"/>
      <c r="FQ119" s="31"/>
      <c r="FR119" s="31"/>
      <c r="FS119" s="31"/>
      <c r="FT119" s="31"/>
      <c r="FU119" s="31"/>
      <c r="FV119" s="31"/>
      <c r="FW119" s="31"/>
      <c r="FX119" s="31"/>
      <c r="FY119" s="31"/>
      <c r="FZ119" s="31"/>
      <c r="GA119" s="31"/>
      <c r="GB119" s="31"/>
      <c r="GC119" s="31"/>
      <c r="GD119" s="31"/>
      <c r="GE119" s="31"/>
      <c r="GF119" s="31"/>
      <c r="GG119" s="31"/>
      <c r="GH119" s="31"/>
      <c r="GI119" s="31"/>
      <c r="GJ119" s="31"/>
      <c r="GK119" s="31"/>
      <c r="GL119" s="31"/>
      <c r="GM119" s="31"/>
      <c r="GN119" s="31"/>
      <c r="GO119" s="31"/>
      <c r="GP119" s="31"/>
      <c r="GQ119" s="31"/>
      <c r="GR119" s="31"/>
      <c r="GS119" s="31"/>
      <c r="GT119" s="31"/>
      <c r="GU119" s="31"/>
      <c r="GV119" s="31"/>
      <c r="GW119" s="31"/>
      <c r="GX119" s="31"/>
      <c r="GY119" s="31"/>
      <c r="GZ119" s="31"/>
      <c r="HA119" s="31"/>
      <c r="HB119" s="31"/>
      <c r="HC119" s="31"/>
      <c r="HD119" s="31"/>
      <c r="HE119" s="31"/>
      <c r="HF119" s="31"/>
      <c r="HG119" s="31"/>
      <c r="HH119" s="31"/>
      <c r="HI119" s="31"/>
      <c r="HJ119" s="31"/>
      <c r="HK119" s="31"/>
      <c r="HL119" s="31"/>
      <c r="HM119" s="31"/>
      <c r="HN119" s="31"/>
      <c r="HO119" s="31"/>
      <c r="HP119" s="31"/>
      <c r="HQ119" s="31"/>
      <c r="HR119" s="31"/>
      <c r="HS119" s="31"/>
      <c r="HT119" s="31"/>
      <c r="HU119" s="31"/>
      <c r="HV119" s="31"/>
      <c r="HW119" s="31"/>
      <c r="HX119" s="31"/>
      <c r="HY119" s="31"/>
      <c r="HZ119" s="31"/>
      <c r="IA119" s="31"/>
      <c r="IB119" s="31"/>
      <c r="IC119" s="31"/>
      <c r="ID119" s="31"/>
      <c r="IE119" s="31"/>
      <c r="IF119" s="31"/>
      <c r="IG119" s="31"/>
      <c r="IH119" s="31"/>
      <c r="II119" s="31"/>
      <c r="IJ119" s="31"/>
      <c r="IK119" s="31"/>
      <c r="IL119" s="31"/>
      <c r="IM119" s="31"/>
      <c r="IN119" s="31"/>
      <c r="IO119" s="31"/>
      <c r="IP119" s="31"/>
      <c r="IQ119" s="31"/>
      <c r="IR119" s="31"/>
      <c r="IS119" s="31"/>
      <c r="IT119" s="31"/>
      <c r="IU119" s="31"/>
      <c r="IV119" s="31"/>
      <c r="IW119" s="31"/>
    </row>
    <row r="120" spans="1:257" ht="16.5" customHeight="1" x14ac:dyDescent="0.3">
      <c r="A120" s="156">
        <v>103</v>
      </c>
      <c r="B120" s="122" t="s">
        <v>75</v>
      </c>
      <c r="C120" s="120" t="s">
        <v>142</v>
      </c>
      <c r="D120" s="44">
        <v>63100596.149999999</v>
      </c>
      <c r="E120" s="44"/>
      <c r="F120" s="44">
        <v>32460600.059999999</v>
      </c>
      <c r="G120" s="44">
        <v>3592071.11</v>
      </c>
      <c r="H120" s="55"/>
      <c r="I120" s="53"/>
      <c r="J120" s="53">
        <v>99153267.319999993</v>
      </c>
      <c r="K120" s="53">
        <v>2475422.4</v>
      </c>
      <c r="L120" s="44">
        <v>1056794.05</v>
      </c>
      <c r="M120" s="54">
        <v>-974100.07</v>
      </c>
      <c r="N120" s="44">
        <v>113937160.61</v>
      </c>
      <c r="O120" s="44">
        <v>1026856.29</v>
      </c>
      <c r="P120" s="224">
        <v>113884004.40000001</v>
      </c>
      <c r="Q120" s="48">
        <f t="shared" si="56"/>
        <v>8.8139728986472428E-5</v>
      </c>
      <c r="R120" s="111">
        <v>112910304.33</v>
      </c>
      <c r="S120" s="48">
        <f t="shared" si="51"/>
        <v>3.8472380935951869E-3</v>
      </c>
      <c r="T120" s="49">
        <f t="shared" si="58"/>
        <v>-8.5499282812363745E-3</v>
      </c>
      <c r="U120" s="87">
        <f t="shared" si="59"/>
        <v>9.3595890673656822E-3</v>
      </c>
      <c r="V120" s="50">
        <f>M120/R120</f>
        <v>-8.6272025904121485E-3</v>
      </c>
      <c r="W120" s="51">
        <f t="shared" si="60"/>
        <v>1.2567184399369375</v>
      </c>
      <c r="X120" s="51">
        <f>M120/AB120</f>
        <v>-1.084196458044266E-2</v>
      </c>
      <c r="Y120" s="44">
        <v>1.2479</v>
      </c>
      <c r="Z120" s="44">
        <v>1.2630999999999999</v>
      </c>
      <c r="AA120" s="52">
        <v>88</v>
      </c>
      <c r="AB120" s="158">
        <v>89845347.010000005</v>
      </c>
      <c r="AC120" s="13"/>
      <c r="AD120" s="4"/>
      <c r="AE120" s="4"/>
      <c r="AF120" s="4"/>
      <c r="AG120" s="5"/>
      <c r="AH120" s="6"/>
      <c r="AI120" s="6"/>
      <c r="AJ120" s="6"/>
      <c r="AK120" s="7"/>
      <c r="AL120" s="5"/>
      <c r="AM120" s="6"/>
      <c r="AN120" s="6"/>
      <c r="AO120" s="6"/>
      <c r="AP120" s="7"/>
      <c r="AQ120" s="5"/>
      <c r="AR120" s="6"/>
      <c r="AS120" s="6"/>
      <c r="AT120" s="6"/>
      <c r="AU120" s="7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1"/>
      <c r="BI120" s="31"/>
      <c r="BJ120" s="31"/>
      <c r="BK120" s="31"/>
      <c r="BL120" s="31"/>
      <c r="BM120" s="31"/>
      <c r="BN120" s="31"/>
      <c r="BO120" s="31"/>
      <c r="BP120" s="31"/>
      <c r="BQ120" s="31"/>
      <c r="BR120" s="31"/>
      <c r="BS120" s="31"/>
      <c r="BT120" s="31"/>
      <c r="BU120" s="31"/>
      <c r="BV120" s="31"/>
      <c r="BW120" s="31"/>
      <c r="BX120" s="31"/>
      <c r="BY120" s="31"/>
      <c r="BZ120" s="31"/>
      <c r="CA120" s="31"/>
      <c r="CB120" s="31"/>
      <c r="CC120" s="31"/>
      <c r="CD120" s="31"/>
      <c r="CE120" s="31"/>
      <c r="CF120" s="31"/>
      <c r="CG120" s="31"/>
      <c r="CH120" s="31"/>
      <c r="CI120" s="31"/>
      <c r="CJ120" s="31"/>
      <c r="CK120" s="31"/>
      <c r="CL120" s="31"/>
      <c r="CM120" s="31"/>
      <c r="CN120" s="31"/>
      <c r="CO120" s="31"/>
      <c r="CP120" s="31"/>
      <c r="CQ120" s="31"/>
      <c r="CR120" s="31"/>
      <c r="CS120" s="31"/>
      <c r="CT120" s="31"/>
      <c r="CU120" s="31"/>
      <c r="CV120" s="31"/>
      <c r="CW120" s="31"/>
      <c r="CX120" s="31"/>
      <c r="CY120" s="31"/>
      <c r="CZ120" s="31"/>
      <c r="DA120" s="31"/>
      <c r="DB120" s="31"/>
      <c r="DC120" s="31"/>
      <c r="DD120" s="31"/>
      <c r="DE120" s="31"/>
      <c r="DF120" s="31"/>
      <c r="DG120" s="31"/>
      <c r="DH120" s="31"/>
      <c r="DI120" s="31"/>
      <c r="DJ120" s="31"/>
      <c r="DK120" s="31"/>
      <c r="DL120" s="31"/>
      <c r="DM120" s="31"/>
      <c r="DN120" s="31"/>
      <c r="DO120" s="31"/>
      <c r="DP120" s="31"/>
      <c r="DQ120" s="31"/>
      <c r="DR120" s="31"/>
      <c r="DS120" s="31"/>
      <c r="DT120" s="31"/>
      <c r="DU120" s="31"/>
      <c r="DV120" s="31"/>
      <c r="DW120" s="31"/>
      <c r="DX120" s="31"/>
      <c r="DY120" s="31"/>
      <c r="DZ120" s="31"/>
      <c r="EA120" s="31"/>
      <c r="EB120" s="31"/>
      <c r="EC120" s="31"/>
      <c r="ED120" s="31"/>
      <c r="EE120" s="31"/>
      <c r="EF120" s="31"/>
      <c r="EG120" s="31"/>
      <c r="EH120" s="31"/>
      <c r="EI120" s="31"/>
      <c r="EJ120" s="31"/>
      <c r="EK120" s="31"/>
      <c r="EL120" s="31"/>
      <c r="EM120" s="31"/>
      <c r="EN120" s="31"/>
      <c r="EO120" s="31"/>
      <c r="EP120" s="31"/>
      <c r="EQ120" s="31"/>
      <c r="ER120" s="31"/>
      <c r="ES120" s="31"/>
      <c r="ET120" s="31"/>
      <c r="EU120" s="31"/>
      <c r="EV120" s="31"/>
      <c r="EW120" s="31"/>
      <c r="EX120" s="31"/>
      <c r="EY120" s="31"/>
      <c r="EZ120" s="31"/>
      <c r="FA120" s="31"/>
      <c r="FB120" s="31"/>
      <c r="FC120" s="31"/>
      <c r="FD120" s="31"/>
      <c r="FE120" s="31"/>
      <c r="FF120" s="31"/>
      <c r="FG120" s="31"/>
      <c r="FH120" s="31"/>
      <c r="FI120" s="31"/>
      <c r="FJ120" s="31"/>
      <c r="FK120" s="31"/>
      <c r="FL120" s="31"/>
      <c r="FM120" s="31"/>
      <c r="FN120" s="31"/>
      <c r="FO120" s="31"/>
      <c r="FP120" s="31"/>
      <c r="FQ120" s="31"/>
      <c r="FR120" s="31"/>
      <c r="FS120" s="31"/>
      <c r="FT120" s="31"/>
      <c r="FU120" s="31"/>
      <c r="FV120" s="31"/>
      <c r="FW120" s="31"/>
      <c r="FX120" s="31"/>
      <c r="FY120" s="31"/>
      <c r="FZ120" s="31"/>
      <c r="GA120" s="31"/>
      <c r="GB120" s="31"/>
      <c r="GC120" s="31"/>
      <c r="GD120" s="31"/>
      <c r="GE120" s="31"/>
      <c r="GF120" s="31"/>
      <c r="GG120" s="31"/>
      <c r="GH120" s="31"/>
      <c r="GI120" s="31"/>
      <c r="GJ120" s="31"/>
      <c r="GK120" s="31"/>
      <c r="GL120" s="31"/>
      <c r="GM120" s="31"/>
      <c r="GN120" s="31"/>
      <c r="GO120" s="31"/>
      <c r="GP120" s="31"/>
      <c r="GQ120" s="31"/>
      <c r="GR120" s="31"/>
      <c r="GS120" s="31"/>
      <c r="GT120" s="31"/>
      <c r="GU120" s="31"/>
      <c r="GV120" s="31"/>
      <c r="GW120" s="31"/>
      <c r="GX120" s="31"/>
      <c r="GY120" s="31"/>
      <c r="GZ120" s="31"/>
      <c r="HA120" s="31"/>
      <c r="HB120" s="31"/>
      <c r="HC120" s="31"/>
      <c r="HD120" s="31"/>
      <c r="HE120" s="31"/>
      <c r="HF120" s="31"/>
      <c r="HG120" s="31"/>
      <c r="HH120" s="31"/>
      <c r="HI120" s="31"/>
      <c r="HJ120" s="31"/>
      <c r="HK120" s="31"/>
      <c r="HL120" s="31"/>
      <c r="HM120" s="31"/>
      <c r="HN120" s="31"/>
      <c r="HO120" s="31"/>
      <c r="HP120" s="31"/>
      <c r="HQ120" s="31"/>
      <c r="HR120" s="31"/>
      <c r="HS120" s="31"/>
      <c r="HT120" s="31"/>
      <c r="HU120" s="31"/>
      <c r="HV120" s="31"/>
      <c r="HW120" s="31"/>
      <c r="HX120" s="31"/>
      <c r="HY120" s="31"/>
      <c r="HZ120" s="31"/>
      <c r="IA120" s="31"/>
      <c r="IB120" s="31"/>
      <c r="IC120" s="31"/>
      <c r="ID120" s="31"/>
      <c r="IE120" s="31"/>
      <c r="IF120" s="31"/>
      <c r="IG120" s="31"/>
      <c r="IH120" s="31"/>
      <c r="II120" s="31"/>
      <c r="IJ120" s="31"/>
      <c r="IK120" s="31"/>
      <c r="IL120" s="31"/>
      <c r="IM120" s="31"/>
      <c r="IN120" s="31"/>
      <c r="IO120" s="31"/>
      <c r="IP120" s="31"/>
      <c r="IQ120" s="31"/>
      <c r="IR120" s="31"/>
      <c r="IS120" s="31"/>
      <c r="IT120" s="31"/>
      <c r="IU120" s="31"/>
      <c r="IV120" s="31"/>
      <c r="IW120" s="31"/>
    </row>
    <row r="121" spans="1:257" ht="16.5" customHeight="1" x14ac:dyDescent="0.3">
      <c r="A121" s="156">
        <v>104</v>
      </c>
      <c r="B121" s="122" t="s">
        <v>66</v>
      </c>
      <c r="C121" s="86" t="s">
        <v>144</v>
      </c>
      <c r="D121" s="44">
        <v>52596544.149999999</v>
      </c>
      <c r="E121" s="44"/>
      <c r="F121" s="44"/>
      <c r="G121" s="44"/>
      <c r="H121" s="55"/>
      <c r="I121" s="53"/>
      <c r="J121" s="53">
        <v>52596544.149999999</v>
      </c>
      <c r="K121" s="53">
        <v>1538175.77</v>
      </c>
      <c r="L121" s="44">
        <v>325515.27</v>
      </c>
      <c r="M121" s="54">
        <v>1212660.5</v>
      </c>
      <c r="N121" s="44">
        <v>223136874.80000001</v>
      </c>
      <c r="O121" s="44">
        <v>3770926.93</v>
      </c>
      <c r="P121" s="224">
        <v>225802615.19999999</v>
      </c>
      <c r="Q121" s="48">
        <f t="shared" si="56"/>
        <v>1.7475835533725505E-4</v>
      </c>
      <c r="R121" s="111">
        <v>221550629.34</v>
      </c>
      <c r="S121" s="48">
        <f t="shared" si="51"/>
        <v>7.5489834689106052E-3</v>
      </c>
      <c r="T121" s="49">
        <f t="shared" si="58"/>
        <v>-1.8830543021983497E-2</v>
      </c>
      <c r="U121" s="87">
        <f t="shared" si="59"/>
        <v>1.4692590626788603E-3</v>
      </c>
      <c r="V121" s="50">
        <f>M121/R121</f>
        <v>5.4735141290842611E-3</v>
      </c>
      <c r="W121" s="51">
        <f t="shared" si="60"/>
        <v>145.19874203391697</v>
      </c>
      <c r="X121" s="51">
        <f>M121/AB121</f>
        <v>0.7947473660479053</v>
      </c>
      <c r="Y121" s="44">
        <v>142.35</v>
      </c>
      <c r="Z121" s="44">
        <v>143.37</v>
      </c>
      <c r="AA121" s="52">
        <v>39</v>
      </c>
      <c r="AB121" s="158">
        <v>1525844</v>
      </c>
      <c r="AC121" s="13"/>
      <c r="AD121" s="4"/>
      <c r="AE121" s="4"/>
      <c r="AF121" s="4"/>
      <c r="AG121" s="5"/>
      <c r="AH121" s="6"/>
      <c r="AI121" s="6"/>
      <c r="AJ121" s="6"/>
      <c r="AK121" s="7"/>
      <c r="AL121" s="5"/>
      <c r="AM121" s="6"/>
      <c r="AN121" s="6"/>
      <c r="AO121" s="6"/>
      <c r="AP121" s="7"/>
      <c r="AQ121" s="5"/>
      <c r="AR121" s="6"/>
      <c r="AS121" s="6"/>
      <c r="AT121" s="6"/>
      <c r="AU121" s="7"/>
      <c r="AV121" s="31"/>
      <c r="AW121" s="31"/>
      <c r="AX121" s="31"/>
      <c r="AY121" s="31"/>
      <c r="AZ121" s="31"/>
      <c r="BA121" s="31"/>
      <c r="BB121" s="31"/>
      <c r="BC121" s="31"/>
      <c r="BD121" s="31"/>
      <c r="BE121" s="31"/>
      <c r="BF121" s="31"/>
      <c r="BG121" s="31"/>
      <c r="BH121" s="31"/>
      <c r="BI121" s="31"/>
      <c r="BJ121" s="31"/>
      <c r="BK121" s="31"/>
      <c r="BL121" s="31"/>
      <c r="BM121" s="31"/>
      <c r="BN121" s="31"/>
      <c r="BO121" s="31"/>
      <c r="BP121" s="31"/>
      <c r="BQ121" s="31"/>
      <c r="BR121" s="31"/>
      <c r="BS121" s="31"/>
      <c r="BT121" s="31"/>
      <c r="BU121" s="31"/>
      <c r="BV121" s="31"/>
      <c r="BW121" s="31"/>
      <c r="BX121" s="31"/>
      <c r="BY121" s="31"/>
      <c r="BZ121" s="31"/>
      <c r="CA121" s="31"/>
      <c r="CB121" s="31"/>
      <c r="CC121" s="31"/>
      <c r="CD121" s="31"/>
      <c r="CE121" s="31"/>
      <c r="CF121" s="31"/>
      <c r="CG121" s="31"/>
      <c r="CH121" s="31"/>
      <c r="CI121" s="31"/>
      <c r="CJ121" s="31"/>
      <c r="CK121" s="31"/>
      <c r="CL121" s="31"/>
      <c r="CM121" s="31"/>
      <c r="CN121" s="31"/>
      <c r="CO121" s="31"/>
      <c r="CP121" s="31"/>
      <c r="CQ121" s="31"/>
      <c r="CR121" s="31"/>
      <c r="CS121" s="31"/>
      <c r="CT121" s="31"/>
      <c r="CU121" s="31"/>
      <c r="CV121" s="31"/>
      <c r="CW121" s="31"/>
      <c r="CX121" s="31"/>
      <c r="CY121" s="31"/>
      <c r="CZ121" s="31"/>
      <c r="DA121" s="31"/>
      <c r="DB121" s="31"/>
      <c r="DC121" s="31"/>
      <c r="DD121" s="31"/>
      <c r="DE121" s="31"/>
      <c r="DF121" s="31"/>
      <c r="DG121" s="31"/>
      <c r="DH121" s="31"/>
      <c r="DI121" s="31"/>
      <c r="DJ121" s="31"/>
      <c r="DK121" s="31"/>
      <c r="DL121" s="31"/>
      <c r="DM121" s="31"/>
      <c r="DN121" s="31"/>
      <c r="DO121" s="31"/>
      <c r="DP121" s="31"/>
      <c r="DQ121" s="31"/>
      <c r="DR121" s="31"/>
      <c r="DS121" s="31"/>
      <c r="DT121" s="31"/>
      <c r="DU121" s="31"/>
      <c r="DV121" s="31"/>
      <c r="DW121" s="31"/>
      <c r="DX121" s="31"/>
      <c r="DY121" s="31"/>
      <c r="DZ121" s="31"/>
      <c r="EA121" s="31"/>
      <c r="EB121" s="31"/>
      <c r="EC121" s="31"/>
      <c r="ED121" s="31"/>
      <c r="EE121" s="31"/>
      <c r="EF121" s="31"/>
      <c r="EG121" s="31"/>
      <c r="EH121" s="31"/>
      <c r="EI121" s="31"/>
      <c r="EJ121" s="31"/>
      <c r="EK121" s="31"/>
      <c r="EL121" s="31"/>
      <c r="EM121" s="31"/>
      <c r="EN121" s="31"/>
      <c r="EO121" s="31"/>
      <c r="EP121" s="31"/>
      <c r="EQ121" s="31"/>
      <c r="ER121" s="31"/>
      <c r="ES121" s="31"/>
      <c r="ET121" s="31"/>
      <c r="EU121" s="31"/>
      <c r="EV121" s="31"/>
      <c r="EW121" s="31"/>
      <c r="EX121" s="31"/>
      <c r="EY121" s="31"/>
      <c r="EZ121" s="31"/>
      <c r="FA121" s="31"/>
      <c r="FB121" s="31"/>
      <c r="FC121" s="31"/>
      <c r="FD121" s="31"/>
      <c r="FE121" s="31"/>
      <c r="FF121" s="31"/>
      <c r="FG121" s="31"/>
      <c r="FH121" s="31"/>
      <c r="FI121" s="31"/>
      <c r="FJ121" s="31"/>
      <c r="FK121" s="31"/>
      <c r="FL121" s="31"/>
      <c r="FM121" s="31"/>
      <c r="FN121" s="31"/>
      <c r="FO121" s="31"/>
      <c r="FP121" s="31"/>
      <c r="FQ121" s="31"/>
      <c r="FR121" s="31"/>
      <c r="FS121" s="31"/>
      <c r="FT121" s="31"/>
      <c r="FU121" s="31"/>
      <c r="FV121" s="31"/>
      <c r="FW121" s="31"/>
      <c r="FX121" s="31"/>
      <c r="FY121" s="31"/>
      <c r="FZ121" s="31"/>
      <c r="GA121" s="31"/>
      <c r="GB121" s="31"/>
      <c r="GC121" s="31"/>
      <c r="GD121" s="31"/>
      <c r="GE121" s="31"/>
      <c r="GF121" s="31"/>
      <c r="GG121" s="31"/>
      <c r="GH121" s="31"/>
      <c r="GI121" s="31"/>
      <c r="GJ121" s="31"/>
      <c r="GK121" s="31"/>
      <c r="GL121" s="31"/>
      <c r="GM121" s="31"/>
      <c r="GN121" s="31"/>
      <c r="GO121" s="31"/>
      <c r="GP121" s="31"/>
      <c r="GQ121" s="31"/>
      <c r="GR121" s="31"/>
      <c r="GS121" s="31"/>
      <c r="GT121" s="31"/>
      <c r="GU121" s="31"/>
      <c r="GV121" s="31"/>
      <c r="GW121" s="31"/>
      <c r="GX121" s="31"/>
      <c r="GY121" s="31"/>
      <c r="GZ121" s="31"/>
      <c r="HA121" s="31"/>
      <c r="HB121" s="31"/>
      <c r="HC121" s="31"/>
      <c r="HD121" s="31"/>
      <c r="HE121" s="31"/>
      <c r="HF121" s="31"/>
      <c r="HG121" s="31"/>
      <c r="HH121" s="31"/>
      <c r="HI121" s="31"/>
      <c r="HJ121" s="31"/>
      <c r="HK121" s="31"/>
      <c r="HL121" s="31"/>
      <c r="HM121" s="31"/>
      <c r="HN121" s="31"/>
      <c r="HO121" s="31"/>
      <c r="HP121" s="31"/>
      <c r="HQ121" s="31"/>
      <c r="HR121" s="31"/>
      <c r="HS121" s="31"/>
      <c r="HT121" s="31"/>
      <c r="HU121" s="31"/>
      <c r="HV121" s="31"/>
      <c r="HW121" s="31"/>
      <c r="HX121" s="31"/>
      <c r="HY121" s="31"/>
      <c r="HZ121" s="31"/>
      <c r="IA121" s="31"/>
      <c r="IB121" s="31"/>
      <c r="IC121" s="31"/>
      <c r="ID121" s="31"/>
      <c r="IE121" s="31"/>
      <c r="IF121" s="31"/>
      <c r="IG121" s="31"/>
      <c r="IH121" s="31"/>
      <c r="II121" s="31"/>
      <c r="IJ121" s="31"/>
      <c r="IK121" s="31"/>
      <c r="IL121" s="31"/>
      <c r="IM121" s="31"/>
      <c r="IN121" s="31"/>
      <c r="IO121" s="31"/>
      <c r="IP121" s="31"/>
      <c r="IQ121" s="31"/>
      <c r="IR121" s="31"/>
      <c r="IS121" s="31"/>
      <c r="IT121" s="31"/>
      <c r="IU121" s="31"/>
      <c r="IV121" s="31"/>
      <c r="IW121" s="31"/>
    </row>
    <row r="122" spans="1:257" ht="16.5" customHeight="1" x14ac:dyDescent="0.3">
      <c r="A122" s="156">
        <v>105</v>
      </c>
      <c r="B122" s="120" t="s">
        <v>60</v>
      </c>
      <c r="C122" s="120" t="s">
        <v>137</v>
      </c>
      <c r="D122" s="44">
        <v>78764103.430000007</v>
      </c>
      <c r="E122" s="44"/>
      <c r="F122" s="44">
        <v>46065276.619999997</v>
      </c>
      <c r="G122" s="44">
        <v>34722108.079999998</v>
      </c>
      <c r="H122" s="55"/>
      <c r="I122" s="53"/>
      <c r="J122" s="53">
        <v>113486211.51000001</v>
      </c>
      <c r="K122" s="53">
        <v>1141231.8700000001</v>
      </c>
      <c r="L122" s="44">
        <v>340462.29</v>
      </c>
      <c r="M122" s="54">
        <v>167756.47</v>
      </c>
      <c r="N122" s="44">
        <v>160543966.21000001</v>
      </c>
      <c r="O122" s="44">
        <v>9609940.1999999993</v>
      </c>
      <c r="P122" s="224">
        <v>149121610.91999999</v>
      </c>
      <c r="Q122" s="48">
        <f t="shared" si="56"/>
        <v>1.1541162818924362E-4</v>
      </c>
      <c r="R122" s="111">
        <v>150943026.00999999</v>
      </c>
      <c r="S122" s="48">
        <f t="shared" si="51"/>
        <v>5.1431422762883011E-3</v>
      </c>
      <c r="T122" s="49">
        <f t="shared" ref="T122:T123" si="62">((R122-P122)/P122)</f>
        <v>1.2214293278907423E-2</v>
      </c>
      <c r="U122" s="87">
        <f t="shared" ref="U122:U123" si="63">(L122/R122)</f>
        <v>2.2555682034454795E-3</v>
      </c>
      <c r="V122" s="50">
        <f t="shared" ref="V122:V123" si="64">M122/R122</f>
        <v>1.1113893396365734E-3</v>
      </c>
      <c r="W122" s="51">
        <f t="shared" ref="W122:W123" si="65">R122/AB122</f>
        <v>3.4406398693511973</v>
      </c>
      <c r="X122" s="51">
        <f t="shared" ref="X122:X123" si="66">M122/AB122</f>
        <v>3.8238904723254929E-3</v>
      </c>
      <c r="Y122" s="44">
        <v>3.3639999999999999</v>
      </c>
      <c r="Z122" s="44">
        <v>3.4260000000000002</v>
      </c>
      <c r="AA122" s="52">
        <v>11819</v>
      </c>
      <c r="AB122" s="158">
        <v>43870626.32</v>
      </c>
      <c r="AC122" s="13"/>
      <c r="AD122" s="4"/>
      <c r="AE122" s="4"/>
      <c r="AF122" s="4"/>
      <c r="AG122" s="5"/>
      <c r="AH122" s="6"/>
      <c r="AI122" s="6"/>
      <c r="AJ122" s="6"/>
      <c r="AK122" s="7"/>
      <c r="AL122" s="5"/>
      <c r="AM122" s="6"/>
      <c r="AN122" s="6"/>
      <c r="AO122" s="6"/>
      <c r="AP122" s="7"/>
      <c r="AQ122" s="5"/>
      <c r="AR122" s="6"/>
      <c r="AS122" s="6"/>
      <c r="AT122" s="6"/>
      <c r="AU122" s="7"/>
      <c r="AV122" s="31"/>
      <c r="AW122" s="31"/>
      <c r="AX122" s="31"/>
      <c r="AY122" s="31"/>
      <c r="AZ122" s="31"/>
      <c r="BA122" s="31"/>
      <c r="BB122" s="31"/>
      <c r="BC122" s="31"/>
      <c r="BD122" s="31"/>
      <c r="BE122" s="31"/>
      <c r="BF122" s="31"/>
      <c r="BG122" s="31"/>
      <c r="BH122" s="31"/>
      <c r="BI122" s="31"/>
      <c r="BJ122" s="31"/>
      <c r="BK122" s="31"/>
      <c r="BL122" s="31"/>
      <c r="BM122" s="31"/>
      <c r="BN122" s="31"/>
      <c r="BO122" s="31"/>
      <c r="BP122" s="31"/>
      <c r="BQ122" s="31"/>
      <c r="BR122" s="31"/>
      <c r="BS122" s="31"/>
      <c r="BT122" s="31"/>
      <c r="BU122" s="31"/>
      <c r="BV122" s="31"/>
      <c r="BW122" s="31"/>
      <c r="BX122" s="31"/>
      <c r="BY122" s="31"/>
      <c r="BZ122" s="31"/>
      <c r="CA122" s="31"/>
      <c r="CB122" s="31"/>
      <c r="CC122" s="31"/>
      <c r="CD122" s="31"/>
      <c r="CE122" s="31"/>
      <c r="CF122" s="31"/>
      <c r="CG122" s="31"/>
      <c r="CH122" s="31"/>
      <c r="CI122" s="31"/>
      <c r="CJ122" s="31"/>
      <c r="CK122" s="31"/>
      <c r="CL122" s="31"/>
      <c r="CM122" s="31"/>
      <c r="CN122" s="31"/>
      <c r="CO122" s="31"/>
      <c r="CP122" s="31"/>
      <c r="CQ122" s="31"/>
      <c r="CR122" s="31"/>
      <c r="CS122" s="31"/>
      <c r="CT122" s="31"/>
      <c r="CU122" s="31"/>
      <c r="CV122" s="31"/>
      <c r="CW122" s="31"/>
      <c r="CX122" s="31"/>
      <c r="CY122" s="31"/>
      <c r="CZ122" s="31"/>
      <c r="DA122" s="31"/>
      <c r="DB122" s="31"/>
      <c r="DC122" s="31"/>
      <c r="DD122" s="31"/>
      <c r="DE122" s="31"/>
      <c r="DF122" s="31"/>
      <c r="DG122" s="31"/>
      <c r="DH122" s="31"/>
      <c r="DI122" s="31"/>
      <c r="DJ122" s="31"/>
      <c r="DK122" s="31"/>
      <c r="DL122" s="31"/>
      <c r="DM122" s="31"/>
      <c r="DN122" s="31"/>
      <c r="DO122" s="31"/>
      <c r="DP122" s="31"/>
      <c r="DQ122" s="31"/>
      <c r="DR122" s="31"/>
      <c r="DS122" s="31"/>
      <c r="DT122" s="31"/>
      <c r="DU122" s="31"/>
      <c r="DV122" s="31"/>
      <c r="DW122" s="31"/>
      <c r="DX122" s="31"/>
      <c r="DY122" s="31"/>
      <c r="DZ122" s="31"/>
      <c r="EA122" s="31"/>
      <c r="EB122" s="31"/>
      <c r="EC122" s="31"/>
      <c r="ED122" s="31"/>
      <c r="EE122" s="31"/>
      <c r="EF122" s="31"/>
      <c r="EG122" s="31"/>
      <c r="EH122" s="31"/>
      <c r="EI122" s="31"/>
      <c r="EJ122" s="31"/>
      <c r="EK122" s="31"/>
      <c r="EL122" s="31"/>
      <c r="EM122" s="31"/>
      <c r="EN122" s="31"/>
      <c r="EO122" s="31"/>
      <c r="EP122" s="31"/>
      <c r="EQ122" s="31"/>
      <c r="ER122" s="31"/>
      <c r="ES122" s="31"/>
      <c r="ET122" s="31"/>
      <c r="EU122" s="31"/>
      <c r="EV122" s="31"/>
      <c r="EW122" s="31"/>
      <c r="EX122" s="31"/>
      <c r="EY122" s="31"/>
      <c r="EZ122" s="31"/>
      <c r="FA122" s="31"/>
      <c r="FB122" s="31"/>
      <c r="FC122" s="31"/>
      <c r="FD122" s="31"/>
      <c r="FE122" s="31"/>
      <c r="FF122" s="31"/>
      <c r="FG122" s="31"/>
      <c r="FH122" s="31"/>
      <c r="FI122" s="31"/>
      <c r="FJ122" s="31"/>
      <c r="FK122" s="31"/>
      <c r="FL122" s="31"/>
      <c r="FM122" s="31"/>
      <c r="FN122" s="31"/>
      <c r="FO122" s="31"/>
      <c r="FP122" s="31"/>
      <c r="FQ122" s="31"/>
      <c r="FR122" s="31"/>
      <c r="FS122" s="31"/>
      <c r="FT122" s="31"/>
      <c r="FU122" s="31"/>
      <c r="FV122" s="31"/>
      <c r="FW122" s="31"/>
      <c r="FX122" s="31"/>
      <c r="FY122" s="31"/>
      <c r="FZ122" s="31"/>
      <c r="GA122" s="31"/>
      <c r="GB122" s="31"/>
      <c r="GC122" s="31"/>
      <c r="GD122" s="31"/>
      <c r="GE122" s="31"/>
      <c r="GF122" s="31"/>
      <c r="GG122" s="31"/>
      <c r="GH122" s="31"/>
      <c r="GI122" s="31"/>
      <c r="GJ122" s="31"/>
      <c r="GK122" s="31"/>
      <c r="GL122" s="31"/>
      <c r="GM122" s="31"/>
      <c r="GN122" s="31"/>
      <c r="GO122" s="31"/>
      <c r="GP122" s="31"/>
      <c r="GQ122" s="31"/>
      <c r="GR122" s="31"/>
      <c r="GS122" s="31"/>
      <c r="GT122" s="31"/>
      <c r="GU122" s="31"/>
      <c r="GV122" s="31"/>
      <c r="GW122" s="31"/>
      <c r="GX122" s="31"/>
      <c r="GY122" s="31"/>
      <c r="GZ122" s="31"/>
      <c r="HA122" s="31"/>
      <c r="HB122" s="31"/>
      <c r="HC122" s="31"/>
      <c r="HD122" s="31"/>
      <c r="HE122" s="31"/>
      <c r="HF122" s="31"/>
      <c r="HG122" s="31"/>
      <c r="HH122" s="31"/>
      <c r="HI122" s="31"/>
      <c r="HJ122" s="31"/>
      <c r="HK122" s="31"/>
      <c r="HL122" s="31"/>
      <c r="HM122" s="31"/>
      <c r="HN122" s="31"/>
      <c r="HO122" s="31"/>
      <c r="HP122" s="31"/>
      <c r="HQ122" s="31"/>
      <c r="HR122" s="31"/>
      <c r="HS122" s="31"/>
      <c r="HT122" s="31"/>
      <c r="HU122" s="31"/>
      <c r="HV122" s="31"/>
      <c r="HW122" s="31"/>
      <c r="HX122" s="31"/>
      <c r="HY122" s="31"/>
      <c r="HZ122" s="31"/>
      <c r="IA122" s="31"/>
      <c r="IB122" s="31"/>
      <c r="IC122" s="31"/>
      <c r="ID122" s="31"/>
      <c r="IE122" s="31"/>
      <c r="IF122" s="31"/>
      <c r="IG122" s="31"/>
      <c r="IH122" s="31"/>
      <c r="II122" s="31"/>
      <c r="IJ122" s="31"/>
      <c r="IK122" s="31"/>
      <c r="IL122" s="31"/>
      <c r="IM122" s="31"/>
      <c r="IN122" s="31"/>
      <c r="IO122" s="31"/>
      <c r="IP122" s="31"/>
      <c r="IQ122" s="31"/>
      <c r="IR122" s="31"/>
      <c r="IS122" s="31"/>
      <c r="IT122" s="31"/>
      <c r="IU122" s="31"/>
      <c r="IV122" s="31"/>
      <c r="IW122" s="31"/>
    </row>
    <row r="123" spans="1:257" ht="16.5" customHeight="1" x14ac:dyDescent="0.3">
      <c r="A123" s="156">
        <v>106</v>
      </c>
      <c r="B123" s="122" t="s">
        <v>68</v>
      </c>
      <c r="C123" s="86" t="s">
        <v>143</v>
      </c>
      <c r="D123" s="44">
        <v>133543503.03</v>
      </c>
      <c r="E123" s="44"/>
      <c r="F123" s="44"/>
      <c r="G123" s="44">
        <v>128922229.62</v>
      </c>
      <c r="H123" s="55"/>
      <c r="I123" s="53"/>
      <c r="J123" s="53">
        <v>262465732.65000001</v>
      </c>
      <c r="K123" s="53">
        <v>1851733.63</v>
      </c>
      <c r="L123" s="44">
        <v>643685.46</v>
      </c>
      <c r="M123" s="54">
        <v>1208048.17</v>
      </c>
      <c r="N123" s="44">
        <v>349804057.83999997</v>
      </c>
      <c r="O123" s="44">
        <v>7230254.71</v>
      </c>
      <c r="P123" s="224">
        <v>326465794.87</v>
      </c>
      <c r="Q123" s="48">
        <f t="shared" si="56"/>
        <v>2.5266591945721133E-4</v>
      </c>
      <c r="R123" s="111">
        <v>342573803.13</v>
      </c>
      <c r="S123" s="48">
        <f t="shared" si="51"/>
        <v>1.1672654618107644E-2</v>
      </c>
      <c r="T123" s="49">
        <f t="shared" si="62"/>
        <v>4.9340569557721245E-2</v>
      </c>
      <c r="U123" s="87">
        <f t="shared" si="63"/>
        <v>1.8789687189120355E-3</v>
      </c>
      <c r="V123" s="50">
        <f t="shared" si="64"/>
        <v>3.5263880628419492E-3</v>
      </c>
      <c r="W123" s="51">
        <f t="shared" si="65"/>
        <v>133.59391330238523</v>
      </c>
      <c r="X123" s="51">
        <f t="shared" si="66"/>
        <v>0.4711039811378735</v>
      </c>
      <c r="Y123" s="44">
        <v>132.22</v>
      </c>
      <c r="Z123" s="44">
        <v>133.03</v>
      </c>
      <c r="AA123" s="52">
        <f>569+3+29</f>
        <v>601</v>
      </c>
      <c r="AB123" s="158">
        <v>2564292</v>
      </c>
      <c r="AC123" s="13"/>
      <c r="AD123" s="4"/>
      <c r="AE123" s="4"/>
      <c r="AF123" s="4"/>
      <c r="AG123" s="5"/>
      <c r="AH123" s="6"/>
      <c r="AI123" s="6"/>
      <c r="AJ123" s="6"/>
      <c r="AK123" s="7"/>
      <c r="AL123" s="5"/>
      <c r="AM123" s="6"/>
      <c r="AN123" s="6"/>
      <c r="AO123" s="6"/>
      <c r="AP123" s="7"/>
      <c r="AQ123" s="5"/>
      <c r="AR123" s="6"/>
      <c r="AS123" s="6"/>
      <c r="AT123" s="6"/>
      <c r="AU123" s="7"/>
      <c r="AV123" s="31"/>
      <c r="AW123" s="31"/>
      <c r="AX123" s="31"/>
      <c r="AY123" s="31"/>
      <c r="AZ123" s="31"/>
      <c r="BA123" s="31"/>
      <c r="BB123" s="31"/>
      <c r="BC123" s="31"/>
      <c r="BD123" s="31"/>
      <c r="BE123" s="31"/>
      <c r="BF123" s="31"/>
      <c r="BG123" s="31"/>
      <c r="BH123" s="31"/>
      <c r="BI123" s="31"/>
      <c r="BJ123" s="31"/>
      <c r="BK123" s="31"/>
      <c r="BL123" s="31"/>
      <c r="BM123" s="31"/>
      <c r="BN123" s="31"/>
      <c r="BO123" s="31"/>
      <c r="BP123" s="31"/>
      <c r="BQ123" s="31"/>
      <c r="BR123" s="31"/>
      <c r="BS123" s="31"/>
      <c r="BT123" s="31"/>
      <c r="BU123" s="31"/>
      <c r="BV123" s="31"/>
      <c r="BW123" s="31"/>
      <c r="BX123" s="31"/>
      <c r="BY123" s="31"/>
      <c r="BZ123" s="31"/>
      <c r="CA123" s="31"/>
      <c r="CB123" s="31"/>
      <c r="CC123" s="31"/>
      <c r="CD123" s="31"/>
      <c r="CE123" s="31"/>
      <c r="CF123" s="31"/>
      <c r="CG123" s="31"/>
      <c r="CH123" s="31"/>
      <c r="CI123" s="31"/>
      <c r="CJ123" s="31"/>
      <c r="CK123" s="31"/>
      <c r="CL123" s="31"/>
      <c r="CM123" s="31"/>
      <c r="CN123" s="31"/>
      <c r="CO123" s="31"/>
      <c r="CP123" s="31"/>
      <c r="CQ123" s="31"/>
      <c r="CR123" s="31"/>
      <c r="CS123" s="31"/>
      <c r="CT123" s="31"/>
      <c r="CU123" s="31"/>
      <c r="CV123" s="31"/>
      <c r="CW123" s="31"/>
      <c r="CX123" s="31"/>
      <c r="CY123" s="31"/>
      <c r="CZ123" s="31"/>
      <c r="DA123" s="31"/>
      <c r="DB123" s="31"/>
      <c r="DC123" s="31"/>
      <c r="DD123" s="31"/>
      <c r="DE123" s="31"/>
      <c r="DF123" s="31"/>
      <c r="DG123" s="31"/>
      <c r="DH123" s="31"/>
      <c r="DI123" s="31"/>
      <c r="DJ123" s="31"/>
      <c r="DK123" s="31"/>
      <c r="DL123" s="31"/>
      <c r="DM123" s="31"/>
      <c r="DN123" s="31"/>
      <c r="DO123" s="31"/>
      <c r="DP123" s="31"/>
      <c r="DQ123" s="31"/>
      <c r="DR123" s="31"/>
      <c r="DS123" s="31"/>
      <c r="DT123" s="31"/>
      <c r="DU123" s="31"/>
      <c r="DV123" s="31"/>
      <c r="DW123" s="31"/>
      <c r="DX123" s="31"/>
      <c r="DY123" s="31"/>
      <c r="DZ123" s="31"/>
      <c r="EA123" s="31"/>
      <c r="EB123" s="31"/>
      <c r="EC123" s="31"/>
      <c r="ED123" s="31"/>
      <c r="EE123" s="31"/>
      <c r="EF123" s="31"/>
      <c r="EG123" s="31"/>
      <c r="EH123" s="31"/>
      <c r="EI123" s="31"/>
      <c r="EJ123" s="31"/>
      <c r="EK123" s="31"/>
      <c r="EL123" s="31"/>
      <c r="EM123" s="31"/>
      <c r="EN123" s="31"/>
      <c r="EO123" s="31"/>
      <c r="EP123" s="31"/>
      <c r="EQ123" s="31"/>
      <c r="ER123" s="31"/>
      <c r="ES123" s="31"/>
      <c r="ET123" s="31"/>
      <c r="EU123" s="31"/>
      <c r="EV123" s="31"/>
      <c r="EW123" s="31"/>
      <c r="EX123" s="31"/>
      <c r="EY123" s="31"/>
      <c r="EZ123" s="31"/>
      <c r="FA123" s="31"/>
      <c r="FB123" s="31"/>
      <c r="FC123" s="31"/>
      <c r="FD123" s="31"/>
      <c r="FE123" s="31"/>
      <c r="FF123" s="31"/>
      <c r="FG123" s="31"/>
      <c r="FH123" s="31"/>
      <c r="FI123" s="31"/>
      <c r="FJ123" s="31"/>
      <c r="FK123" s="31"/>
      <c r="FL123" s="31"/>
      <c r="FM123" s="31"/>
      <c r="FN123" s="31"/>
      <c r="FO123" s="31"/>
      <c r="FP123" s="31"/>
      <c r="FQ123" s="31"/>
      <c r="FR123" s="31"/>
      <c r="FS123" s="31"/>
      <c r="FT123" s="31"/>
      <c r="FU123" s="31"/>
      <c r="FV123" s="31"/>
      <c r="FW123" s="31"/>
      <c r="FX123" s="31"/>
      <c r="FY123" s="31"/>
      <c r="FZ123" s="31"/>
      <c r="GA123" s="31"/>
      <c r="GB123" s="31"/>
      <c r="GC123" s="31"/>
      <c r="GD123" s="31"/>
      <c r="GE123" s="31"/>
      <c r="GF123" s="31"/>
      <c r="GG123" s="31"/>
      <c r="GH123" s="31"/>
      <c r="GI123" s="31"/>
      <c r="GJ123" s="31"/>
      <c r="GK123" s="31"/>
      <c r="GL123" s="31"/>
      <c r="GM123" s="31"/>
      <c r="GN123" s="31"/>
      <c r="GO123" s="31"/>
      <c r="GP123" s="31"/>
      <c r="GQ123" s="31"/>
      <c r="GR123" s="31"/>
      <c r="GS123" s="31"/>
      <c r="GT123" s="31"/>
      <c r="GU123" s="31"/>
      <c r="GV123" s="31"/>
      <c r="GW123" s="31"/>
      <c r="GX123" s="31"/>
      <c r="GY123" s="31"/>
      <c r="GZ123" s="31"/>
      <c r="HA123" s="31"/>
      <c r="HB123" s="31"/>
      <c r="HC123" s="31"/>
      <c r="HD123" s="31"/>
      <c r="HE123" s="31"/>
      <c r="HF123" s="31"/>
      <c r="HG123" s="31"/>
      <c r="HH123" s="31"/>
      <c r="HI123" s="31"/>
      <c r="HJ123" s="31"/>
      <c r="HK123" s="31"/>
      <c r="HL123" s="31"/>
      <c r="HM123" s="31"/>
      <c r="HN123" s="31"/>
      <c r="HO123" s="31"/>
      <c r="HP123" s="31"/>
      <c r="HQ123" s="31"/>
      <c r="HR123" s="31"/>
      <c r="HS123" s="31"/>
      <c r="HT123" s="31"/>
      <c r="HU123" s="31"/>
      <c r="HV123" s="31"/>
      <c r="HW123" s="31"/>
      <c r="HX123" s="31"/>
      <c r="HY123" s="31"/>
      <c r="HZ123" s="31"/>
      <c r="IA123" s="31"/>
      <c r="IB123" s="31"/>
      <c r="IC123" s="31"/>
      <c r="ID123" s="31"/>
      <c r="IE123" s="31"/>
      <c r="IF123" s="31"/>
      <c r="IG123" s="31"/>
      <c r="IH123" s="31"/>
      <c r="II123" s="31"/>
      <c r="IJ123" s="31"/>
      <c r="IK123" s="31"/>
      <c r="IL123" s="31"/>
      <c r="IM123" s="31"/>
      <c r="IN123" s="31"/>
      <c r="IO123" s="31"/>
      <c r="IP123" s="31"/>
      <c r="IQ123" s="31"/>
      <c r="IR123" s="31"/>
      <c r="IS123" s="31"/>
      <c r="IT123" s="31"/>
      <c r="IU123" s="31"/>
      <c r="IV123" s="31"/>
      <c r="IW123" s="31"/>
    </row>
    <row r="124" spans="1:257" ht="16.5" customHeight="1" x14ac:dyDescent="0.3">
      <c r="A124" s="156">
        <v>107</v>
      </c>
      <c r="B124" s="235" t="s">
        <v>118</v>
      </c>
      <c r="C124" s="90" t="s">
        <v>147</v>
      </c>
      <c r="D124" s="44">
        <v>56393085.369999997</v>
      </c>
      <c r="E124" s="44"/>
      <c r="F124" s="44" t="s">
        <v>216</v>
      </c>
      <c r="G124" s="44">
        <v>25825966.850000001</v>
      </c>
      <c r="H124" s="55"/>
      <c r="I124" s="53"/>
      <c r="J124" s="53">
        <v>135758673.44999999</v>
      </c>
      <c r="K124" s="53">
        <v>2512789.09</v>
      </c>
      <c r="L124" s="44">
        <v>5208758.82</v>
      </c>
      <c r="M124" s="54">
        <v>2695969.73</v>
      </c>
      <c r="N124" s="44">
        <v>135758673.44999999</v>
      </c>
      <c r="O124" s="44">
        <v>5211396.78</v>
      </c>
      <c r="P124" s="224">
        <v>115642220.54000001</v>
      </c>
      <c r="Q124" s="48">
        <f t="shared" si="56"/>
        <v>8.9500488075474412E-5</v>
      </c>
      <c r="R124" s="111">
        <v>130547276.67</v>
      </c>
      <c r="S124" s="48">
        <f t="shared" si="51"/>
        <v>4.4481897272372201E-3</v>
      </c>
      <c r="T124" s="49">
        <f>((R124-P124)/P124)</f>
        <v>0.12888939749167491</v>
      </c>
      <c r="U124" s="87">
        <f>(L124/R124)</f>
        <v>3.9899406198773524E-2</v>
      </c>
      <c r="V124" s="50">
        <f>M124/R124</f>
        <v>2.0651290465560041E-2</v>
      </c>
      <c r="W124" s="51">
        <f>R124/AB124</f>
        <v>136.91774297042772</v>
      </c>
      <c r="X124" s="51">
        <f>M124/AB124</f>
        <v>2.8275280799711946</v>
      </c>
      <c r="Y124" s="44">
        <v>136.9177</v>
      </c>
      <c r="Z124" s="44">
        <v>142.38339999999999</v>
      </c>
      <c r="AA124" s="52">
        <v>127</v>
      </c>
      <c r="AB124" s="158">
        <v>953472.31</v>
      </c>
      <c r="AC124" s="13"/>
      <c r="AD124" s="4"/>
      <c r="AE124" s="4"/>
      <c r="AF124" s="4"/>
      <c r="AG124" s="5"/>
      <c r="AH124" s="6"/>
      <c r="AI124" s="6"/>
      <c r="AJ124" s="6"/>
      <c r="AK124" s="7"/>
      <c r="AL124" s="5"/>
      <c r="AM124" s="6"/>
      <c r="AN124" s="6"/>
      <c r="AO124" s="6"/>
      <c r="AP124" s="7"/>
      <c r="AQ124" s="5"/>
      <c r="AR124" s="6"/>
      <c r="AS124" s="6"/>
      <c r="AT124" s="6"/>
      <c r="AU124" s="7"/>
      <c r="AV124" s="31"/>
      <c r="AW124" s="31"/>
      <c r="AX124" s="31"/>
      <c r="AY124" s="31"/>
      <c r="AZ124" s="31"/>
      <c r="BA124" s="31"/>
      <c r="BB124" s="31"/>
      <c r="BC124" s="31"/>
      <c r="BD124" s="31"/>
      <c r="BE124" s="31"/>
      <c r="BF124" s="31"/>
      <c r="BG124" s="31"/>
      <c r="BH124" s="31"/>
      <c r="BI124" s="31"/>
      <c r="BJ124" s="31"/>
      <c r="BK124" s="31"/>
      <c r="BL124" s="31"/>
      <c r="BM124" s="31"/>
      <c r="BN124" s="31"/>
      <c r="BO124" s="31"/>
      <c r="BP124" s="31"/>
      <c r="BQ124" s="31"/>
      <c r="BR124" s="31"/>
      <c r="BS124" s="31"/>
      <c r="BT124" s="31"/>
      <c r="BU124" s="31"/>
      <c r="BV124" s="31"/>
      <c r="BW124" s="31"/>
      <c r="BX124" s="31"/>
      <c r="BY124" s="31"/>
      <c r="BZ124" s="31"/>
      <c r="CA124" s="31"/>
      <c r="CB124" s="31"/>
      <c r="CC124" s="31"/>
      <c r="CD124" s="31"/>
      <c r="CE124" s="31"/>
      <c r="CF124" s="31"/>
      <c r="CG124" s="31"/>
      <c r="CH124" s="31"/>
      <c r="CI124" s="31"/>
      <c r="CJ124" s="31"/>
      <c r="CK124" s="31"/>
      <c r="CL124" s="31"/>
      <c r="CM124" s="31"/>
      <c r="CN124" s="31"/>
      <c r="CO124" s="31"/>
      <c r="CP124" s="31"/>
      <c r="CQ124" s="31"/>
      <c r="CR124" s="31"/>
      <c r="CS124" s="31"/>
      <c r="CT124" s="31"/>
      <c r="CU124" s="31"/>
      <c r="CV124" s="31"/>
      <c r="CW124" s="31"/>
      <c r="CX124" s="31"/>
      <c r="CY124" s="31"/>
      <c r="CZ124" s="31"/>
      <c r="DA124" s="31"/>
      <c r="DB124" s="31"/>
      <c r="DC124" s="31"/>
      <c r="DD124" s="31"/>
      <c r="DE124" s="31"/>
      <c r="DF124" s="31"/>
      <c r="DG124" s="31"/>
      <c r="DH124" s="31"/>
      <c r="DI124" s="31"/>
      <c r="DJ124" s="31"/>
      <c r="DK124" s="31"/>
      <c r="DL124" s="31"/>
      <c r="DM124" s="31"/>
      <c r="DN124" s="31"/>
      <c r="DO124" s="31"/>
      <c r="DP124" s="31"/>
      <c r="DQ124" s="31"/>
      <c r="DR124" s="31"/>
      <c r="DS124" s="31"/>
      <c r="DT124" s="31"/>
      <c r="DU124" s="31"/>
      <c r="DV124" s="31"/>
      <c r="DW124" s="31"/>
      <c r="DX124" s="31"/>
      <c r="DY124" s="31"/>
      <c r="DZ124" s="31"/>
      <c r="EA124" s="31"/>
      <c r="EB124" s="31"/>
      <c r="EC124" s="31"/>
      <c r="ED124" s="31"/>
      <c r="EE124" s="31"/>
      <c r="EF124" s="31"/>
      <c r="EG124" s="31"/>
      <c r="EH124" s="31"/>
      <c r="EI124" s="31"/>
      <c r="EJ124" s="31"/>
      <c r="EK124" s="31"/>
      <c r="EL124" s="31"/>
      <c r="EM124" s="31"/>
      <c r="EN124" s="31"/>
      <c r="EO124" s="31"/>
      <c r="EP124" s="31"/>
      <c r="EQ124" s="31"/>
      <c r="ER124" s="31"/>
      <c r="ES124" s="31"/>
      <c r="ET124" s="31"/>
      <c r="EU124" s="31"/>
      <c r="EV124" s="31"/>
      <c r="EW124" s="31"/>
      <c r="EX124" s="31"/>
      <c r="EY124" s="31"/>
      <c r="EZ124" s="31"/>
      <c r="FA124" s="31"/>
      <c r="FB124" s="31"/>
      <c r="FC124" s="31"/>
      <c r="FD124" s="31"/>
      <c r="FE124" s="31"/>
      <c r="FF124" s="31"/>
      <c r="FG124" s="31"/>
      <c r="FH124" s="31"/>
      <c r="FI124" s="31"/>
      <c r="FJ124" s="31"/>
      <c r="FK124" s="31"/>
      <c r="FL124" s="31"/>
      <c r="FM124" s="31"/>
      <c r="FN124" s="31"/>
      <c r="FO124" s="31"/>
      <c r="FP124" s="31"/>
      <c r="FQ124" s="31"/>
      <c r="FR124" s="31"/>
      <c r="FS124" s="31"/>
      <c r="FT124" s="31"/>
      <c r="FU124" s="31"/>
      <c r="FV124" s="31"/>
      <c r="FW124" s="31"/>
      <c r="FX124" s="31"/>
      <c r="FY124" s="31"/>
      <c r="FZ124" s="31"/>
      <c r="GA124" s="31"/>
      <c r="GB124" s="31"/>
      <c r="GC124" s="31"/>
      <c r="GD124" s="31"/>
      <c r="GE124" s="31"/>
      <c r="GF124" s="31"/>
      <c r="GG124" s="31"/>
      <c r="GH124" s="31"/>
      <c r="GI124" s="31"/>
      <c r="GJ124" s="31"/>
      <c r="GK124" s="31"/>
      <c r="GL124" s="31"/>
      <c r="GM124" s="31"/>
      <c r="GN124" s="31"/>
      <c r="GO124" s="31"/>
      <c r="GP124" s="31"/>
      <c r="GQ124" s="31"/>
      <c r="GR124" s="31"/>
      <c r="GS124" s="31"/>
      <c r="GT124" s="31"/>
      <c r="GU124" s="31"/>
      <c r="GV124" s="31"/>
      <c r="GW124" s="31"/>
      <c r="GX124" s="31"/>
      <c r="GY124" s="31"/>
      <c r="GZ124" s="31"/>
      <c r="HA124" s="31"/>
      <c r="HB124" s="31"/>
      <c r="HC124" s="31"/>
      <c r="HD124" s="31"/>
      <c r="HE124" s="31"/>
      <c r="HF124" s="31"/>
      <c r="HG124" s="31"/>
      <c r="HH124" s="31"/>
      <c r="HI124" s="31"/>
      <c r="HJ124" s="31"/>
      <c r="HK124" s="31"/>
      <c r="HL124" s="31"/>
      <c r="HM124" s="31"/>
      <c r="HN124" s="31"/>
      <c r="HO124" s="31"/>
      <c r="HP124" s="31"/>
      <c r="HQ124" s="31"/>
      <c r="HR124" s="31"/>
      <c r="HS124" s="31"/>
      <c r="HT124" s="31"/>
      <c r="HU124" s="31"/>
      <c r="HV124" s="31"/>
      <c r="HW124" s="31"/>
      <c r="HX124" s="31"/>
      <c r="HY124" s="31"/>
      <c r="HZ124" s="31"/>
      <c r="IA124" s="31"/>
      <c r="IB124" s="31"/>
      <c r="IC124" s="31"/>
      <c r="ID124" s="31"/>
      <c r="IE124" s="31"/>
      <c r="IF124" s="31"/>
      <c r="IG124" s="31"/>
      <c r="IH124" s="31"/>
      <c r="II124" s="31"/>
      <c r="IJ124" s="31"/>
      <c r="IK124" s="31"/>
      <c r="IL124" s="31"/>
      <c r="IM124" s="31"/>
      <c r="IN124" s="31"/>
      <c r="IO124" s="31"/>
      <c r="IP124" s="31"/>
      <c r="IQ124" s="31"/>
      <c r="IR124" s="31"/>
      <c r="IS124" s="31"/>
      <c r="IT124" s="31"/>
      <c r="IU124" s="31"/>
      <c r="IV124" s="31"/>
      <c r="IW124" s="31"/>
    </row>
    <row r="125" spans="1:257" ht="17.25" customHeight="1" x14ac:dyDescent="0.3">
      <c r="A125" s="156">
        <v>108</v>
      </c>
      <c r="B125" s="120" t="s">
        <v>104</v>
      </c>
      <c r="C125" s="86" t="s">
        <v>136</v>
      </c>
      <c r="D125" s="44">
        <v>488993416.38999999</v>
      </c>
      <c r="E125" s="44"/>
      <c r="F125" s="44">
        <v>223246134.00999999</v>
      </c>
      <c r="G125" s="44">
        <v>427474774.91000003</v>
      </c>
      <c r="H125" s="45">
        <v>26432670.809999999</v>
      </c>
      <c r="I125" s="53"/>
      <c r="J125" s="53">
        <v>1166146996.1199999</v>
      </c>
      <c r="K125" s="53">
        <v>3779625.28</v>
      </c>
      <c r="L125" s="44">
        <v>1817298.32</v>
      </c>
      <c r="M125" s="54">
        <v>10590968.77</v>
      </c>
      <c r="N125" s="44">
        <v>1180575953.26</v>
      </c>
      <c r="O125" s="44">
        <v>55415540.060000002</v>
      </c>
      <c r="P125" s="224">
        <v>1136058576.96</v>
      </c>
      <c r="Q125" s="48">
        <f t="shared" si="56"/>
        <v>8.7924459289571598E-4</v>
      </c>
      <c r="R125" s="111">
        <v>1125160413.1900001</v>
      </c>
      <c r="S125" s="48">
        <f t="shared" si="51"/>
        <v>3.8338042118621123E-2</v>
      </c>
      <c r="T125" s="49">
        <f t="shared" si="52"/>
        <v>-9.5929593693685911E-3</v>
      </c>
      <c r="U125" s="87">
        <f t="shared" si="53"/>
        <v>1.6151459815829142E-3</v>
      </c>
      <c r="V125" s="50">
        <f t="shared" si="54"/>
        <v>9.4128522882999405E-3</v>
      </c>
      <c r="W125" s="51">
        <f t="shared" si="55"/>
        <v>2.2579386573678484</v>
      </c>
      <c r="X125" s="51">
        <f t="shared" si="57"/>
        <v>2.1253643057845849E-2</v>
      </c>
      <c r="Y125" s="44">
        <v>2.1806999999999999</v>
      </c>
      <c r="Z125" s="44">
        <v>2.2235</v>
      </c>
      <c r="AA125" s="52">
        <v>2769</v>
      </c>
      <c r="AB125" s="158">
        <v>498313100.54350001</v>
      </c>
      <c r="AC125" s="39"/>
      <c r="AD125" s="4"/>
      <c r="AE125" s="4"/>
      <c r="AF125" s="4"/>
      <c r="AG125" s="5"/>
      <c r="AH125" s="6"/>
      <c r="AI125" s="6"/>
      <c r="AJ125" s="6"/>
      <c r="AK125" s="7"/>
      <c r="AL125" s="5"/>
      <c r="AM125" s="6"/>
      <c r="AN125" s="6"/>
      <c r="AO125" s="6"/>
      <c r="AP125" s="7"/>
      <c r="AQ125" s="5"/>
      <c r="AR125" s="6"/>
      <c r="AS125" s="6"/>
      <c r="AT125" s="6"/>
      <c r="AU125" s="7"/>
    </row>
    <row r="126" spans="1:257" ht="15.75" customHeight="1" x14ac:dyDescent="0.3">
      <c r="A126" s="156">
        <v>109</v>
      </c>
      <c r="B126" s="122" t="s">
        <v>92</v>
      </c>
      <c r="C126" s="86" t="s">
        <v>202</v>
      </c>
      <c r="D126" s="44">
        <v>8627586.6300000008</v>
      </c>
      <c r="E126" s="44"/>
      <c r="F126" s="44">
        <v>5119811.67</v>
      </c>
      <c r="G126" s="44">
        <v>3773534</v>
      </c>
      <c r="H126" s="55"/>
      <c r="I126" s="53"/>
      <c r="J126" s="53">
        <f>SUM(D126:G126)</f>
        <v>17520932.300000001</v>
      </c>
      <c r="K126" s="53">
        <v>68686.47</v>
      </c>
      <c r="L126" s="44">
        <v>8085.68</v>
      </c>
      <c r="M126" s="54">
        <v>-22811.79</v>
      </c>
      <c r="N126" s="44">
        <v>18103405.350000001</v>
      </c>
      <c r="O126" s="44">
        <v>307750.32</v>
      </c>
      <c r="P126" s="224">
        <v>17622332.920000002</v>
      </c>
      <c r="Q126" s="48">
        <f t="shared" si="56"/>
        <v>1.3638681357065026E-5</v>
      </c>
      <c r="R126" s="111">
        <v>17581807.93</v>
      </c>
      <c r="S126" s="48">
        <f t="shared" si="51"/>
        <v>5.9907199457080707E-4</v>
      </c>
      <c r="T126" s="49">
        <f>((R126-P126)/P126)</f>
        <v>-2.299638202499813E-3</v>
      </c>
      <c r="U126" s="87">
        <f>(L126/R126)</f>
        <v>4.5988899618243075E-4</v>
      </c>
      <c r="V126" s="50">
        <f>M126/R126</f>
        <v>-1.2974655445459641E-3</v>
      </c>
      <c r="W126" s="51">
        <f>R126/AB126</f>
        <v>1.1332046820659212</v>
      </c>
      <c r="X126" s="51">
        <f>M126/AB126</f>
        <v>-1.4702940298986966E-3</v>
      </c>
      <c r="Y126" s="44">
        <v>1.1332</v>
      </c>
      <c r="Z126" s="44">
        <v>1.1332</v>
      </c>
      <c r="AA126" s="52">
        <v>4</v>
      </c>
      <c r="AB126" s="158">
        <v>15515121.15</v>
      </c>
      <c r="AC126" s="145"/>
    </row>
    <row r="127" spans="1:257" ht="15.75" customHeight="1" x14ac:dyDescent="0.3">
      <c r="A127" s="156">
        <v>110</v>
      </c>
      <c r="B127" s="122" t="s">
        <v>164</v>
      </c>
      <c r="C127" s="86" t="s">
        <v>203</v>
      </c>
      <c r="D127" s="44">
        <v>84409258.920000002</v>
      </c>
      <c r="E127" s="44"/>
      <c r="F127" s="44"/>
      <c r="G127" s="44">
        <v>76528530.349999994</v>
      </c>
      <c r="H127" s="55"/>
      <c r="I127" s="53"/>
      <c r="J127" s="53">
        <v>160937789.27000001</v>
      </c>
      <c r="K127" s="53">
        <v>1415982.82</v>
      </c>
      <c r="L127" s="44">
        <v>510934.27</v>
      </c>
      <c r="M127" s="54">
        <v>905048.55</v>
      </c>
      <c r="N127" s="44">
        <v>199906627.41</v>
      </c>
      <c r="O127" s="44">
        <v>171677556.52000001</v>
      </c>
      <c r="P127" s="224">
        <v>186882070.03999999</v>
      </c>
      <c r="Q127" s="48">
        <f t="shared" si="56"/>
        <v>1.4463607152328547E-4</v>
      </c>
      <c r="R127" s="111">
        <v>190138076.78</v>
      </c>
      <c r="S127" s="48">
        <f t="shared" si="51"/>
        <v>6.4786509643352625E-3</v>
      </c>
      <c r="T127" s="49">
        <f>((R127-P127)/P127)</f>
        <v>1.7422788281952883E-2</v>
      </c>
      <c r="U127" s="87">
        <f>(L127/R127)</f>
        <v>2.6871749133719203E-3</v>
      </c>
      <c r="V127" s="50">
        <f>M127/R127</f>
        <v>4.759954267588338E-3</v>
      </c>
      <c r="W127" s="51">
        <f>R127/AB127</f>
        <v>1.1133747419295428</v>
      </c>
      <c r="X127" s="51">
        <f>M127/AB127</f>
        <v>5.2996128542725915E-3</v>
      </c>
      <c r="Y127" s="44">
        <v>1.1100000000000001</v>
      </c>
      <c r="Z127" s="44">
        <v>1.1100000000000001</v>
      </c>
      <c r="AA127" s="52">
        <v>52</v>
      </c>
      <c r="AB127" s="158">
        <v>170776351.94999999</v>
      </c>
      <c r="AC127" s="145"/>
    </row>
    <row r="128" spans="1:257" ht="15.75" customHeight="1" x14ac:dyDescent="0.3">
      <c r="A128" s="156">
        <v>111</v>
      </c>
      <c r="B128" s="122" t="s">
        <v>160</v>
      </c>
      <c r="C128" s="86" t="s">
        <v>162</v>
      </c>
      <c r="D128" s="44">
        <v>591804.75</v>
      </c>
      <c r="E128" s="44"/>
      <c r="F128" s="44"/>
      <c r="G128" s="44">
        <v>913147.91</v>
      </c>
      <c r="H128" s="55"/>
      <c r="I128" s="53"/>
      <c r="J128" s="53">
        <f>SUM(G128,D128)</f>
        <v>1504952.6600000001</v>
      </c>
      <c r="K128" s="53" t="s">
        <v>217</v>
      </c>
      <c r="L128" s="44">
        <v>8697.76</v>
      </c>
      <c r="M128" s="54">
        <v>-8697.76</v>
      </c>
      <c r="N128" s="44">
        <v>4645306.9000000004</v>
      </c>
      <c r="O128" s="44">
        <v>181827.38</v>
      </c>
      <c r="P128" s="224">
        <v>4465897.9000000004</v>
      </c>
      <c r="Q128" s="48">
        <f t="shared" si="56"/>
        <v>3.4563504564233283E-6</v>
      </c>
      <c r="R128" s="111">
        <v>4463479.5199999996</v>
      </c>
      <c r="S128" s="48">
        <f t="shared" si="51"/>
        <v>1.520859282173007E-4</v>
      </c>
      <c r="T128" s="49">
        <f t="shared" si="52"/>
        <v>-5.4152156053563591E-4</v>
      </c>
      <c r="U128" s="87">
        <f>(L128/R128)</f>
        <v>1.948650141896473E-3</v>
      </c>
      <c r="V128" s="50">
        <f t="shared" si="54"/>
        <v>-1.948650141896473E-3</v>
      </c>
      <c r="W128" s="51">
        <f t="shared" si="55"/>
        <v>105.29060954897149</v>
      </c>
      <c r="X128" s="51">
        <f t="shared" si="57"/>
        <v>-0.20517456123796943</v>
      </c>
      <c r="Y128" s="44">
        <v>100.37</v>
      </c>
      <c r="Z128" s="44">
        <v>100.57</v>
      </c>
      <c r="AA128" s="52">
        <v>87</v>
      </c>
      <c r="AB128" s="158">
        <v>42392</v>
      </c>
      <c r="AC128" s="145"/>
    </row>
    <row r="129" spans="1:257" ht="15.75" customHeight="1" x14ac:dyDescent="0.3">
      <c r="A129" s="167"/>
      <c r="B129" s="84"/>
      <c r="C129" s="109" t="s">
        <v>54</v>
      </c>
      <c r="D129" s="62"/>
      <c r="E129" s="62"/>
      <c r="F129" s="62"/>
      <c r="G129" s="62"/>
      <c r="H129" s="62"/>
      <c r="I129" s="62"/>
      <c r="J129" s="62"/>
      <c r="K129" s="62"/>
      <c r="L129" s="62"/>
      <c r="M129" s="126"/>
      <c r="N129" s="62"/>
      <c r="O129" s="62"/>
      <c r="P129" s="123">
        <f t="shared" ref="P129:R129" si="67">SUM(P107:P128)</f>
        <v>29140371620.59</v>
      </c>
      <c r="Q129" s="125">
        <f>(P129/$P$146)</f>
        <v>2.2552986881131262E-2</v>
      </c>
      <c r="R129" s="225">
        <f t="shared" si="67"/>
        <v>29348405683.019997</v>
      </c>
      <c r="S129" s="125">
        <f>(R129/$R$146)</f>
        <v>2.2545900004633693E-2</v>
      </c>
      <c r="T129" s="64">
        <f t="shared" si="52"/>
        <v>7.1390325812799114E-3</v>
      </c>
      <c r="U129" s="79"/>
      <c r="V129" s="65"/>
      <c r="W129" s="66"/>
      <c r="X129" s="66"/>
      <c r="Y129" s="62"/>
      <c r="Z129" s="62"/>
      <c r="AA129" s="67">
        <f>SUM(AA107:AA128)</f>
        <v>80906</v>
      </c>
      <c r="AB129" s="169"/>
      <c r="AC129" s="145"/>
    </row>
    <row r="130" spans="1:257" ht="15.75" customHeight="1" x14ac:dyDescent="0.3">
      <c r="A130" s="240" t="s">
        <v>148</v>
      </c>
      <c r="B130" s="241"/>
      <c r="C130" s="241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121"/>
      <c r="Q130" s="49"/>
      <c r="R130" s="73"/>
      <c r="S130" s="49"/>
      <c r="T130" s="49"/>
      <c r="U130" s="49"/>
      <c r="V130" s="74"/>
      <c r="W130" s="75"/>
      <c r="X130" s="75"/>
      <c r="Y130" s="73"/>
      <c r="Z130" s="73"/>
      <c r="AA130" s="73"/>
      <c r="AB130" s="163"/>
      <c r="AC130" s="145"/>
    </row>
    <row r="131" spans="1:257" ht="15.75" customHeight="1" x14ac:dyDescent="0.3">
      <c r="A131" s="156">
        <v>112</v>
      </c>
      <c r="B131" s="120" t="s">
        <v>77</v>
      </c>
      <c r="C131" s="85" t="s">
        <v>191</v>
      </c>
      <c r="D131" s="44">
        <v>281152701.60000002</v>
      </c>
      <c r="E131" s="44"/>
      <c r="F131" s="44">
        <v>29234758.760000002</v>
      </c>
      <c r="G131" s="44">
        <v>238827566.87</v>
      </c>
      <c r="H131" s="55"/>
      <c r="I131" s="44"/>
      <c r="J131" s="44">
        <v>549215027.23000002</v>
      </c>
      <c r="K131" s="44">
        <v>2595978.71</v>
      </c>
      <c r="L131" s="45">
        <v>4434826.07</v>
      </c>
      <c r="M131" s="54">
        <v>-262339.26</v>
      </c>
      <c r="N131" s="44">
        <v>561358004.66999996</v>
      </c>
      <c r="O131" s="44">
        <v>9070505.0399999991</v>
      </c>
      <c r="P131" s="224">
        <v>550025421.37</v>
      </c>
      <c r="Q131" s="48">
        <f>(P131/$P$134)</f>
        <v>0.2180796142278642</v>
      </c>
      <c r="R131" s="56">
        <v>552287499.63</v>
      </c>
      <c r="S131" s="48">
        <f>(R131/$R$134)</f>
        <v>0.21834927172698987</v>
      </c>
      <c r="T131" s="49">
        <f t="shared" ref="T131:T145" si="68">((R131-P131)/P131)</f>
        <v>4.1126794728244005E-3</v>
      </c>
      <c r="U131" s="87">
        <f t="shared" ref="U131:U145" si="69">(L131/R131)</f>
        <v>8.0299229531196562E-3</v>
      </c>
      <c r="V131" s="50">
        <f t="shared" ref="V131:V144" si="70">M131/R131</f>
        <v>-4.7500488454971701E-4</v>
      </c>
      <c r="W131" s="51">
        <f t="shared" ref="W131:W144" si="71">R131/AB131</f>
        <v>14.690620598018192</v>
      </c>
      <c r="X131" s="51">
        <f t="shared" ref="X131:X144" si="72">M131/AB131</f>
        <v>-6.9781165411253255E-3</v>
      </c>
      <c r="Y131" s="44">
        <v>14.6907</v>
      </c>
      <c r="Z131" s="44">
        <v>14.847300000000001</v>
      </c>
      <c r="AA131" s="52">
        <v>1541</v>
      </c>
      <c r="AB131" s="158">
        <v>37594565.590000004</v>
      </c>
      <c r="AC131" s="145"/>
    </row>
    <row r="132" spans="1:257" ht="15.75" customHeight="1" x14ac:dyDescent="0.3">
      <c r="A132" s="156">
        <v>113</v>
      </c>
      <c r="B132" s="120" t="s">
        <v>25</v>
      </c>
      <c r="C132" s="85" t="s">
        <v>149</v>
      </c>
      <c r="D132" s="44">
        <v>1173804810.8499999</v>
      </c>
      <c r="E132" s="44"/>
      <c r="F132" s="44">
        <v>369542131.24000001</v>
      </c>
      <c r="G132" s="44">
        <v>11444108.33</v>
      </c>
      <c r="H132" s="55"/>
      <c r="I132" s="44"/>
      <c r="J132" s="44">
        <v>1554791050.4200001</v>
      </c>
      <c r="K132" s="44">
        <v>4074753.17</v>
      </c>
      <c r="L132" s="45">
        <v>4751834.55</v>
      </c>
      <c r="M132" s="46">
        <v>19396555.780000001</v>
      </c>
      <c r="N132" s="44">
        <v>1589947260.6400001</v>
      </c>
      <c r="O132" s="44">
        <v>22012964.440000001</v>
      </c>
      <c r="P132" s="224">
        <v>1559096176.6199999</v>
      </c>
      <c r="Q132" s="48">
        <f t="shared" ref="Q132:Q133" si="73">(P132/$P$134)</f>
        <v>0.61816614202038145</v>
      </c>
      <c r="R132" s="56">
        <v>1567934296.2</v>
      </c>
      <c r="S132" s="48">
        <f>(R132/$R$134)</f>
        <v>0.61988966239576238</v>
      </c>
      <c r="T132" s="49">
        <f>((R132-P132)/P132)</f>
        <v>5.6687455928219402E-3</v>
      </c>
      <c r="U132" s="87">
        <f t="shared" si="69"/>
        <v>3.0306337207601161E-3</v>
      </c>
      <c r="V132" s="50">
        <f t="shared" si="70"/>
        <v>1.2370770782301867E-2</v>
      </c>
      <c r="W132" s="51">
        <f t="shared" si="71"/>
        <v>1.2900887182779996</v>
      </c>
      <c r="X132" s="51">
        <f>M132/AB132</f>
        <v>1.5959391822650743E-2</v>
      </c>
      <c r="Y132" s="44">
        <v>1.28</v>
      </c>
      <c r="Z132" s="44">
        <v>1.3</v>
      </c>
      <c r="AA132" s="52">
        <v>9469</v>
      </c>
      <c r="AB132" s="158">
        <v>1215369357.1500001</v>
      </c>
      <c r="AC132" s="145"/>
    </row>
    <row r="133" spans="1:257" ht="15.75" customHeight="1" x14ac:dyDescent="0.3">
      <c r="A133" s="156">
        <v>114</v>
      </c>
      <c r="B133" s="122" t="s">
        <v>37</v>
      </c>
      <c r="C133" s="85" t="s">
        <v>150</v>
      </c>
      <c r="D133" s="44">
        <v>166540276.34999999</v>
      </c>
      <c r="E133" s="44"/>
      <c r="F133" s="44">
        <v>99206432.659999996</v>
      </c>
      <c r="G133" s="44">
        <v>149803223.61000001</v>
      </c>
      <c r="H133" s="45">
        <v>1350962.15</v>
      </c>
      <c r="I133" s="44"/>
      <c r="J133" s="44">
        <v>416900894.76999998</v>
      </c>
      <c r="K133" s="44">
        <v>1032536.64</v>
      </c>
      <c r="L133" s="45">
        <v>5184337.18</v>
      </c>
      <c r="M133" s="210">
        <v>-7919561.6900000004</v>
      </c>
      <c r="N133" s="44">
        <v>419889974</v>
      </c>
      <c r="O133" s="44">
        <v>10735348</v>
      </c>
      <c r="P133" s="224">
        <v>413009704</v>
      </c>
      <c r="Q133" s="48">
        <f t="shared" si="73"/>
        <v>0.16375424375175435</v>
      </c>
      <c r="R133" s="56">
        <v>409154626</v>
      </c>
      <c r="S133" s="48">
        <f t="shared" ref="S133" si="74">(R133/$R$134)</f>
        <v>0.16176106587724781</v>
      </c>
      <c r="T133" s="49">
        <f t="shared" si="68"/>
        <v>-9.3341099801374158E-3</v>
      </c>
      <c r="U133" s="87">
        <f t="shared" si="69"/>
        <v>1.2670850701807779E-2</v>
      </c>
      <c r="V133" s="50">
        <f t="shared" si="70"/>
        <v>-1.9355913844659796E-2</v>
      </c>
      <c r="W133" s="51">
        <f t="shared" si="71"/>
        <v>35.114893103543864</v>
      </c>
      <c r="X133" s="51">
        <f t="shared" si="72"/>
        <v>-0.67968084557663344</v>
      </c>
      <c r="Y133" s="44">
        <v>39.354100000000003</v>
      </c>
      <c r="Z133" s="44">
        <v>40.540700000000001</v>
      </c>
      <c r="AA133" s="52">
        <v>2092</v>
      </c>
      <c r="AB133" s="158">
        <v>11651883</v>
      </c>
      <c r="AC133" s="145"/>
    </row>
    <row r="134" spans="1:257" ht="15" customHeight="1" x14ac:dyDescent="0.3">
      <c r="A134" s="156"/>
      <c r="B134" s="122"/>
      <c r="C134" s="109" t="s">
        <v>54</v>
      </c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2"/>
      <c r="O134" s="62"/>
      <c r="P134" s="192">
        <f>SUM(P131:P133)</f>
        <v>2522131301.9899998</v>
      </c>
      <c r="Q134" s="125">
        <f>(P134/$P$146)</f>
        <v>1.9519858877187269E-3</v>
      </c>
      <c r="R134" s="63">
        <f>SUM(R131:R133)</f>
        <v>2529376421.8299999</v>
      </c>
      <c r="S134" s="125">
        <f>(R134/$R$146)</f>
        <v>1.9431061604021406E-3</v>
      </c>
      <c r="T134" s="64">
        <f t="shared" si="68"/>
        <v>2.872618025193075E-3</v>
      </c>
      <c r="U134" s="79"/>
      <c r="V134" s="65"/>
      <c r="W134" s="66"/>
      <c r="X134" s="66"/>
      <c r="Y134" s="62"/>
      <c r="Z134" s="62"/>
      <c r="AA134" s="67">
        <f>SUM(AA131:AA133)</f>
        <v>13102</v>
      </c>
      <c r="AB134" s="169"/>
      <c r="AC134" s="145"/>
      <c r="AD134" s="31"/>
      <c r="AE134" s="31"/>
      <c r="AF134" s="31"/>
      <c r="AG134" s="31"/>
      <c r="AH134" s="31"/>
      <c r="AI134" s="31"/>
      <c r="AJ134" s="31"/>
      <c r="AK134" s="31"/>
      <c r="AL134" s="31"/>
      <c r="AM134" s="31"/>
      <c r="AN134" s="31"/>
      <c r="AO134" s="31"/>
      <c r="AP134" s="31"/>
      <c r="AQ134" s="31"/>
      <c r="AR134" s="31"/>
      <c r="AS134" s="31"/>
      <c r="AT134" s="31"/>
      <c r="AU134" s="31"/>
      <c r="AV134" s="31"/>
      <c r="AW134" s="31"/>
      <c r="AX134" s="31"/>
      <c r="AY134" s="31"/>
      <c r="AZ134" s="31"/>
      <c r="BA134" s="31"/>
      <c r="BB134" s="31"/>
      <c r="BC134" s="31"/>
      <c r="BD134" s="31"/>
      <c r="BE134" s="31"/>
      <c r="BF134" s="31"/>
      <c r="BG134" s="31"/>
      <c r="BH134" s="31"/>
      <c r="BI134" s="31"/>
      <c r="BJ134" s="31"/>
      <c r="BK134" s="31"/>
      <c r="BL134" s="31"/>
      <c r="BM134" s="31"/>
      <c r="BN134" s="31"/>
      <c r="BO134" s="31"/>
      <c r="BP134" s="31"/>
      <c r="BQ134" s="31"/>
      <c r="BR134" s="31"/>
      <c r="BS134" s="31"/>
      <c r="BT134" s="31"/>
      <c r="BU134" s="31"/>
      <c r="BV134" s="31"/>
      <c r="BW134" s="31"/>
      <c r="BX134" s="31"/>
      <c r="BY134" s="31"/>
      <c r="BZ134" s="31"/>
      <c r="CA134" s="31"/>
      <c r="CB134" s="31"/>
      <c r="CC134" s="31"/>
      <c r="CD134" s="31"/>
      <c r="CE134" s="31"/>
      <c r="CF134" s="31"/>
      <c r="CG134" s="31"/>
      <c r="CH134" s="31"/>
      <c r="CI134" s="31"/>
      <c r="CJ134" s="31"/>
      <c r="CK134" s="31"/>
      <c r="CL134" s="31"/>
      <c r="CM134" s="31"/>
      <c r="CN134" s="31"/>
      <c r="CO134" s="31"/>
      <c r="CP134" s="31"/>
      <c r="CQ134" s="31"/>
      <c r="CR134" s="31"/>
      <c r="CS134" s="31"/>
      <c r="CT134" s="31"/>
      <c r="CU134" s="31"/>
      <c r="CV134" s="31"/>
      <c r="CW134" s="31"/>
      <c r="CX134" s="31"/>
      <c r="CY134" s="31"/>
      <c r="CZ134" s="31"/>
      <c r="DA134" s="31"/>
      <c r="DB134" s="31"/>
      <c r="DC134" s="31"/>
      <c r="DD134" s="31"/>
      <c r="DE134" s="31"/>
      <c r="DF134" s="31"/>
      <c r="DG134" s="31"/>
      <c r="DH134" s="31"/>
      <c r="DI134" s="31"/>
      <c r="DJ134" s="31"/>
      <c r="DK134" s="31"/>
      <c r="DL134" s="31"/>
      <c r="DM134" s="31"/>
      <c r="DN134" s="31"/>
      <c r="DO134" s="31"/>
      <c r="DP134" s="31"/>
      <c r="DQ134" s="31"/>
      <c r="DR134" s="31"/>
      <c r="DS134" s="31"/>
      <c r="DT134" s="31"/>
      <c r="DU134" s="31"/>
      <c r="DV134" s="31"/>
      <c r="DW134" s="31"/>
      <c r="DX134" s="31"/>
      <c r="DY134" s="31"/>
      <c r="DZ134" s="31"/>
      <c r="EA134" s="31"/>
      <c r="EB134" s="31"/>
      <c r="EC134" s="31"/>
      <c r="ED134" s="31"/>
      <c r="EE134" s="31"/>
      <c r="EF134" s="31"/>
      <c r="EG134" s="31"/>
      <c r="EH134" s="31"/>
      <c r="EI134" s="31"/>
      <c r="EJ134" s="31"/>
      <c r="EK134" s="31"/>
      <c r="EL134" s="31"/>
      <c r="EM134" s="31"/>
      <c r="EN134" s="31"/>
      <c r="EO134" s="31"/>
      <c r="EP134" s="31"/>
      <c r="EQ134" s="31"/>
      <c r="ER134" s="31"/>
      <c r="ES134" s="31"/>
      <c r="ET134" s="31"/>
      <c r="EU134" s="31"/>
      <c r="EV134" s="31"/>
      <c r="EW134" s="31"/>
      <c r="EX134" s="31"/>
      <c r="EY134" s="31"/>
      <c r="EZ134" s="31"/>
      <c r="FA134" s="31"/>
      <c r="FB134" s="31"/>
      <c r="FC134" s="31"/>
      <c r="FD134" s="31"/>
      <c r="FE134" s="31"/>
      <c r="FF134" s="31"/>
      <c r="FG134" s="31"/>
      <c r="FH134" s="31"/>
      <c r="FI134" s="31"/>
      <c r="FJ134" s="31"/>
      <c r="FK134" s="31"/>
      <c r="FL134" s="31"/>
      <c r="FM134" s="31"/>
      <c r="FN134" s="31"/>
      <c r="FO134" s="31"/>
      <c r="FP134" s="31"/>
      <c r="FQ134" s="31"/>
      <c r="FR134" s="31"/>
      <c r="FS134" s="31"/>
      <c r="FT134" s="31"/>
      <c r="FU134" s="31"/>
      <c r="FV134" s="31"/>
      <c r="FW134" s="31"/>
      <c r="FX134" s="31"/>
      <c r="FY134" s="31"/>
      <c r="FZ134" s="31"/>
      <c r="GA134" s="31"/>
      <c r="GB134" s="31"/>
      <c r="GC134" s="31"/>
      <c r="GD134" s="31"/>
      <c r="GE134" s="31"/>
      <c r="GF134" s="31"/>
      <c r="GG134" s="31"/>
      <c r="GH134" s="31"/>
      <c r="GI134" s="31"/>
      <c r="GJ134" s="31"/>
      <c r="GK134" s="31"/>
      <c r="GL134" s="31"/>
      <c r="GM134" s="31"/>
      <c r="GN134" s="31"/>
      <c r="GO134" s="31"/>
      <c r="GP134" s="31"/>
      <c r="GQ134" s="31"/>
      <c r="GR134" s="31"/>
      <c r="GS134" s="31"/>
      <c r="GT134" s="31"/>
      <c r="GU134" s="31"/>
      <c r="GV134" s="31"/>
      <c r="GW134" s="31"/>
      <c r="GX134" s="31"/>
      <c r="GY134" s="31"/>
      <c r="GZ134" s="31"/>
      <c r="HA134" s="31"/>
      <c r="HB134" s="31"/>
      <c r="HC134" s="31"/>
      <c r="HD134" s="31"/>
      <c r="HE134" s="31"/>
      <c r="HF134" s="31"/>
      <c r="HG134" s="31"/>
      <c r="HH134" s="31"/>
      <c r="HI134" s="31"/>
      <c r="HJ134" s="31"/>
      <c r="HK134" s="31"/>
      <c r="HL134" s="31"/>
      <c r="HM134" s="31"/>
      <c r="HN134" s="31"/>
      <c r="HO134" s="31"/>
      <c r="HP134" s="31"/>
      <c r="HQ134" s="31"/>
      <c r="HR134" s="31"/>
      <c r="HS134" s="31"/>
      <c r="HT134" s="31"/>
      <c r="HU134" s="31"/>
      <c r="HV134" s="31"/>
      <c r="HW134" s="31"/>
      <c r="HX134" s="31"/>
      <c r="HY134" s="31"/>
      <c r="HZ134" s="31"/>
      <c r="IA134" s="31"/>
      <c r="IB134" s="31"/>
      <c r="IC134" s="31"/>
      <c r="ID134" s="31"/>
      <c r="IE134" s="31"/>
      <c r="IF134" s="31"/>
      <c r="IG134" s="31"/>
      <c r="IH134" s="31"/>
      <c r="II134" s="31"/>
      <c r="IJ134" s="31"/>
      <c r="IK134" s="31"/>
      <c r="IL134" s="31"/>
      <c r="IM134" s="31"/>
      <c r="IN134" s="31"/>
      <c r="IO134" s="31"/>
      <c r="IP134" s="31"/>
      <c r="IQ134" s="31"/>
      <c r="IR134" s="31"/>
      <c r="IS134" s="31"/>
      <c r="IT134" s="31"/>
      <c r="IU134" s="31"/>
      <c r="IV134" s="31"/>
      <c r="IW134" s="31"/>
    </row>
    <row r="135" spans="1:257" ht="15.75" customHeight="1" x14ac:dyDescent="0.3">
      <c r="A135" s="240" t="s">
        <v>192</v>
      </c>
      <c r="B135" s="241"/>
      <c r="C135" s="241"/>
      <c r="D135" s="241"/>
      <c r="E135" s="241"/>
      <c r="F135" s="241"/>
      <c r="G135" s="241"/>
      <c r="H135" s="241"/>
      <c r="I135" s="241"/>
      <c r="J135" s="241"/>
      <c r="K135" s="241"/>
      <c r="L135" s="241"/>
      <c r="M135" s="241"/>
      <c r="N135" s="241"/>
      <c r="O135" s="241"/>
      <c r="P135" s="241"/>
      <c r="Q135" s="241"/>
      <c r="R135" s="241"/>
      <c r="S135" s="241"/>
      <c r="T135" s="49"/>
      <c r="U135" s="241"/>
      <c r="V135" s="241"/>
      <c r="W135" s="241"/>
      <c r="X135" s="241"/>
      <c r="Y135" s="241"/>
      <c r="Z135" s="241"/>
      <c r="AA135" s="241"/>
      <c r="AB135" s="245"/>
      <c r="AC135" s="145"/>
      <c r="AD135" s="31"/>
      <c r="AE135" s="31"/>
      <c r="AF135" s="31"/>
      <c r="AG135" s="31"/>
      <c r="AH135" s="31"/>
      <c r="AI135" s="31"/>
      <c r="AJ135" s="31"/>
      <c r="AK135" s="31"/>
      <c r="AL135" s="31"/>
      <c r="AM135" s="31"/>
      <c r="AN135" s="31"/>
      <c r="AO135" s="31"/>
      <c r="AP135" s="31"/>
      <c r="AQ135" s="31"/>
      <c r="AR135" s="31"/>
      <c r="AS135" s="31"/>
      <c r="AT135" s="31"/>
      <c r="AU135" s="31"/>
      <c r="AV135" s="31"/>
      <c r="AW135" s="31"/>
      <c r="AX135" s="31"/>
      <c r="AY135" s="31"/>
      <c r="AZ135" s="31"/>
      <c r="BA135" s="31"/>
      <c r="BB135" s="31"/>
      <c r="BC135" s="31"/>
      <c r="BD135" s="31"/>
      <c r="BE135" s="31"/>
      <c r="BF135" s="31"/>
      <c r="BG135" s="31"/>
      <c r="BH135" s="31"/>
      <c r="BI135" s="31"/>
      <c r="BJ135" s="31"/>
      <c r="BK135" s="31"/>
      <c r="BL135" s="31"/>
      <c r="BM135" s="31"/>
      <c r="BN135" s="31"/>
      <c r="BO135" s="31"/>
      <c r="BP135" s="31"/>
      <c r="BQ135" s="31"/>
      <c r="BR135" s="31"/>
      <c r="BS135" s="31"/>
      <c r="BT135" s="31"/>
      <c r="BU135" s="31"/>
      <c r="BV135" s="31"/>
      <c r="BW135" s="31"/>
      <c r="BX135" s="31"/>
      <c r="BY135" s="31"/>
      <c r="BZ135" s="31"/>
      <c r="CA135" s="31"/>
      <c r="CB135" s="31"/>
      <c r="CC135" s="31"/>
      <c r="CD135" s="31"/>
      <c r="CE135" s="31"/>
      <c r="CF135" s="31"/>
      <c r="CG135" s="31"/>
      <c r="CH135" s="31"/>
      <c r="CI135" s="31"/>
      <c r="CJ135" s="31"/>
      <c r="CK135" s="31"/>
      <c r="CL135" s="31"/>
      <c r="CM135" s="31"/>
      <c r="CN135" s="31"/>
      <c r="CO135" s="31"/>
      <c r="CP135" s="31"/>
      <c r="CQ135" s="31"/>
      <c r="CR135" s="31"/>
      <c r="CS135" s="31"/>
      <c r="CT135" s="31"/>
      <c r="CU135" s="31"/>
      <c r="CV135" s="31"/>
      <c r="CW135" s="31"/>
      <c r="CX135" s="31"/>
      <c r="CY135" s="31"/>
      <c r="CZ135" s="31"/>
      <c r="DA135" s="31"/>
      <c r="DB135" s="31"/>
      <c r="DC135" s="31"/>
      <c r="DD135" s="31"/>
      <c r="DE135" s="31"/>
      <c r="DF135" s="31"/>
      <c r="DG135" s="31"/>
      <c r="DH135" s="31"/>
      <c r="DI135" s="31"/>
      <c r="DJ135" s="31"/>
      <c r="DK135" s="31"/>
      <c r="DL135" s="31"/>
      <c r="DM135" s="31"/>
      <c r="DN135" s="31"/>
      <c r="DO135" s="31"/>
      <c r="DP135" s="31"/>
      <c r="DQ135" s="31"/>
      <c r="DR135" s="31"/>
      <c r="DS135" s="31"/>
      <c r="DT135" s="31"/>
      <c r="DU135" s="31"/>
      <c r="DV135" s="31"/>
      <c r="DW135" s="31"/>
      <c r="DX135" s="31"/>
      <c r="DY135" s="31"/>
      <c r="DZ135" s="31"/>
      <c r="EA135" s="31"/>
      <c r="EB135" s="31"/>
      <c r="EC135" s="31"/>
      <c r="ED135" s="31"/>
      <c r="EE135" s="31"/>
      <c r="EF135" s="31"/>
      <c r="EG135" s="31"/>
      <c r="EH135" s="31"/>
      <c r="EI135" s="31"/>
      <c r="EJ135" s="31"/>
      <c r="EK135" s="31"/>
      <c r="EL135" s="31"/>
      <c r="EM135" s="31"/>
      <c r="EN135" s="31"/>
      <c r="EO135" s="31"/>
      <c r="EP135" s="31"/>
      <c r="EQ135" s="31"/>
      <c r="ER135" s="31"/>
      <c r="ES135" s="31"/>
      <c r="ET135" s="31"/>
      <c r="EU135" s="31"/>
      <c r="EV135" s="31"/>
      <c r="EW135" s="31"/>
      <c r="EX135" s="31"/>
      <c r="EY135" s="31"/>
      <c r="EZ135" s="31"/>
      <c r="FA135" s="31"/>
      <c r="FB135" s="31"/>
      <c r="FC135" s="31"/>
      <c r="FD135" s="31"/>
      <c r="FE135" s="31"/>
      <c r="FF135" s="31"/>
      <c r="FG135" s="31"/>
      <c r="FH135" s="31"/>
      <c r="FI135" s="31"/>
      <c r="FJ135" s="31"/>
      <c r="FK135" s="31"/>
      <c r="FL135" s="31"/>
      <c r="FM135" s="31"/>
      <c r="FN135" s="31"/>
      <c r="FO135" s="31"/>
      <c r="FP135" s="31"/>
      <c r="FQ135" s="31"/>
      <c r="FR135" s="31"/>
      <c r="FS135" s="31"/>
      <c r="FT135" s="31"/>
      <c r="FU135" s="31"/>
      <c r="FV135" s="31"/>
      <c r="FW135" s="31"/>
      <c r="FX135" s="31"/>
      <c r="FY135" s="31"/>
      <c r="FZ135" s="31"/>
      <c r="GA135" s="31"/>
      <c r="GB135" s="31"/>
      <c r="GC135" s="31"/>
      <c r="GD135" s="31"/>
      <c r="GE135" s="31"/>
      <c r="GF135" s="31"/>
      <c r="GG135" s="31"/>
      <c r="GH135" s="31"/>
      <c r="GI135" s="31"/>
      <c r="GJ135" s="31"/>
      <c r="GK135" s="31"/>
      <c r="GL135" s="31"/>
      <c r="GM135" s="31"/>
      <c r="GN135" s="31"/>
      <c r="GO135" s="31"/>
      <c r="GP135" s="31"/>
      <c r="GQ135" s="31"/>
      <c r="GR135" s="31"/>
      <c r="GS135" s="31"/>
      <c r="GT135" s="31"/>
      <c r="GU135" s="31"/>
      <c r="GV135" s="31"/>
      <c r="GW135" s="31"/>
      <c r="GX135" s="31"/>
      <c r="GY135" s="31"/>
      <c r="GZ135" s="31"/>
      <c r="HA135" s="31"/>
      <c r="HB135" s="31"/>
      <c r="HC135" s="31"/>
      <c r="HD135" s="31"/>
      <c r="HE135" s="31"/>
      <c r="HF135" s="31"/>
      <c r="HG135" s="31"/>
      <c r="HH135" s="31"/>
      <c r="HI135" s="31"/>
      <c r="HJ135" s="31"/>
      <c r="HK135" s="31"/>
      <c r="HL135" s="31"/>
      <c r="HM135" s="31"/>
      <c r="HN135" s="31"/>
      <c r="HO135" s="31"/>
      <c r="HP135" s="31"/>
      <c r="HQ135" s="31"/>
      <c r="HR135" s="31"/>
      <c r="HS135" s="31"/>
      <c r="HT135" s="31"/>
      <c r="HU135" s="31"/>
      <c r="HV135" s="31"/>
      <c r="HW135" s="31"/>
      <c r="HX135" s="31"/>
      <c r="HY135" s="31"/>
      <c r="HZ135" s="31"/>
      <c r="IA135" s="31"/>
      <c r="IB135" s="31"/>
      <c r="IC135" s="31"/>
      <c r="ID135" s="31"/>
      <c r="IE135" s="31"/>
      <c r="IF135" s="31"/>
      <c r="IG135" s="31"/>
      <c r="IH135" s="31"/>
      <c r="II135" s="31"/>
      <c r="IJ135" s="31"/>
      <c r="IK135" s="31"/>
      <c r="IL135" s="31"/>
      <c r="IM135" s="31"/>
      <c r="IN135" s="31"/>
      <c r="IO135" s="31"/>
      <c r="IP135" s="31"/>
      <c r="IQ135" s="31"/>
      <c r="IR135" s="31"/>
      <c r="IS135" s="31"/>
      <c r="IT135" s="31"/>
      <c r="IU135" s="31"/>
      <c r="IV135" s="31"/>
      <c r="IW135" s="31"/>
    </row>
    <row r="136" spans="1:257" ht="15.75" customHeight="1" x14ac:dyDescent="0.3">
      <c r="A136" s="246" t="s">
        <v>193</v>
      </c>
      <c r="B136" s="247"/>
      <c r="C136" s="247"/>
      <c r="D136" s="152"/>
      <c r="E136" s="152"/>
      <c r="F136" s="152"/>
      <c r="G136" s="152"/>
      <c r="H136" s="152"/>
      <c r="I136" s="152"/>
      <c r="J136" s="152"/>
      <c r="K136" s="152"/>
      <c r="L136" s="132"/>
      <c r="M136" s="132"/>
      <c r="N136" s="132"/>
      <c r="O136" s="138"/>
      <c r="P136" s="133"/>
      <c r="Q136" s="134"/>
      <c r="R136" s="132"/>
      <c r="S136" s="134"/>
      <c r="T136" s="134"/>
      <c r="U136" s="139"/>
      <c r="V136" s="136"/>
      <c r="W136" s="137"/>
      <c r="X136" s="137"/>
      <c r="Y136" s="132"/>
      <c r="Z136" s="132"/>
      <c r="AA136" s="140"/>
      <c r="AB136" s="166"/>
      <c r="AC136" s="145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31"/>
      <c r="AT136" s="31"/>
      <c r="AU136" s="31"/>
      <c r="AV136" s="31"/>
      <c r="AW136" s="31"/>
      <c r="AX136" s="31"/>
      <c r="AY136" s="31"/>
      <c r="AZ136" s="31"/>
      <c r="BA136" s="31"/>
      <c r="BB136" s="31"/>
      <c r="BC136" s="31"/>
      <c r="BD136" s="31"/>
      <c r="BE136" s="31"/>
      <c r="BF136" s="31"/>
      <c r="BG136" s="31"/>
      <c r="BH136" s="31"/>
      <c r="BI136" s="31"/>
      <c r="BJ136" s="31"/>
      <c r="BK136" s="31"/>
      <c r="BL136" s="31"/>
      <c r="BM136" s="31"/>
      <c r="BN136" s="31"/>
      <c r="BO136" s="31"/>
      <c r="BP136" s="31"/>
      <c r="BQ136" s="31"/>
      <c r="BR136" s="31"/>
      <c r="BS136" s="31"/>
      <c r="BT136" s="31"/>
      <c r="BU136" s="31"/>
      <c r="BV136" s="31"/>
      <c r="BW136" s="31"/>
      <c r="BX136" s="31"/>
      <c r="BY136" s="31"/>
      <c r="BZ136" s="31"/>
      <c r="CA136" s="31"/>
      <c r="CB136" s="31"/>
      <c r="CC136" s="31"/>
      <c r="CD136" s="31"/>
      <c r="CE136" s="31"/>
      <c r="CF136" s="31"/>
      <c r="CG136" s="31"/>
      <c r="CH136" s="31"/>
      <c r="CI136" s="31"/>
      <c r="CJ136" s="31"/>
      <c r="CK136" s="31"/>
      <c r="CL136" s="31"/>
      <c r="CM136" s="31"/>
      <c r="CN136" s="31"/>
      <c r="CO136" s="31"/>
      <c r="CP136" s="31"/>
      <c r="CQ136" s="31"/>
      <c r="CR136" s="31"/>
      <c r="CS136" s="31"/>
      <c r="CT136" s="31"/>
      <c r="CU136" s="31"/>
      <c r="CV136" s="31"/>
      <c r="CW136" s="31"/>
      <c r="CX136" s="31"/>
      <c r="CY136" s="31"/>
      <c r="CZ136" s="31"/>
      <c r="DA136" s="31"/>
      <c r="DB136" s="31"/>
      <c r="DC136" s="31"/>
      <c r="DD136" s="31"/>
      <c r="DE136" s="31"/>
      <c r="DF136" s="31"/>
      <c r="DG136" s="31"/>
      <c r="DH136" s="31"/>
      <c r="DI136" s="31"/>
      <c r="DJ136" s="31"/>
      <c r="DK136" s="31"/>
      <c r="DL136" s="31"/>
      <c r="DM136" s="31"/>
      <c r="DN136" s="31"/>
      <c r="DO136" s="31"/>
      <c r="DP136" s="31"/>
      <c r="DQ136" s="31"/>
      <c r="DR136" s="31"/>
      <c r="DS136" s="31"/>
      <c r="DT136" s="31"/>
      <c r="DU136" s="31"/>
      <c r="DV136" s="31"/>
      <c r="DW136" s="31"/>
      <c r="DX136" s="31"/>
      <c r="DY136" s="31"/>
      <c r="DZ136" s="31"/>
      <c r="EA136" s="31"/>
      <c r="EB136" s="31"/>
      <c r="EC136" s="31"/>
      <c r="ED136" s="31"/>
      <c r="EE136" s="31"/>
      <c r="EF136" s="31"/>
      <c r="EG136" s="31"/>
      <c r="EH136" s="31"/>
      <c r="EI136" s="31"/>
      <c r="EJ136" s="31"/>
      <c r="EK136" s="31"/>
      <c r="EL136" s="31"/>
      <c r="EM136" s="31"/>
      <c r="EN136" s="31"/>
      <c r="EO136" s="31"/>
      <c r="EP136" s="31"/>
      <c r="EQ136" s="31"/>
      <c r="ER136" s="31"/>
      <c r="ES136" s="31"/>
      <c r="ET136" s="31"/>
      <c r="EU136" s="31"/>
      <c r="EV136" s="31"/>
      <c r="EW136" s="31"/>
      <c r="EX136" s="31"/>
      <c r="EY136" s="31"/>
      <c r="EZ136" s="31"/>
      <c r="FA136" s="31"/>
      <c r="FB136" s="31"/>
      <c r="FC136" s="31"/>
      <c r="FD136" s="31"/>
      <c r="FE136" s="31"/>
      <c r="FF136" s="31"/>
      <c r="FG136" s="31"/>
      <c r="FH136" s="31"/>
      <c r="FI136" s="31"/>
      <c r="FJ136" s="31"/>
      <c r="FK136" s="31"/>
      <c r="FL136" s="31"/>
      <c r="FM136" s="31"/>
      <c r="FN136" s="31"/>
      <c r="FO136" s="31"/>
      <c r="FP136" s="31"/>
      <c r="FQ136" s="31"/>
      <c r="FR136" s="31"/>
      <c r="FS136" s="31"/>
      <c r="FT136" s="31"/>
      <c r="FU136" s="31"/>
      <c r="FV136" s="31"/>
      <c r="FW136" s="31"/>
      <c r="FX136" s="31"/>
      <c r="FY136" s="31"/>
      <c r="FZ136" s="31"/>
      <c r="GA136" s="31"/>
      <c r="GB136" s="31"/>
      <c r="GC136" s="31"/>
      <c r="GD136" s="31"/>
      <c r="GE136" s="31"/>
      <c r="GF136" s="31"/>
      <c r="GG136" s="31"/>
      <c r="GH136" s="31"/>
      <c r="GI136" s="31"/>
      <c r="GJ136" s="31"/>
      <c r="GK136" s="31"/>
      <c r="GL136" s="31"/>
      <c r="GM136" s="31"/>
      <c r="GN136" s="31"/>
      <c r="GO136" s="31"/>
      <c r="GP136" s="31"/>
      <c r="GQ136" s="31"/>
      <c r="GR136" s="31"/>
      <c r="GS136" s="31"/>
      <c r="GT136" s="31"/>
      <c r="GU136" s="31"/>
      <c r="GV136" s="31"/>
      <c r="GW136" s="31"/>
      <c r="GX136" s="31"/>
      <c r="GY136" s="31"/>
      <c r="GZ136" s="31"/>
      <c r="HA136" s="31"/>
      <c r="HB136" s="31"/>
      <c r="HC136" s="31"/>
      <c r="HD136" s="31"/>
      <c r="HE136" s="31"/>
      <c r="HF136" s="31"/>
      <c r="HG136" s="31"/>
      <c r="HH136" s="31"/>
      <c r="HI136" s="31"/>
      <c r="HJ136" s="31"/>
      <c r="HK136" s="31"/>
      <c r="HL136" s="31"/>
      <c r="HM136" s="31"/>
      <c r="HN136" s="31"/>
      <c r="HO136" s="31"/>
      <c r="HP136" s="31"/>
      <c r="HQ136" s="31"/>
      <c r="HR136" s="31"/>
      <c r="HS136" s="31"/>
      <c r="HT136" s="31"/>
      <c r="HU136" s="31"/>
      <c r="HV136" s="31"/>
      <c r="HW136" s="31"/>
      <c r="HX136" s="31"/>
      <c r="HY136" s="31"/>
      <c r="HZ136" s="31"/>
      <c r="IA136" s="31"/>
      <c r="IB136" s="31"/>
      <c r="IC136" s="31"/>
      <c r="ID136" s="31"/>
      <c r="IE136" s="31"/>
      <c r="IF136" s="31"/>
      <c r="IG136" s="31"/>
      <c r="IH136" s="31"/>
      <c r="II136" s="31"/>
      <c r="IJ136" s="31"/>
      <c r="IK136" s="31"/>
      <c r="IL136" s="31"/>
      <c r="IM136" s="31"/>
      <c r="IN136" s="31"/>
      <c r="IO136" s="31"/>
      <c r="IP136" s="31"/>
      <c r="IQ136" s="31"/>
      <c r="IR136" s="31"/>
      <c r="IS136" s="31"/>
      <c r="IT136" s="31"/>
      <c r="IU136" s="31"/>
      <c r="IV136" s="31"/>
      <c r="IW136" s="31"/>
    </row>
    <row r="137" spans="1:257" ht="15.75" customHeight="1" x14ac:dyDescent="0.3">
      <c r="A137" s="156">
        <v>115</v>
      </c>
      <c r="B137" s="120" t="s">
        <v>111</v>
      </c>
      <c r="C137" s="85" t="s">
        <v>172</v>
      </c>
      <c r="D137" s="45">
        <v>1248465314.75</v>
      </c>
      <c r="E137" s="191"/>
      <c r="F137" s="45"/>
      <c r="G137" s="44">
        <v>748533290.94000006</v>
      </c>
      <c r="H137" s="44"/>
      <c r="I137" s="45">
        <f>1434.36+959457175.31</f>
        <v>959458609.66999996</v>
      </c>
      <c r="J137" s="53">
        <v>2956457215.3600001</v>
      </c>
      <c r="K137" s="53">
        <v>45595835.259999998</v>
      </c>
      <c r="L137" s="45">
        <v>21298708.73</v>
      </c>
      <c r="M137" s="46">
        <v>62845187.780000001</v>
      </c>
      <c r="N137" s="45">
        <v>3182520106.1900001</v>
      </c>
      <c r="O137" s="45">
        <v>149068355.63</v>
      </c>
      <c r="P137" s="224">
        <v>2974567112.3400002</v>
      </c>
      <c r="Q137" s="48">
        <f>(P137/$P$145)</f>
        <v>0.16901861436756671</v>
      </c>
      <c r="R137" s="47">
        <v>3033451750.5599999</v>
      </c>
      <c r="S137" s="48">
        <f>(R137/$R$145)</f>
        <v>0.16922104993058268</v>
      </c>
      <c r="T137" s="49">
        <f>((R137-P137)/P137)</f>
        <v>1.9796036194885871E-2</v>
      </c>
      <c r="U137" s="87">
        <f>(L137/R137)</f>
        <v>7.0212782273751627E-3</v>
      </c>
      <c r="V137" s="50">
        <f>M137/R137</f>
        <v>2.0717384994964325E-2</v>
      </c>
      <c r="W137" s="51">
        <f>R137/AB137</f>
        <v>1.5340308485205381</v>
      </c>
      <c r="X137" s="51">
        <f>M137/AB137</f>
        <v>3.1781107682951781E-2</v>
      </c>
      <c r="Y137" s="53">
        <v>1.52</v>
      </c>
      <c r="Z137" s="53">
        <v>1.54</v>
      </c>
      <c r="AA137" s="57">
        <f>SUM(14894,221,22)</f>
        <v>15137</v>
      </c>
      <c r="AB137" s="165">
        <v>1977438559</v>
      </c>
      <c r="AC137" s="145"/>
      <c r="AD137" s="31"/>
      <c r="AE137" s="31"/>
      <c r="AF137" s="31"/>
      <c r="AG137" s="31"/>
      <c r="AH137" s="31"/>
      <c r="AI137" s="31"/>
      <c r="AJ137" s="31"/>
      <c r="AK137" s="31"/>
      <c r="AL137" s="31"/>
      <c r="AM137" s="31"/>
      <c r="AN137" s="31"/>
      <c r="AO137" s="31"/>
      <c r="AP137" s="31"/>
      <c r="AQ137" s="31"/>
      <c r="AR137" s="31"/>
      <c r="AS137" s="31"/>
      <c r="AT137" s="31"/>
      <c r="AU137" s="31"/>
      <c r="AV137" s="31"/>
      <c r="AW137" s="31"/>
      <c r="AX137" s="31"/>
      <c r="AY137" s="31"/>
      <c r="AZ137" s="31"/>
      <c r="BA137" s="31"/>
      <c r="BB137" s="31"/>
      <c r="BC137" s="31"/>
      <c r="BD137" s="31"/>
      <c r="BE137" s="31"/>
      <c r="BF137" s="31"/>
      <c r="BG137" s="31"/>
      <c r="BH137" s="31"/>
      <c r="BI137" s="31"/>
      <c r="BJ137" s="31"/>
      <c r="BK137" s="31"/>
      <c r="BL137" s="31"/>
      <c r="BM137" s="31"/>
      <c r="BN137" s="31"/>
      <c r="BO137" s="31"/>
      <c r="BP137" s="31"/>
      <c r="BQ137" s="31"/>
      <c r="BR137" s="31"/>
      <c r="BS137" s="31"/>
      <c r="BT137" s="31"/>
      <c r="BU137" s="31"/>
      <c r="BV137" s="31"/>
      <c r="BW137" s="31"/>
      <c r="BX137" s="31"/>
      <c r="BY137" s="31"/>
      <c r="BZ137" s="31"/>
      <c r="CA137" s="31"/>
      <c r="CB137" s="31"/>
      <c r="CC137" s="31"/>
      <c r="CD137" s="31"/>
      <c r="CE137" s="31"/>
      <c r="CF137" s="31"/>
      <c r="CG137" s="31"/>
      <c r="CH137" s="31"/>
      <c r="CI137" s="31"/>
      <c r="CJ137" s="31"/>
      <c r="CK137" s="31"/>
      <c r="CL137" s="31"/>
      <c r="CM137" s="31"/>
      <c r="CN137" s="31"/>
      <c r="CO137" s="31"/>
      <c r="CP137" s="31"/>
      <c r="CQ137" s="31"/>
      <c r="CR137" s="31"/>
      <c r="CS137" s="31"/>
      <c r="CT137" s="31"/>
      <c r="CU137" s="31"/>
      <c r="CV137" s="31"/>
      <c r="CW137" s="31"/>
      <c r="CX137" s="31"/>
      <c r="CY137" s="31"/>
      <c r="CZ137" s="31"/>
      <c r="DA137" s="31"/>
      <c r="DB137" s="31"/>
      <c r="DC137" s="31"/>
      <c r="DD137" s="31"/>
      <c r="DE137" s="31"/>
      <c r="DF137" s="31"/>
      <c r="DG137" s="31"/>
      <c r="DH137" s="31"/>
      <c r="DI137" s="31"/>
      <c r="DJ137" s="31"/>
      <c r="DK137" s="31"/>
      <c r="DL137" s="31"/>
      <c r="DM137" s="31"/>
      <c r="DN137" s="31"/>
      <c r="DO137" s="31"/>
      <c r="DP137" s="31"/>
      <c r="DQ137" s="31"/>
      <c r="DR137" s="31"/>
      <c r="DS137" s="31"/>
      <c r="DT137" s="31"/>
      <c r="DU137" s="31"/>
      <c r="DV137" s="31"/>
      <c r="DW137" s="31"/>
      <c r="DX137" s="31"/>
      <c r="DY137" s="31"/>
      <c r="DZ137" s="31"/>
      <c r="EA137" s="31"/>
      <c r="EB137" s="31"/>
      <c r="EC137" s="31"/>
      <c r="ED137" s="31"/>
      <c r="EE137" s="31"/>
      <c r="EF137" s="31"/>
      <c r="EG137" s="31"/>
      <c r="EH137" s="31"/>
      <c r="EI137" s="31"/>
      <c r="EJ137" s="31"/>
      <c r="EK137" s="31"/>
      <c r="EL137" s="31"/>
      <c r="EM137" s="31"/>
      <c r="EN137" s="31"/>
      <c r="EO137" s="31"/>
      <c r="EP137" s="31"/>
      <c r="EQ137" s="31"/>
      <c r="ER137" s="31"/>
      <c r="ES137" s="31"/>
      <c r="ET137" s="31"/>
      <c r="EU137" s="31"/>
      <c r="EV137" s="31"/>
      <c r="EW137" s="31"/>
      <c r="EX137" s="31"/>
      <c r="EY137" s="31"/>
      <c r="EZ137" s="31"/>
      <c r="FA137" s="31"/>
      <c r="FB137" s="31"/>
      <c r="FC137" s="31"/>
      <c r="FD137" s="31"/>
      <c r="FE137" s="31"/>
      <c r="FF137" s="31"/>
      <c r="FG137" s="31"/>
      <c r="FH137" s="31"/>
      <c r="FI137" s="31"/>
      <c r="FJ137" s="31"/>
      <c r="FK137" s="31"/>
      <c r="FL137" s="31"/>
      <c r="FM137" s="31"/>
      <c r="FN137" s="31"/>
      <c r="FO137" s="31"/>
      <c r="FP137" s="31"/>
      <c r="FQ137" s="31"/>
      <c r="FR137" s="31"/>
      <c r="FS137" s="31"/>
      <c r="FT137" s="31"/>
      <c r="FU137" s="31"/>
      <c r="FV137" s="31"/>
      <c r="FW137" s="31"/>
      <c r="FX137" s="31"/>
      <c r="FY137" s="31"/>
      <c r="FZ137" s="31"/>
      <c r="GA137" s="31"/>
      <c r="GB137" s="31"/>
      <c r="GC137" s="31"/>
      <c r="GD137" s="31"/>
      <c r="GE137" s="31"/>
      <c r="GF137" s="31"/>
      <c r="GG137" s="31"/>
      <c r="GH137" s="31"/>
      <c r="GI137" s="31"/>
      <c r="GJ137" s="31"/>
      <c r="GK137" s="31"/>
      <c r="GL137" s="31"/>
      <c r="GM137" s="31"/>
      <c r="GN137" s="31"/>
      <c r="GO137" s="31"/>
      <c r="GP137" s="31"/>
      <c r="GQ137" s="31"/>
      <c r="GR137" s="31"/>
      <c r="GS137" s="31"/>
      <c r="GT137" s="31"/>
      <c r="GU137" s="31"/>
      <c r="GV137" s="31"/>
      <c r="GW137" s="31"/>
      <c r="GX137" s="31"/>
      <c r="GY137" s="31"/>
      <c r="GZ137" s="31"/>
      <c r="HA137" s="31"/>
      <c r="HB137" s="31"/>
      <c r="HC137" s="31"/>
      <c r="HD137" s="31"/>
      <c r="HE137" s="31"/>
      <c r="HF137" s="31"/>
      <c r="HG137" s="31"/>
      <c r="HH137" s="31"/>
      <c r="HI137" s="31"/>
      <c r="HJ137" s="31"/>
      <c r="HK137" s="31"/>
      <c r="HL137" s="31"/>
      <c r="HM137" s="31"/>
      <c r="HN137" s="31"/>
      <c r="HO137" s="31"/>
      <c r="HP137" s="31"/>
      <c r="HQ137" s="31"/>
      <c r="HR137" s="31"/>
      <c r="HS137" s="31"/>
      <c r="HT137" s="31"/>
      <c r="HU137" s="31"/>
      <c r="HV137" s="31"/>
      <c r="HW137" s="31"/>
      <c r="HX137" s="31"/>
      <c r="HY137" s="31"/>
      <c r="HZ137" s="31"/>
      <c r="IA137" s="31"/>
      <c r="IB137" s="31"/>
      <c r="IC137" s="31"/>
      <c r="ID137" s="31"/>
      <c r="IE137" s="31"/>
      <c r="IF137" s="31"/>
      <c r="IG137" s="31"/>
      <c r="IH137" s="31"/>
      <c r="II137" s="31"/>
      <c r="IJ137" s="31"/>
      <c r="IK137" s="31"/>
      <c r="IL137" s="31"/>
      <c r="IM137" s="31"/>
      <c r="IN137" s="31"/>
      <c r="IO137" s="31"/>
      <c r="IP137" s="31"/>
      <c r="IQ137" s="31"/>
      <c r="IR137" s="31"/>
      <c r="IS137" s="31"/>
      <c r="IT137" s="31"/>
      <c r="IU137" s="31"/>
      <c r="IV137" s="31"/>
      <c r="IW137" s="31"/>
    </row>
    <row r="138" spans="1:257" ht="15.75" customHeight="1" x14ac:dyDescent="0.3">
      <c r="A138" s="156">
        <v>116</v>
      </c>
      <c r="B138" s="120" t="s">
        <v>25</v>
      </c>
      <c r="C138" s="86" t="s">
        <v>151</v>
      </c>
      <c r="D138" s="81">
        <v>189438876.40000001</v>
      </c>
      <c r="E138" s="81"/>
      <c r="F138" s="81">
        <v>36220785.75</v>
      </c>
      <c r="G138" s="81">
        <v>23955546.960000001</v>
      </c>
      <c r="H138" s="81"/>
      <c r="I138" s="81"/>
      <c r="J138" s="81">
        <v>249615209.11000001</v>
      </c>
      <c r="K138" s="81">
        <v>2475205.2000000002</v>
      </c>
      <c r="L138" s="81">
        <v>708213.08</v>
      </c>
      <c r="M138" s="46">
        <v>422221.06</v>
      </c>
      <c r="N138" s="44">
        <v>257618973.56999999</v>
      </c>
      <c r="O138" s="44">
        <v>4610680.0999999996</v>
      </c>
      <c r="P138" s="224">
        <v>272889815.52999997</v>
      </c>
      <c r="Q138" s="48">
        <f>(P138/$P$145)</f>
        <v>1.550593977340709E-2</v>
      </c>
      <c r="R138" s="56">
        <v>253008293.47</v>
      </c>
      <c r="S138" s="48">
        <f>(R138/$R$145)</f>
        <v>1.4114062982618567E-2</v>
      </c>
      <c r="T138" s="49">
        <f t="shared" si="68"/>
        <v>-7.2855493054537646E-2</v>
      </c>
      <c r="U138" s="87">
        <f t="shared" si="69"/>
        <v>2.7991694275586072E-3</v>
      </c>
      <c r="V138" s="50">
        <f t="shared" si="70"/>
        <v>1.6688032404363223E-3</v>
      </c>
      <c r="W138" s="51">
        <f t="shared" si="71"/>
        <v>242.57933250990737</v>
      </c>
      <c r="X138" s="51">
        <f t="shared" si="72"/>
        <v>0.40481717615541352</v>
      </c>
      <c r="Y138" s="44">
        <v>240.17</v>
      </c>
      <c r="Z138" s="44">
        <v>243.9</v>
      </c>
      <c r="AA138" s="52">
        <v>449</v>
      </c>
      <c r="AB138" s="158">
        <v>1042991.96</v>
      </c>
      <c r="AC138" s="145"/>
    </row>
    <row r="139" spans="1:257" ht="4.5" customHeight="1" x14ac:dyDescent="0.3">
      <c r="A139" s="156"/>
      <c r="B139" s="120"/>
      <c r="C139" s="86"/>
      <c r="D139" s="81"/>
      <c r="E139" s="81"/>
      <c r="F139" s="81"/>
      <c r="G139" s="81"/>
      <c r="H139" s="81"/>
      <c r="I139" s="81"/>
      <c r="J139" s="81"/>
      <c r="K139" s="81"/>
      <c r="L139" s="81"/>
      <c r="M139" s="46"/>
      <c r="N139" s="44"/>
      <c r="O139" s="44"/>
      <c r="P139" s="112"/>
      <c r="Q139" s="48"/>
      <c r="R139" s="56"/>
      <c r="S139" s="48"/>
      <c r="T139" s="49"/>
      <c r="U139" s="87"/>
      <c r="V139" s="50"/>
      <c r="W139" s="51"/>
      <c r="X139" s="51"/>
      <c r="Y139" s="44"/>
      <c r="Z139" s="44"/>
      <c r="AA139" s="52"/>
      <c r="AB139" s="158"/>
      <c r="AC139" s="145"/>
      <c r="AD139" s="31"/>
      <c r="AE139" s="31"/>
      <c r="AF139" s="31"/>
      <c r="AG139" s="31"/>
      <c r="AH139" s="31"/>
      <c r="AI139" s="31"/>
      <c r="AJ139" s="31"/>
      <c r="AK139" s="31"/>
      <c r="AL139" s="31"/>
      <c r="AM139" s="31"/>
      <c r="AN139" s="31"/>
      <c r="AO139" s="31"/>
      <c r="AP139" s="31"/>
      <c r="AQ139" s="31"/>
      <c r="AR139" s="31"/>
      <c r="AS139" s="31"/>
      <c r="AT139" s="31"/>
      <c r="AU139" s="31"/>
      <c r="AV139" s="31"/>
      <c r="AW139" s="31"/>
      <c r="AX139" s="31"/>
      <c r="AY139" s="31"/>
      <c r="AZ139" s="31"/>
      <c r="BA139" s="31"/>
      <c r="BB139" s="31"/>
      <c r="BC139" s="31"/>
      <c r="BD139" s="31"/>
      <c r="BE139" s="31"/>
      <c r="BF139" s="31"/>
      <c r="BG139" s="31"/>
      <c r="BH139" s="31"/>
      <c r="BI139" s="31"/>
      <c r="BJ139" s="31"/>
      <c r="BK139" s="31"/>
      <c r="BL139" s="31"/>
      <c r="BM139" s="31"/>
      <c r="BN139" s="31"/>
      <c r="BO139" s="31"/>
      <c r="BP139" s="31"/>
      <c r="BQ139" s="31"/>
      <c r="BR139" s="31"/>
      <c r="BS139" s="31"/>
      <c r="BT139" s="31"/>
      <c r="BU139" s="31"/>
      <c r="BV139" s="31"/>
      <c r="BW139" s="31"/>
      <c r="BX139" s="31"/>
      <c r="BY139" s="31"/>
      <c r="BZ139" s="31"/>
      <c r="CA139" s="31"/>
      <c r="CB139" s="31"/>
      <c r="CC139" s="31"/>
      <c r="CD139" s="31"/>
      <c r="CE139" s="31"/>
      <c r="CF139" s="31"/>
      <c r="CG139" s="31"/>
      <c r="CH139" s="31"/>
      <c r="CI139" s="31"/>
      <c r="CJ139" s="31"/>
      <c r="CK139" s="31"/>
      <c r="CL139" s="31"/>
      <c r="CM139" s="31"/>
      <c r="CN139" s="31"/>
      <c r="CO139" s="31"/>
      <c r="CP139" s="31"/>
      <c r="CQ139" s="31"/>
      <c r="CR139" s="31"/>
      <c r="CS139" s="31"/>
      <c r="CT139" s="31"/>
      <c r="CU139" s="31"/>
      <c r="CV139" s="31"/>
      <c r="CW139" s="31"/>
      <c r="CX139" s="31"/>
      <c r="CY139" s="31"/>
      <c r="CZ139" s="31"/>
      <c r="DA139" s="31"/>
      <c r="DB139" s="31"/>
      <c r="DC139" s="31"/>
      <c r="DD139" s="31"/>
      <c r="DE139" s="31"/>
      <c r="DF139" s="31"/>
      <c r="DG139" s="31"/>
      <c r="DH139" s="31"/>
      <c r="DI139" s="31"/>
      <c r="DJ139" s="31"/>
      <c r="DK139" s="31"/>
      <c r="DL139" s="31"/>
      <c r="DM139" s="31"/>
      <c r="DN139" s="31"/>
      <c r="DO139" s="31"/>
      <c r="DP139" s="31"/>
      <c r="DQ139" s="31"/>
      <c r="DR139" s="31"/>
      <c r="DS139" s="31"/>
      <c r="DT139" s="31"/>
      <c r="DU139" s="31"/>
      <c r="DV139" s="31"/>
      <c r="DW139" s="31"/>
      <c r="DX139" s="31"/>
      <c r="DY139" s="31"/>
      <c r="DZ139" s="31"/>
      <c r="EA139" s="31"/>
      <c r="EB139" s="31"/>
      <c r="EC139" s="31"/>
      <c r="ED139" s="31"/>
      <c r="EE139" s="31"/>
      <c r="EF139" s="31"/>
      <c r="EG139" s="31"/>
      <c r="EH139" s="31"/>
      <c r="EI139" s="31"/>
      <c r="EJ139" s="31"/>
      <c r="EK139" s="31"/>
      <c r="EL139" s="31"/>
      <c r="EM139" s="31"/>
      <c r="EN139" s="31"/>
      <c r="EO139" s="31"/>
      <c r="EP139" s="31"/>
      <c r="EQ139" s="31"/>
      <c r="ER139" s="31"/>
      <c r="ES139" s="31"/>
      <c r="ET139" s="31"/>
      <c r="EU139" s="31"/>
      <c r="EV139" s="31"/>
      <c r="EW139" s="31"/>
      <c r="EX139" s="31"/>
      <c r="EY139" s="31"/>
      <c r="EZ139" s="31"/>
      <c r="FA139" s="31"/>
      <c r="FB139" s="31"/>
      <c r="FC139" s="31"/>
      <c r="FD139" s="31"/>
      <c r="FE139" s="31"/>
      <c r="FF139" s="31"/>
      <c r="FG139" s="31"/>
      <c r="FH139" s="31"/>
      <c r="FI139" s="31"/>
      <c r="FJ139" s="31"/>
      <c r="FK139" s="31"/>
      <c r="FL139" s="31"/>
      <c r="FM139" s="31"/>
      <c r="FN139" s="31"/>
      <c r="FO139" s="31"/>
      <c r="FP139" s="31"/>
      <c r="FQ139" s="31"/>
      <c r="FR139" s="31"/>
      <c r="FS139" s="31"/>
      <c r="FT139" s="31"/>
      <c r="FU139" s="31"/>
      <c r="FV139" s="31"/>
      <c r="FW139" s="31"/>
      <c r="FX139" s="31"/>
      <c r="FY139" s="31"/>
      <c r="FZ139" s="31"/>
      <c r="GA139" s="31"/>
      <c r="GB139" s="31"/>
      <c r="GC139" s="31"/>
      <c r="GD139" s="31"/>
      <c r="GE139" s="31"/>
      <c r="GF139" s="31"/>
      <c r="GG139" s="31"/>
      <c r="GH139" s="31"/>
      <c r="GI139" s="31"/>
      <c r="GJ139" s="31"/>
      <c r="GK139" s="31"/>
      <c r="GL139" s="31"/>
      <c r="GM139" s="31"/>
      <c r="GN139" s="31"/>
      <c r="GO139" s="31"/>
      <c r="GP139" s="31"/>
      <c r="GQ139" s="31"/>
      <c r="GR139" s="31"/>
      <c r="GS139" s="31"/>
      <c r="GT139" s="31"/>
      <c r="GU139" s="31"/>
      <c r="GV139" s="31"/>
      <c r="GW139" s="31"/>
      <c r="GX139" s="31"/>
      <c r="GY139" s="31"/>
      <c r="GZ139" s="31"/>
      <c r="HA139" s="31"/>
      <c r="HB139" s="31"/>
      <c r="HC139" s="31"/>
      <c r="HD139" s="31"/>
      <c r="HE139" s="31"/>
      <c r="HF139" s="31"/>
      <c r="HG139" s="31"/>
      <c r="HH139" s="31"/>
      <c r="HI139" s="31"/>
      <c r="HJ139" s="31"/>
      <c r="HK139" s="31"/>
      <c r="HL139" s="31"/>
      <c r="HM139" s="31"/>
      <c r="HN139" s="31"/>
      <c r="HO139" s="31"/>
      <c r="HP139" s="31"/>
      <c r="HQ139" s="31"/>
      <c r="HR139" s="31"/>
      <c r="HS139" s="31"/>
      <c r="HT139" s="31"/>
      <c r="HU139" s="31"/>
      <c r="HV139" s="31"/>
      <c r="HW139" s="31"/>
      <c r="HX139" s="31"/>
      <c r="HY139" s="31"/>
      <c r="HZ139" s="31"/>
      <c r="IA139" s="31"/>
      <c r="IB139" s="31"/>
      <c r="IC139" s="31"/>
      <c r="ID139" s="31"/>
      <c r="IE139" s="31"/>
      <c r="IF139" s="31"/>
      <c r="IG139" s="31"/>
      <c r="IH139" s="31"/>
      <c r="II139" s="31"/>
      <c r="IJ139" s="31"/>
      <c r="IK139" s="31"/>
      <c r="IL139" s="31"/>
      <c r="IM139" s="31"/>
      <c r="IN139" s="31"/>
      <c r="IO139" s="31"/>
      <c r="IP139" s="31"/>
      <c r="IQ139" s="31"/>
      <c r="IR139" s="31"/>
      <c r="IS139" s="31"/>
      <c r="IT139" s="31"/>
      <c r="IU139" s="31"/>
      <c r="IV139" s="31"/>
      <c r="IW139" s="31"/>
    </row>
    <row r="140" spans="1:257" ht="15.75" customHeight="1" x14ac:dyDescent="0.3">
      <c r="A140" s="246" t="s">
        <v>194</v>
      </c>
      <c r="B140" s="247"/>
      <c r="C140" s="247"/>
      <c r="D140" s="152"/>
      <c r="E140" s="152"/>
      <c r="F140" s="152"/>
      <c r="G140" s="152"/>
      <c r="H140" s="152"/>
      <c r="I140" s="152"/>
      <c r="J140" s="152"/>
      <c r="K140" s="152"/>
      <c r="L140" s="132"/>
      <c r="M140" s="141"/>
      <c r="N140" s="132"/>
      <c r="O140" s="132"/>
      <c r="P140" s="133"/>
      <c r="Q140" s="134"/>
      <c r="R140" s="132"/>
      <c r="S140" s="134"/>
      <c r="T140" s="134"/>
      <c r="U140" s="139"/>
      <c r="V140" s="136"/>
      <c r="W140" s="137"/>
      <c r="X140" s="137"/>
      <c r="Y140" s="132"/>
      <c r="Z140" s="132"/>
      <c r="AA140" s="140"/>
      <c r="AB140" s="166"/>
      <c r="AC140" s="145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31"/>
      <c r="AT140" s="31"/>
      <c r="AU140" s="31"/>
      <c r="AV140" s="31"/>
      <c r="AW140" s="31"/>
      <c r="AX140" s="31"/>
      <c r="AY140" s="31"/>
      <c r="AZ140" s="31"/>
      <c r="BA140" s="31"/>
      <c r="BB140" s="31"/>
      <c r="BC140" s="31"/>
      <c r="BD140" s="31"/>
      <c r="BE140" s="31"/>
      <c r="BF140" s="31"/>
      <c r="BG140" s="31"/>
      <c r="BH140" s="31"/>
      <c r="BI140" s="31"/>
      <c r="BJ140" s="31"/>
      <c r="BK140" s="31"/>
      <c r="BL140" s="31"/>
      <c r="BM140" s="31"/>
      <c r="BN140" s="31"/>
      <c r="BO140" s="31"/>
      <c r="BP140" s="31"/>
      <c r="BQ140" s="31"/>
      <c r="BR140" s="31"/>
      <c r="BS140" s="31"/>
      <c r="BT140" s="31"/>
      <c r="BU140" s="31"/>
      <c r="BV140" s="31"/>
      <c r="BW140" s="31"/>
      <c r="BX140" s="31"/>
      <c r="BY140" s="31"/>
      <c r="BZ140" s="31"/>
      <c r="CA140" s="31"/>
      <c r="CB140" s="31"/>
      <c r="CC140" s="31"/>
      <c r="CD140" s="31"/>
      <c r="CE140" s="31"/>
      <c r="CF140" s="31"/>
      <c r="CG140" s="31"/>
      <c r="CH140" s="31"/>
      <c r="CI140" s="31"/>
      <c r="CJ140" s="31"/>
      <c r="CK140" s="31"/>
      <c r="CL140" s="31"/>
      <c r="CM140" s="31"/>
      <c r="CN140" s="31"/>
      <c r="CO140" s="31"/>
      <c r="CP140" s="31"/>
      <c r="CQ140" s="31"/>
      <c r="CR140" s="31"/>
      <c r="CS140" s="31"/>
      <c r="CT140" s="31"/>
      <c r="CU140" s="31"/>
      <c r="CV140" s="31"/>
      <c r="CW140" s="31"/>
      <c r="CX140" s="31"/>
      <c r="CY140" s="31"/>
      <c r="CZ140" s="31"/>
      <c r="DA140" s="31"/>
      <c r="DB140" s="31"/>
      <c r="DC140" s="31"/>
      <c r="DD140" s="31"/>
      <c r="DE140" s="31"/>
      <c r="DF140" s="31"/>
      <c r="DG140" s="31"/>
      <c r="DH140" s="31"/>
      <c r="DI140" s="31"/>
      <c r="DJ140" s="31"/>
      <c r="DK140" s="31"/>
      <c r="DL140" s="31"/>
      <c r="DM140" s="31"/>
      <c r="DN140" s="31"/>
      <c r="DO140" s="31"/>
      <c r="DP140" s="31"/>
      <c r="DQ140" s="31"/>
      <c r="DR140" s="31"/>
      <c r="DS140" s="31"/>
      <c r="DT140" s="31"/>
      <c r="DU140" s="31"/>
      <c r="DV140" s="31"/>
      <c r="DW140" s="31"/>
      <c r="DX140" s="31"/>
      <c r="DY140" s="31"/>
      <c r="DZ140" s="31"/>
      <c r="EA140" s="31"/>
      <c r="EB140" s="31"/>
      <c r="EC140" s="31"/>
      <c r="ED140" s="31"/>
      <c r="EE140" s="31"/>
      <c r="EF140" s="31"/>
      <c r="EG140" s="31"/>
      <c r="EH140" s="31"/>
      <c r="EI140" s="31"/>
      <c r="EJ140" s="31"/>
      <c r="EK140" s="31"/>
      <c r="EL140" s="31"/>
      <c r="EM140" s="31"/>
      <c r="EN140" s="31"/>
      <c r="EO140" s="31"/>
      <c r="EP140" s="31"/>
      <c r="EQ140" s="31"/>
      <c r="ER140" s="31"/>
      <c r="ES140" s="31"/>
      <c r="ET140" s="31"/>
      <c r="EU140" s="31"/>
      <c r="EV140" s="31"/>
      <c r="EW140" s="31"/>
      <c r="EX140" s="31"/>
      <c r="EY140" s="31"/>
      <c r="EZ140" s="31"/>
      <c r="FA140" s="31"/>
      <c r="FB140" s="31"/>
      <c r="FC140" s="31"/>
      <c r="FD140" s="31"/>
      <c r="FE140" s="31"/>
      <c r="FF140" s="31"/>
      <c r="FG140" s="31"/>
      <c r="FH140" s="31"/>
      <c r="FI140" s="31"/>
      <c r="FJ140" s="31"/>
      <c r="FK140" s="31"/>
      <c r="FL140" s="31"/>
      <c r="FM140" s="31"/>
      <c r="FN140" s="31"/>
      <c r="FO140" s="31"/>
      <c r="FP140" s="31"/>
      <c r="FQ140" s="31"/>
      <c r="FR140" s="31"/>
      <c r="FS140" s="31"/>
      <c r="FT140" s="31"/>
      <c r="FU140" s="31"/>
      <c r="FV140" s="31"/>
      <c r="FW140" s="31"/>
      <c r="FX140" s="31"/>
      <c r="FY140" s="31"/>
      <c r="FZ140" s="31"/>
      <c r="GA140" s="31"/>
      <c r="GB140" s="31"/>
      <c r="GC140" s="31"/>
      <c r="GD140" s="31"/>
      <c r="GE140" s="31"/>
      <c r="GF140" s="31"/>
      <c r="GG140" s="31"/>
      <c r="GH140" s="31"/>
      <c r="GI140" s="31"/>
      <c r="GJ140" s="31"/>
      <c r="GK140" s="31"/>
      <c r="GL140" s="31"/>
      <c r="GM140" s="31"/>
      <c r="GN140" s="31"/>
      <c r="GO140" s="31"/>
      <c r="GP140" s="31"/>
      <c r="GQ140" s="31"/>
      <c r="GR140" s="31"/>
      <c r="GS140" s="31"/>
      <c r="GT140" s="31"/>
      <c r="GU140" s="31"/>
      <c r="GV140" s="31"/>
      <c r="GW140" s="31"/>
      <c r="GX140" s="31"/>
      <c r="GY140" s="31"/>
      <c r="GZ140" s="31"/>
      <c r="HA140" s="31"/>
      <c r="HB140" s="31"/>
      <c r="HC140" s="31"/>
      <c r="HD140" s="31"/>
      <c r="HE140" s="31"/>
      <c r="HF140" s="31"/>
      <c r="HG140" s="31"/>
      <c r="HH140" s="31"/>
      <c r="HI140" s="31"/>
      <c r="HJ140" s="31"/>
      <c r="HK140" s="31"/>
      <c r="HL140" s="31"/>
      <c r="HM140" s="31"/>
      <c r="HN140" s="31"/>
      <c r="HO140" s="31"/>
      <c r="HP140" s="31"/>
      <c r="HQ140" s="31"/>
      <c r="HR140" s="31"/>
      <c r="HS140" s="31"/>
      <c r="HT140" s="31"/>
      <c r="HU140" s="31"/>
      <c r="HV140" s="31"/>
      <c r="HW140" s="31"/>
      <c r="HX140" s="31"/>
      <c r="HY140" s="31"/>
      <c r="HZ140" s="31"/>
      <c r="IA140" s="31"/>
      <c r="IB140" s="31"/>
      <c r="IC140" s="31"/>
      <c r="ID140" s="31"/>
      <c r="IE140" s="31"/>
      <c r="IF140" s="31"/>
      <c r="IG140" s="31"/>
      <c r="IH140" s="31"/>
      <c r="II140" s="31"/>
      <c r="IJ140" s="31"/>
      <c r="IK140" s="31"/>
      <c r="IL140" s="31"/>
      <c r="IM140" s="31"/>
      <c r="IN140" s="31"/>
      <c r="IO140" s="31"/>
      <c r="IP140" s="31"/>
      <c r="IQ140" s="31"/>
      <c r="IR140" s="31"/>
      <c r="IS140" s="31"/>
      <c r="IT140" s="31"/>
      <c r="IU140" s="31"/>
      <c r="IV140" s="31"/>
      <c r="IW140" s="31"/>
    </row>
    <row r="141" spans="1:257" ht="15.75" customHeight="1" x14ac:dyDescent="0.3">
      <c r="A141" s="156">
        <v>117</v>
      </c>
      <c r="B141" s="122" t="s">
        <v>25</v>
      </c>
      <c r="C141" s="85" t="s">
        <v>121</v>
      </c>
      <c r="D141" s="104"/>
      <c r="E141" s="104"/>
      <c r="F141" s="104">
        <v>30655326.399999999</v>
      </c>
      <c r="G141" s="104">
        <v>7347673977.1099997</v>
      </c>
      <c r="H141" s="104"/>
      <c r="I141" s="81"/>
      <c r="J141" s="81">
        <v>7378329303.5100002</v>
      </c>
      <c r="K141" s="81">
        <v>36793736.509999998</v>
      </c>
      <c r="L141" s="81">
        <v>11073734.970000001</v>
      </c>
      <c r="M141" s="54">
        <v>25720001.539999999</v>
      </c>
      <c r="N141" s="44">
        <v>7427262932.6899996</v>
      </c>
      <c r="O141" s="44">
        <v>37447927.530000001</v>
      </c>
      <c r="P141" s="224">
        <v>7729238255.7299995</v>
      </c>
      <c r="Q141" s="48">
        <f>(P141/$P$145)</f>
        <v>0.43918496062191043</v>
      </c>
      <c r="R141" s="56">
        <v>7389815005.1599998</v>
      </c>
      <c r="S141" s="48">
        <f>(R141/$R$145)</f>
        <v>0.41224069370316985</v>
      </c>
      <c r="T141" s="49">
        <f>((R141-P141)/P141)</f>
        <v>-4.3914191714606726E-2</v>
      </c>
      <c r="U141" s="87">
        <f>(L141/R141)</f>
        <v>1.4985131511773533E-3</v>
      </c>
      <c r="V141" s="50">
        <f>M141/R141</f>
        <v>3.4804662257500079E-3</v>
      </c>
      <c r="W141" s="51">
        <f>R141/AB141</f>
        <v>116.93700869824089</v>
      </c>
      <c r="X141" s="51">
        <f>M141/AB141</f>
        <v>0.40699530931446232</v>
      </c>
      <c r="Y141" s="44">
        <v>116.94</v>
      </c>
      <c r="Z141" s="44">
        <v>116.94</v>
      </c>
      <c r="AA141" s="52">
        <v>962</v>
      </c>
      <c r="AB141" s="158">
        <v>63194835.299999997</v>
      </c>
      <c r="AC141" s="145"/>
      <c r="AD141" s="31"/>
      <c r="AE141" s="31"/>
      <c r="AF141" s="31"/>
      <c r="AG141" s="31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1"/>
      <c r="AW141" s="31"/>
      <c r="AX141" s="31"/>
      <c r="AY141" s="31"/>
      <c r="AZ141" s="31"/>
      <c r="BA141" s="31"/>
      <c r="BB141" s="31"/>
      <c r="BC141" s="31"/>
      <c r="BD141" s="31"/>
      <c r="BE141" s="31"/>
      <c r="BF141" s="31"/>
      <c r="BG141" s="31"/>
      <c r="BH141" s="31"/>
      <c r="BI141" s="31"/>
      <c r="BJ141" s="31"/>
      <c r="BK141" s="31"/>
      <c r="BL141" s="31"/>
      <c r="BM141" s="31"/>
      <c r="BN141" s="31"/>
      <c r="BO141" s="31"/>
      <c r="BP141" s="31"/>
      <c r="BQ141" s="31"/>
      <c r="BR141" s="31"/>
      <c r="BS141" s="31"/>
      <c r="BT141" s="31"/>
      <c r="BU141" s="31"/>
      <c r="BV141" s="31"/>
      <c r="BW141" s="31"/>
      <c r="BX141" s="31"/>
      <c r="BY141" s="31"/>
      <c r="BZ141" s="31"/>
      <c r="CA141" s="31"/>
      <c r="CB141" s="31"/>
      <c r="CC141" s="31"/>
      <c r="CD141" s="31"/>
      <c r="CE141" s="31"/>
      <c r="CF141" s="31"/>
      <c r="CG141" s="31"/>
      <c r="CH141" s="31"/>
      <c r="CI141" s="31"/>
      <c r="CJ141" s="31"/>
      <c r="CK141" s="31"/>
      <c r="CL141" s="31"/>
      <c r="CM141" s="31"/>
      <c r="CN141" s="31"/>
      <c r="CO141" s="31"/>
      <c r="CP141" s="31"/>
      <c r="CQ141" s="31"/>
      <c r="CR141" s="31"/>
      <c r="CS141" s="31"/>
      <c r="CT141" s="31"/>
      <c r="CU141" s="31"/>
      <c r="CV141" s="31"/>
      <c r="CW141" s="31"/>
      <c r="CX141" s="31"/>
      <c r="CY141" s="31"/>
      <c r="CZ141" s="31"/>
      <c r="DA141" s="31"/>
      <c r="DB141" s="31"/>
      <c r="DC141" s="31"/>
      <c r="DD141" s="31"/>
      <c r="DE141" s="31"/>
      <c r="DF141" s="31"/>
      <c r="DG141" s="31"/>
      <c r="DH141" s="31"/>
      <c r="DI141" s="31"/>
      <c r="DJ141" s="31"/>
      <c r="DK141" s="31"/>
      <c r="DL141" s="31"/>
      <c r="DM141" s="31"/>
      <c r="DN141" s="31"/>
      <c r="DO141" s="31"/>
      <c r="DP141" s="31"/>
      <c r="DQ141" s="31"/>
      <c r="DR141" s="31"/>
      <c r="DS141" s="31"/>
      <c r="DT141" s="31"/>
      <c r="DU141" s="31"/>
      <c r="DV141" s="31"/>
      <c r="DW141" s="31"/>
      <c r="DX141" s="31"/>
      <c r="DY141" s="31"/>
      <c r="DZ141" s="31"/>
      <c r="EA141" s="31"/>
      <c r="EB141" s="31"/>
      <c r="EC141" s="31"/>
      <c r="ED141" s="31"/>
      <c r="EE141" s="31"/>
      <c r="EF141" s="31"/>
      <c r="EG141" s="31"/>
      <c r="EH141" s="31"/>
      <c r="EI141" s="31"/>
      <c r="EJ141" s="31"/>
      <c r="EK141" s="31"/>
      <c r="EL141" s="31"/>
      <c r="EM141" s="31"/>
      <c r="EN141" s="31"/>
      <c r="EO141" s="31"/>
      <c r="EP141" s="31"/>
      <c r="EQ141" s="31"/>
      <c r="ER141" s="31"/>
      <c r="ES141" s="31"/>
      <c r="ET141" s="31"/>
      <c r="EU141" s="31"/>
      <c r="EV141" s="31"/>
      <c r="EW141" s="31"/>
      <c r="EX141" s="31"/>
      <c r="EY141" s="31"/>
      <c r="EZ141" s="31"/>
      <c r="FA141" s="31"/>
      <c r="FB141" s="31"/>
      <c r="FC141" s="31"/>
      <c r="FD141" s="31"/>
      <c r="FE141" s="31"/>
      <c r="FF141" s="31"/>
      <c r="FG141" s="31"/>
      <c r="FH141" s="31"/>
      <c r="FI141" s="31"/>
      <c r="FJ141" s="31"/>
      <c r="FK141" s="31"/>
      <c r="FL141" s="31"/>
      <c r="FM141" s="31"/>
      <c r="FN141" s="31"/>
      <c r="FO141" s="31"/>
      <c r="FP141" s="31"/>
      <c r="FQ141" s="31"/>
      <c r="FR141" s="31"/>
      <c r="FS141" s="31"/>
      <c r="FT141" s="31"/>
      <c r="FU141" s="31"/>
      <c r="FV141" s="31"/>
      <c r="FW141" s="31"/>
      <c r="FX141" s="31"/>
      <c r="FY141" s="31"/>
      <c r="FZ141" s="31"/>
      <c r="GA141" s="31"/>
      <c r="GB141" s="31"/>
      <c r="GC141" s="31"/>
      <c r="GD141" s="31"/>
      <c r="GE141" s="31"/>
      <c r="GF141" s="31"/>
      <c r="GG141" s="31"/>
      <c r="GH141" s="31"/>
      <c r="GI141" s="31"/>
      <c r="GJ141" s="31"/>
      <c r="GK141" s="31"/>
      <c r="GL141" s="31"/>
      <c r="GM141" s="31"/>
      <c r="GN141" s="31"/>
      <c r="GO141" s="31"/>
      <c r="GP141" s="31"/>
      <c r="GQ141" s="31"/>
      <c r="GR141" s="31"/>
      <c r="GS141" s="31"/>
      <c r="GT141" s="31"/>
      <c r="GU141" s="31"/>
      <c r="GV141" s="31"/>
      <c r="GW141" s="31"/>
      <c r="GX141" s="31"/>
      <c r="GY141" s="31"/>
      <c r="GZ141" s="31"/>
      <c r="HA141" s="31"/>
      <c r="HB141" s="31"/>
      <c r="HC141" s="31"/>
      <c r="HD141" s="31"/>
      <c r="HE141" s="31"/>
      <c r="HF141" s="31"/>
      <c r="HG141" s="31"/>
      <c r="HH141" s="31"/>
      <c r="HI141" s="31"/>
      <c r="HJ141" s="31"/>
      <c r="HK141" s="31"/>
      <c r="HL141" s="31"/>
      <c r="HM141" s="31"/>
      <c r="HN141" s="31"/>
      <c r="HO141" s="31"/>
      <c r="HP141" s="31"/>
      <c r="HQ141" s="31"/>
      <c r="HR141" s="31"/>
      <c r="HS141" s="31"/>
      <c r="HT141" s="31"/>
      <c r="HU141" s="31"/>
      <c r="HV141" s="31"/>
      <c r="HW141" s="31"/>
      <c r="HX141" s="31"/>
      <c r="HY141" s="31"/>
      <c r="HZ141" s="31"/>
      <c r="IA141" s="31"/>
      <c r="IB141" s="31"/>
      <c r="IC141" s="31"/>
      <c r="ID141" s="31"/>
      <c r="IE141" s="31"/>
      <c r="IF141" s="31"/>
      <c r="IG141" s="31"/>
      <c r="IH141" s="31"/>
      <c r="II141" s="31"/>
      <c r="IJ141" s="31"/>
      <c r="IK141" s="31"/>
      <c r="IL141" s="31"/>
      <c r="IM141" s="31"/>
      <c r="IN141" s="31"/>
      <c r="IO141" s="31"/>
      <c r="IP141" s="31"/>
      <c r="IQ141" s="31"/>
      <c r="IR141" s="31"/>
      <c r="IS141" s="31"/>
      <c r="IT141" s="31"/>
      <c r="IU141" s="31"/>
      <c r="IV141" s="31"/>
      <c r="IW141" s="31"/>
    </row>
    <row r="142" spans="1:257" ht="15.75" customHeight="1" x14ac:dyDescent="0.3">
      <c r="A142" s="156">
        <v>118</v>
      </c>
      <c r="B142" s="120" t="s">
        <v>57</v>
      </c>
      <c r="C142" s="86" t="s">
        <v>195</v>
      </c>
      <c r="D142" s="104"/>
      <c r="E142" s="104"/>
      <c r="F142" s="104">
        <v>385742027.39999998</v>
      </c>
      <c r="G142" s="104">
        <v>4739898485.8800001</v>
      </c>
      <c r="H142" s="104"/>
      <c r="I142" s="81"/>
      <c r="J142" s="81">
        <v>5118654249.7700005</v>
      </c>
      <c r="K142" s="81">
        <v>49072583.189999998</v>
      </c>
      <c r="L142" s="81">
        <v>7585531.6299999999</v>
      </c>
      <c r="M142" s="54">
        <v>41487051.560000002</v>
      </c>
      <c r="N142" s="44">
        <v>5131495269.4899998</v>
      </c>
      <c r="O142" s="44">
        <v>12841019.710000001</v>
      </c>
      <c r="P142" s="224">
        <v>4472420503.96</v>
      </c>
      <c r="Q142" s="48">
        <f t="shared" ref="Q142:Q144" si="75">(P142/$P$145)</f>
        <v>0.25412851278845511</v>
      </c>
      <c r="R142" s="56">
        <v>5118654249.7700005</v>
      </c>
      <c r="S142" s="48">
        <f t="shared" ref="S142:S144" si="76">(R142/$R$145)</f>
        <v>0.28554403287206193</v>
      </c>
      <c r="T142" s="49">
        <f>((R142-P142)/P142)</f>
        <v>0.14449306482648666</v>
      </c>
      <c r="U142" s="87">
        <f t="shared" si="69"/>
        <v>1.4819386619717176E-3</v>
      </c>
      <c r="V142" s="50">
        <f>M142/R142</f>
        <v>8.105070109367939E-3</v>
      </c>
      <c r="W142" s="51">
        <f>R142/AB142</f>
        <v>114.29105187022958</v>
      </c>
      <c r="X142" s="51">
        <f>M142/AB142</f>
        <v>0.92633698828161837</v>
      </c>
      <c r="Y142" s="44">
        <v>115.63</v>
      </c>
      <c r="Z142" s="44">
        <v>115.63</v>
      </c>
      <c r="AA142" s="52">
        <v>388</v>
      </c>
      <c r="AB142" s="158">
        <v>44786133</v>
      </c>
      <c r="AC142" s="145"/>
    </row>
    <row r="143" spans="1:257" ht="15.75" customHeight="1" x14ac:dyDescent="0.3">
      <c r="A143" s="156">
        <v>119</v>
      </c>
      <c r="B143" s="120" t="s">
        <v>35</v>
      </c>
      <c r="C143" s="86" t="s">
        <v>163</v>
      </c>
      <c r="D143" s="104"/>
      <c r="E143" s="104"/>
      <c r="F143" s="104"/>
      <c r="G143" s="104">
        <v>1452220748</v>
      </c>
      <c r="H143" s="104"/>
      <c r="I143" s="81"/>
      <c r="J143" s="81">
        <v>1452220748</v>
      </c>
      <c r="K143" s="81">
        <v>11484229</v>
      </c>
      <c r="L143" s="81">
        <v>3448144</v>
      </c>
      <c r="M143" s="54">
        <v>8036084</v>
      </c>
      <c r="N143" s="44">
        <v>1858891847</v>
      </c>
      <c r="O143" s="44">
        <v>14478605.060000001</v>
      </c>
      <c r="P143" s="224">
        <v>1853608166</v>
      </c>
      <c r="Q143" s="48">
        <f t="shared" si="75"/>
        <v>0.10532432853776415</v>
      </c>
      <c r="R143" s="56">
        <v>1844413242</v>
      </c>
      <c r="S143" s="48">
        <f t="shared" si="76"/>
        <v>0.10289055867115446</v>
      </c>
      <c r="T143" s="49">
        <f>((R143-P143)/P143)</f>
        <v>-4.9605543224608348E-3</v>
      </c>
      <c r="U143" s="87">
        <f t="shared" si="69"/>
        <v>1.8695072890828877E-3</v>
      </c>
      <c r="V143" s="50">
        <f>M143/R143</f>
        <v>4.3569867191400264E-3</v>
      </c>
      <c r="W143" s="51">
        <f>R143/AB143</f>
        <v>1.0777700996461599</v>
      </c>
      <c r="X143" s="51">
        <f>M143/AB143</f>
        <v>4.6958300104445426E-3</v>
      </c>
      <c r="Y143" s="44">
        <v>1.08</v>
      </c>
      <c r="Z143" s="44">
        <v>1.08</v>
      </c>
      <c r="AA143" s="52">
        <v>224</v>
      </c>
      <c r="AB143" s="158">
        <v>1711323447</v>
      </c>
      <c r="AC143" s="145"/>
    </row>
    <row r="144" spans="1:257" ht="15.75" customHeight="1" x14ac:dyDescent="0.3">
      <c r="A144" s="156">
        <v>120</v>
      </c>
      <c r="B144" s="120" t="s">
        <v>196</v>
      </c>
      <c r="C144" s="86" t="s">
        <v>159</v>
      </c>
      <c r="D144" s="104"/>
      <c r="E144" s="104"/>
      <c r="F144" s="104"/>
      <c r="G144" s="104">
        <v>230590340.06999999</v>
      </c>
      <c r="H144" s="104"/>
      <c r="I144" s="81">
        <f>670048.5618+2695204.85+52575936.97</f>
        <v>55941190.381799996</v>
      </c>
      <c r="J144" s="81">
        <v>286531530.44999999</v>
      </c>
      <c r="K144" s="81">
        <v>538100.39</v>
      </c>
      <c r="L144" s="81">
        <v>137715.96</v>
      </c>
      <c r="M144" s="54">
        <v>400384.43</v>
      </c>
      <c r="N144" s="44">
        <v>292042098.31</v>
      </c>
      <c r="O144" s="44">
        <v>5412948.3600000003</v>
      </c>
      <c r="P144" s="224">
        <v>296326543.75999999</v>
      </c>
      <c r="Q144" s="48">
        <f t="shared" si="75"/>
        <v>1.6837643910896746E-2</v>
      </c>
      <c r="R144" s="56">
        <v>286629149.94</v>
      </c>
      <c r="S144" s="48">
        <f t="shared" si="76"/>
        <v>1.5989601840412669E-2</v>
      </c>
      <c r="T144" s="49">
        <f>((R144-P144)/P144)</f>
        <v>-3.2725363367562779E-2</v>
      </c>
      <c r="U144" s="87">
        <f t="shared" si="69"/>
        <v>4.8046739150162511E-4</v>
      </c>
      <c r="V144" s="50">
        <f t="shared" si="70"/>
        <v>1.3968726840372389E-3</v>
      </c>
      <c r="W144" s="51">
        <f t="shared" si="71"/>
        <v>101.89363895709349</v>
      </c>
      <c r="X144" s="51">
        <f t="shared" si="72"/>
        <v>0.14233244093631656</v>
      </c>
      <c r="Y144" s="44">
        <v>101.9</v>
      </c>
      <c r="Z144" s="44">
        <v>101.92</v>
      </c>
      <c r="AA144" s="52">
        <v>193</v>
      </c>
      <c r="AB144" s="158">
        <v>2813023</v>
      </c>
      <c r="AC144" s="145"/>
    </row>
    <row r="145" spans="1:29" ht="15.75" customHeight="1" x14ac:dyDescent="0.3">
      <c r="A145" s="170"/>
      <c r="B145" s="81"/>
      <c r="C145" s="109" t="s">
        <v>54</v>
      </c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2"/>
      <c r="O145" s="62"/>
      <c r="P145" s="192">
        <f t="shared" ref="P145" si="77">SUM(P137:P144)</f>
        <v>17599050397.319996</v>
      </c>
      <c r="Q145" s="125">
        <f>(P145/$P$146)</f>
        <v>1.3620662011416365E-2</v>
      </c>
      <c r="R145" s="63">
        <f>SUM(R137:R144)</f>
        <v>17925971690.899998</v>
      </c>
      <c r="S145" s="125">
        <f>(R145/$R$146)</f>
        <v>1.3771009219173956E-2</v>
      </c>
      <c r="T145" s="64">
        <f t="shared" si="68"/>
        <v>1.8576075765416627E-2</v>
      </c>
      <c r="U145" s="87">
        <f t="shared" si="69"/>
        <v>0</v>
      </c>
      <c r="V145" s="65"/>
      <c r="W145" s="66"/>
      <c r="X145" s="66"/>
      <c r="Y145" s="62"/>
      <c r="Z145" s="62"/>
      <c r="AA145" s="67">
        <f>SUM(AA137:AA144)</f>
        <v>17353</v>
      </c>
      <c r="AB145" s="160"/>
      <c r="AC145" s="145"/>
    </row>
    <row r="146" spans="1:29" ht="15.75" customHeight="1" thickBot="1" x14ac:dyDescent="0.35">
      <c r="A146" s="171"/>
      <c r="B146" s="172"/>
      <c r="C146" s="173" t="s">
        <v>152</v>
      </c>
      <c r="D146" s="174"/>
      <c r="E146" s="174">
        <f>SUM(E20,E51,E79,E99,E105,E129,E134,E145)</f>
        <v>0</v>
      </c>
      <c r="F146" s="174"/>
      <c r="G146" s="174"/>
      <c r="H146" s="174"/>
      <c r="I146" s="174"/>
      <c r="J146" s="174"/>
      <c r="K146" s="174"/>
      <c r="L146" s="174"/>
      <c r="M146" s="174"/>
      <c r="N146" s="174"/>
      <c r="O146" s="174"/>
      <c r="P146" s="174">
        <f>SUM(P20,P51,P79,P99,P105,P129,P134,P145)</f>
        <v>1292084803408.9006</v>
      </c>
      <c r="Q146" s="175"/>
      <c r="R146" s="174">
        <f>SUM(R20,R51,R79,R99,R105,R129,R134,R145)</f>
        <v>1301718080759.1729</v>
      </c>
      <c r="S146" s="175"/>
      <c r="T146" s="176"/>
      <c r="U146" s="177"/>
      <c r="V146" s="178"/>
      <c r="W146" s="179"/>
      <c r="X146" s="179"/>
      <c r="Y146" s="174"/>
      <c r="Z146" s="174"/>
      <c r="AA146" s="181">
        <f>SUM(AA20,AA51,AA79,AA99,AA105,AA129,AA134,AA145)</f>
        <v>493643</v>
      </c>
      <c r="AB146" s="180"/>
      <c r="AC146" s="145"/>
    </row>
    <row r="147" spans="1:29" ht="15.75" customHeight="1" x14ac:dyDescent="0.3">
      <c r="A147" s="199"/>
      <c r="B147" s="199"/>
      <c r="C147" s="199"/>
      <c r="D147" s="6"/>
      <c r="E147" s="6"/>
      <c r="F147" s="6"/>
      <c r="G147" s="6"/>
      <c r="H147" s="6"/>
      <c r="I147" s="200"/>
      <c r="J147" s="6"/>
      <c r="K147" s="6"/>
      <c r="L147" s="6"/>
      <c r="M147" s="6"/>
      <c r="N147" s="6"/>
      <c r="O147" s="6"/>
      <c r="P147" s="143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</row>
    <row r="148" spans="1:29" ht="15.75" customHeight="1" x14ac:dyDescent="0.3">
      <c r="A148" s="193" t="s">
        <v>169</v>
      </c>
      <c r="B148" s="194" t="s">
        <v>170</v>
      </c>
      <c r="C148" s="195"/>
      <c r="D148" s="6"/>
      <c r="E148" s="6"/>
      <c r="F148" s="6"/>
      <c r="G148" s="6"/>
      <c r="H148" s="196"/>
      <c r="I148" s="6"/>
      <c r="J148" s="6"/>
      <c r="K148" s="6"/>
      <c r="L148" s="6"/>
      <c r="M148" s="6"/>
      <c r="N148" s="6"/>
      <c r="O148" s="6"/>
      <c r="P148" s="144"/>
      <c r="Q148" s="6"/>
      <c r="R148" s="197"/>
      <c r="S148" s="6"/>
      <c r="T148" s="6"/>
      <c r="U148" s="6"/>
      <c r="V148" s="6"/>
      <c r="W148" s="6"/>
      <c r="X148" s="6"/>
      <c r="Y148" s="6"/>
      <c r="Z148" s="6"/>
      <c r="AA148" s="6"/>
      <c r="AB148" s="198"/>
    </row>
    <row r="151" spans="1:29" ht="15.75" customHeight="1" x14ac:dyDescent="0.25">
      <c r="E151" s="105"/>
    </row>
  </sheetData>
  <mergeCells count="24">
    <mergeCell ref="A140:C140"/>
    <mergeCell ref="R135:S135"/>
    <mergeCell ref="U135:V135"/>
    <mergeCell ref="W135:X135"/>
    <mergeCell ref="Y135:Z135"/>
    <mergeCell ref="AA135:AB135"/>
    <mergeCell ref="J135:K135"/>
    <mergeCell ref="A136:C136"/>
    <mergeCell ref="L135:M135"/>
    <mergeCell ref="N135:O135"/>
    <mergeCell ref="P135:Q135"/>
    <mergeCell ref="A135:C135"/>
    <mergeCell ref="D135:F135"/>
    <mergeCell ref="G135:I135"/>
    <mergeCell ref="A1:AB1"/>
    <mergeCell ref="A3:C3"/>
    <mergeCell ref="A21:C21"/>
    <mergeCell ref="A52:C52"/>
    <mergeCell ref="A80:C80"/>
    <mergeCell ref="A81:C81"/>
    <mergeCell ref="A91:C91"/>
    <mergeCell ref="A100:C100"/>
    <mergeCell ref="A106:C106"/>
    <mergeCell ref="A130:C130"/>
  </mergeCells>
  <phoneticPr fontId="16" type="noConversion"/>
  <pageMargins left="0.7" right="0.7" top="0.75" bottom="0.75" header="0.3" footer="0.3"/>
  <pageSetup orientation="landscape" r:id="rId1"/>
  <headerFooter>
    <oddFooter>&amp;C&amp;"Helvetica,Regular"&amp;12&amp;K000000&amp;P</oddFooter>
  </headerFooter>
  <rowBreaks count="1" manualBreakCount="1">
    <brk id="9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zoomScale="80" zoomScaleNormal="80" workbookViewId="0">
      <selection activeCell="P1" sqref="P1"/>
    </sheetView>
  </sheetViews>
  <sheetFormatPr defaultColWidth="10" defaultRowHeight="12.95" customHeight="1" x14ac:dyDescent="0.25"/>
  <cols>
    <col min="1" max="256" width="10" style="26" customWidth="1"/>
  </cols>
  <sheetData>
    <row r="1" spans="1:12" ht="12.95" customHeight="1" x14ac:dyDescent="0.25">
      <c r="A1" s="27"/>
      <c r="B1" s="2"/>
      <c r="C1" s="2"/>
      <c r="D1" s="2"/>
      <c r="E1" s="2"/>
      <c r="F1" s="2"/>
      <c r="G1" s="2"/>
      <c r="H1" s="2"/>
      <c r="I1" s="2"/>
      <c r="J1" s="2"/>
      <c r="K1" s="3"/>
      <c r="L1" s="9"/>
    </row>
    <row r="2" spans="1:12" ht="12.9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7"/>
      <c r="L2" s="28"/>
    </row>
    <row r="3" spans="1:12" ht="12.9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7"/>
      <c r="L3" s="28"/>
    </row>
    <row r="4" spans="1:12" ht="12.9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7"/>
      <c r="L4" s="28"/>
    </row>
    <row r="5" spans="1:12" ht="12.9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7"/>
      <c r="L5" s="28"/>
    </row>
    <row r="6" spans="1:12" ht="12.95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7"/>
      <c r="L6" s="28"/>
    </row>
    <row r="7" spans="1:12" ht="12.95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7"/>
      <c r="L7" s="28"/>
    </row>
    <row r="8" spans="1:12" ht="12.95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7"/>
      <c r="L8" s="28"/>
    </row>
    <row r="9" spans="1:12" ht="12.9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7"/>
      <c r="L9" s="28"/>
    </row>
    <row r="10" spans="1:12" ht="12.95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7"/>
      <c r="L10" s="28"/>
    </row>
    <row r="11" spans="1:12" ht="12.95" customHeight="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7"/>
      <c r="L11" s="28"/>
    </row>
    <row r="12" spans="1:12" ht="12.9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7"/>
      <c r="L12" s="28"/>
    </row>
    <row r="13" spans="1:12" ht="12.95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7"/>
      <c r="L13" s="28"/>
    </row>
    <row r="14" spans="1:12" ht="12.95" customHeight="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7"/>
      <c r="L14" s="28"/>
    </row>
    <row r="15" spans="1:12" ht="12.95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7"/>
      <c r="L15" s="28"/>
    </row>
    <row r="16" spans="1:12" ht="12.95" customHeight="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7"/>
      <c r="L16" s="28"/>
    </row>
    <row r="17" spans="1:12" ht="12.95" customHeight="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7"/>
      <c r="L17" s="28"/>
    </row>
    <row r="18" spans="1:12" ht="12.9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7"/>
      <c r="L18" s="28"/>
    </row>
    <row r="19" spans="1:12" ht="12.95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7"/>
      <c r="L19" s="28"/>
    </row>
    <row r="20" spans="1:12" ht="12.95" customHeigh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7"/>
      <c r="L20" s="28"/>
    </row>
    <row r="21" spans="1:12" ht="12.95" customHeight="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7"/>
      <c r="L21" s="28"/>
    </row>
    <row r="22" spans="1:12" ht="12.95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7"/>
      <c r="L22" s="28"/>
    </row>
    <row r="23" spans="1:12" ht="12.95" customHeigh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7"/>
      <c r="L23" s="28"/>
    </row>
    <row r="24" spans="1:12" ht="12.95" customHeight="1" x14ac:dyDescent="0.2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5"/>
      <c r="L24" s="12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4"/>
  <sheetViews>
    <sheetView showGridLines="0" zoomScale="80" zoomScaleNormal="80" workbookViewId="0">
      <selection activeCell="O1" sqref="O1"/>
    </sheetView>
  </sheetViews>
  <sheetFormatPr defaultColWidth="10" defaultRowHeight="12.95" customHeight="1" x14ac:dyDescent="0.25"/>
  <cols>
    <col min="1" max="256" width="10" style="29" customWidth="1"/>
  </cols>
  <sheetData>
    <row r="1" spans="1:14" ht="12.95" customHeight="1" x14ac:dyDescent="0.25">
      <c r="A1" s="27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14" ht="12.9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7"/>
    </row>
    <row r="3" spans="1:14" ht="12.9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7"/>
    </row>
    <row r="4" spans="1:14" ht="12.9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7"/>
    </row>
    <row r="5" spans="1:14" ht="12.9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7"/>
    </row>
    <row r="6" spans="1:14" ht="12.95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7"/>
    </row>
    <row r="7" spans="1:14" ht="12.95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7"/>
    </row>
    <row r="8" spans="1:14" ht="12.95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7"/>
    </row>
    <row r="9" spans="1:14" ht="12.9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7"/>
    </row>
    <row r="10" spans="1:14" ht="12.95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7"/>
    </row>
    <row r="11" spans="1:14" ht="12.95" customHeight="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7"/>
    </row>
    <row r="12" spans="1:14" ht="12.9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7"/>
    </row>
    <row r="13" spans="1:14" ht="12.95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7"/>
    </row>
    <row r="14" spans="1:14" ht="12.95" customHeight="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7"/>
    </row>
    <row r="15" spans="1:14" ht="12.95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7"/>
    </row>
    <row r="16" spans="1:14" ht="12.95" customHeight="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7"/>
    </row>
    <row r="17" spans="1:14" ht="12.95" customHeight="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7"/>
    </row>
    <row r="18" spans="1:14" ht="12.9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7"/>
    </row>
    <row r="19" spans="1:14" ht="12.95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7"/>
    </row>
    <row r="20" spans="1:14" ht="12.95" customHeigh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7"/>
    </row>
    <row r="21" spans="1:14" ht="12.95" customHeight="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7"/>
    </row>
    <row r="22" spans="1:14" ht="12.95" customHeight="1" x14ac:dyDescent="0.25">
      <c r="A22" s="5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7"/>
    </row>
    <row r="23" spans="1:14" ht="12.95" customHeight="1" x14ac:dyDescent="0.25">
      <c r="A23" s="5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7"/>
    </row>
    <row r="24" spans="1:14" ht="12.95" customHeight="1" x14ac:dyDescent="0.25">
      <c r="A24" s="23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5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2"/>
  <sheetViews>
    <sheetView showGridLines="0" zoomScale="80" zoomScaleNormal="80" workbookViewId="0">
      <selection activeCell="R1" sqref="R1"/>
    </sheetView>
  </sheetViews>
  <sheetFormatPr defaultColWidth="8.85546875" defaultRowHeight="15" customHeight="1" x14ac:dyDescent="0.25"/>
  <cols>
    <col min="1" max="3" width="8.85546875" style="30" customWidth="1"/>
    <col min="4" max="4" width="10.42578125" style="30" customWidth="1"/>
    <col min="5" max="256" width="8.85546875" style="30" customWidth="1"/>
  </cols>
  <sheetData>
    <row r="1" spans="1:14" ht="15" customHeight="1" x14ac:dyDescent="0.25">
      <c r="A1" s="27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9"/>
    </row>
    <row r="2" spans="1:14" ht="15" customHeight="1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7"/>
      <c r="N2" s="28"/>
    </row>
    <row r="3" spans="1:14" ht="15" customHeight="1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28"/>
    </row>
    <row r="4" spans="1:14" ht="15" customHeight="1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7"/>
      <c r="N4" s="28"/>
    </row>
    <row r="5" spans="1:14" ht="15" customHeight="1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7"/>
      <c r="N5" s="28"/>
    </row>
    <row r="6" spans="1:14" ht="15" customHeight="1" x14ac:dyDescent="0.25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28"/>
    </row>
    <row r="7" spans="1:14" ht="15" customHeight="1" x14ac:dyDescent="0.25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  <c r="N7" s="28"/>
    </row>
    <row r="8" spans="1:14" ht="15" customHeight="1" x14ac:dyDescent="0.2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7"/>
      <c r="N8" s="28"/>
    </row>
    <row r="9" spans="1:14" ht="15" customHeight="1" x14ac:dyDescent="0.25">
      <c r="A9" s="5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7"/>
      <c r="N9" s="28"/>
    </row>
    <row r="10" spans="1:14" ht="15" customHeight="1" x14ac:dyDescent="0.25">
      <c r="A10" s="5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7"/>
      <c r="N10" s="28"/>
    </row>
    <row r="11" spans="1:14" ht="15" customHeight="1" x14ac:dyDescent="0.25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7"/>
      <c r="N11" s="28"/>
    </row>
    <row r="12" spans="1:14" ht="15" customHeight="1" x14ac:dyDescent="0.25">
      <c r="A12" s="5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7"/>
      <c r="N12" s="28"/>
    </row>
    <row r="13" spans="1:14" ht="15" customHeight="1" x14ac:dyDescent="0.25">
      <c r="A13" s="5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7"/>
      <c r="N13" s="28"/>
    </row>
    <row r="14" spans="1:14" ht="15" customHeight="1" x14ac:dyDescent="0.25">
      <c r="A14" s="5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7"/>
      <c r="N14" s="28"/>
    </row>
    <row r="15" spans="1:14" ht="15" customHeight="1" x14ac:dyDescent="0.25">
      <c r="A15" s="5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7"/>
      <c r="N15" s="28"/>
    </row>
    <row r="16" spans="1:14" ht="15" customHeight="1" x14ac:dyDescent="0.25">
      <c r="A16" s="5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7"/>
      <c r="N16" s="28"/>
    </row>
    <row r="17" spans="1:14" ht="15" customHeight="1" x14ac:dyDescent="0.25">
      <c r="A17" s="5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7"/>
      <c r="N17" s="28"/>
    </row>
    <row r="18" spans="1:14" ht="15" customHeight="1" x14ac:dyDescent="0.25">
      <c r="A18" s="5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7"/>
      <c r="N18" s="28"/>
    </row>
    <row r="19" spans="1:14" ht="15" customHeight="1" x14ac:dyDescent="0.25">
      <c r="A19" s="5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7"/>
      <c r="N19" s="28"/>
    </row>
    <row r="20" spans="1:14" ht="15" customHeight="1" x14ac:dyDescent="0.25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7"/>
      <c r="N20" s="28"/>
    </row>
    <row r="21" spans="1:14" ht="15" customHeight="1" x14ac:dyDescent="0.25">
      <c r="A21" s="5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7"/>
      <c r="N21" s="28"/>
    </row>
    <row r="22" spans="1:14" ht="15" customHeight="1" x14ac:dyDescent="0.25">
      <c r="A22" s="23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5"/>
      <c r="N22" s="12"/>
    </row>
  </sheetData>
  <pageMargins left="0.7" right="0.7" top="0.75" bottom="0.75" header="0.3" footer="0.3"/>
  <pageSetup orientation="portrait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DECEMBER 2021</vt:lpstr>
      <vt:lpstr>Market Share</vt:lpstr>
      <vt:lpstr>Unit Holders</vt:lpstr>
      <vt:lpstr>NAV Comparison Oct - Dec '21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Isaac, Tunde</dc:creator>
  <cp:lastModifiedBy>Isaac, Tunde</cp:lastModifiedBy>
  <cp:lastPrinted>2021-12-13T00:24:01Z</cp:lastPrinted>
  <dcterms:created xsi:type="dcterms:W3CDTF">2021-07-14T13:16:57Z</dcterms:created>
  <dcterms:modified xsi:type="dcterms:W3CDTF">2022-02-08T08:34:48Z</dcterms:modified>
</cp:coreProperties>
</file>