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10695" yWindow="465" windowWidth="18105" windowHeight="16305"/>
  </bookViews>
  <sheets>
    <sheet name="OCTOBER 2021" sheetId="1" r:id="rId1"/>
    <sheet name="Market Share" sheetId="2" r:id="rId2"/>
    <sheet name="Unit Holders" sheetId="3" r:id="rId3"/>
    <sheet name="NAV Comparison Sep &amp; Oct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1" l="1"/>
  <c r="S145" i="1" l="1"/>
  <c r="S142" i="1"/>
  <c r="S143" i="1"/>
  <c r="S144" i="1"/>
  <c r="S141" i="1"/>
  <c r="S138" i="1"/>
  <c r="S134" i="1"/>
  <c r="S132" i="1"/>
  <c r="S133" i="1"/>
  <c r="S131" i="1"/>
  <c r="S129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05" i="1"/>
  <c r="S102" i="1"/>
  <c r="S103" i="1"/>
  <c r="S104" i="1"/>
  <c r="S99" i="1"/>
  <c r="S93" i="1"/>
  <c r="S94" i="1"/>
  <c r="S95" i="1"/>
  <c r="S96" i="1"/>
  <c r="S97" i="1"/>
  <c r="S98" i="1"/>
  <c r="S83" i="1"/>
  <c r="S84" i="1"/>
  <c r="S85" i="1"/>
  <c r="S86" i="1"/>
  <c r="S87" i="1"/>
  <c r="S88" i="1"/>
  <c r="S89" i="1"/>
  <c r="S82" i="1"/>
  <c r="S79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53" i="1"/>
  <c r="S51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20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Q145" i="1"/>
  <c r="Q142" i="1"/>
  <c r="Q143" i="1"/>
  <c r="Q144" i="1"/>
  <c r="Q141" i="1"/>
  <c r="Q138" i="1"/>
  <c r="Q134" i="1"/>
  <c r="Q132" i="1"/>
  <c r="Q133" i="1"/>
  <c r="Q131" i="1"/>
  <c r="Q129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07" i="1"/>
  <c r="Q102" i="1"/>
  <c r="Q103" i="1"/>
  <c r="Q104" i="1"/>
  <c r="Q105" i="1"/>
  <c r="Q99" i="1"/>
  <c r="Q93" i="1"/>
  <c r="Q94" i="1"/>
  <c r="Q95" i="1"/>
  <c r="Q96" i="1"/>
  <c r="Q97" i="1"/>
  <c r="Q98" i="1"/>
  <c r="Q92" i="1"/>
  <c r="Q83" i="1"/>
  <c r="Q84" i="1"/>
  <c r="Q85" i="1"/>
  <c r="Q86" i="1"/>
  <c r="Q87" i="1"/>
  <c r="Q88" i="1"/>
  <c r="Q89" i="1"/>
  <c r="Q82" i="1"/>
  <c r="Q79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53" i="1"/>
  <c r="Q5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20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AA30" i="1" l="1"/>
  <c r="R146" i="1" l="1"/>
  <c r="E146" i="1"/>
  <c r="AA134" i="1"/>
  <c r="R134" i="1"/>
  <c r="P134" i="1"/>
  <c r="P146" i="1" l="1"/>
  <c r="T134" i="1"/>
  <c r="AA145" i="1"/>
  <c r="R145" i="1"/>
  <c r="P145" i="1"/>
  <c r="AA99" i="1"/>
  <c r="R99" i="1"/>
  <c r="P99" i="1"/>
  <c r="AA79" i="1"/>
  <c r="R79" i="1"/>
  <c r="P79" i="1"/>
  <c r="AA123" i="1" l="1"/>
  <c r="X123" i="1"/>
  <c r="W123" i="1"/>
  <c r="V123" i="1"/>
  <c r="U123" i="1"/>
  <c r="T123" i="1"/>
  <c r="X122" i="1"/>
  <c r="W122" i="1"/>
  <c r="V122" i="1"/>
  <c r="U122" i="1"/>
  <c r="T122" i="1"/>
  <c r="N122" i="1"/>
  <c r="X97" i="1" l="1"/>
  <c r="W97" i="1"/>
  <c r="V97" i="1"/>
  <c r="U97" i="1"/>
  <c r="T97" i="1"/>
  <c r="Z96" i="1"/>
  <c r="Y96" i="1"/>
  <c r="R96" i="1"/>
  <c r="W96" i="1" s="1"/>
  <c r="P96" i="1"/>
  <c r="O96" i="1"/>
  <c r="N96" i="1"/>
  <c r="M96" i="1"/>
  <c r="X96" i="1" s="1"/>
  <c r="L96" i="1"/>
  <c r="K96" i="1"/>
  <c r="J96" i="1"/>
  <c r="F96" i="1"/>
  <c r="Z95" i="1"/>
  <c r="Y95" i="1"/>
  <c r="R95" i="1"/>
  <c r="W95" i="1" s="1"/>
  <c r="P95" i="1"/>
  <c r="O95" i="1"/>
  <c r="N95" i="1"/>
  <c r="M95" i="1"/>
  <c r="L95" i="1"/>
  <c r="K95" i="1"/>
  <c r="J95" i="1"/>
  <c r="AB94" i="1"/>
  <c r="Z94" i="1"/>
  <c r="Y94" i="1"/>
  <c r="R94" i="1"/>
  <c r="P94" i="1"/>
  <c r="O94" i="1"/>
  <c r="N94" i="1"/>
  <c r="L94" i="1"/>
  <c r="K94" i="1"/>
  <c r="G94" i="1"/>
  <c r="I98" i="1"/>
  <c r="H98" i="1"/>
  <c r="E98" i="1"/>
  <c r="X89" i="1"/>
  <c r="W89" i="1"/>
  <c r="V89" i="1"/>
  <c r="U89" i="1"/>
  <c r="T89" i="1"/>
  <c r="R88" i="1"/>
  <c r="W88" i="1" s="1"/>
  <c r="P88" i="1"/>
  <c r="O88" i="1"/>
  <c r="N88" i="1"/>
  <c r="M88" i="1"/>
  <c r="X88" i="1" s="1"/>
  <c r="L88" i="1"/>
  <c r="K88" i="1"/>
  <c r="J88" i="1"/>
  <c r="G88" i="1"/>
  <c r="X87" i="1"/>
  <c r="W87" i="1"/>
  <c r="V87" i="1"/>
  <c r="U87" i="1"/>
  <c r="T87" i="1"/>
  <c r="X86" i="1"/>
  <c r="W86" i="1"/>
  <c r="V86" i="1"/>
  <c r="U86" i="1"/>
  <c r="T86" i="1"/>
  <c r="R84" i="1"/>
  <c r="P84" i="1"/>
  <c r="O84" i="1"/>
  <c r="N84" i="1"/>
  <c r="M84" i="1"/>
  <c r="X84" i="1" s="1"/>
  <c r="L84" i="1"/>
  <c r="K84" i="1"/>
  <c r="J84" i="1"/>
  <c r="G84" i="1"/>
  <c r="Z85" i="1"/>
  <c r="Y85" i="1"/>
  <c r="R85" i="1"/>
  <c r="P85" i="1"/>
  <c r="O85" i="1"/>
  <c r="N85" i="1"/>
  <c r="M85" i="1"/>
  <c r="X85" i="1" s="1"/>
  <c r="L85" i="1"/>
  <c r="K85" i="1"/>
  <c r="J85" i="1"/>
  <c r="G85" i="1"/>
  <c r="F85" i="1"/>
  <c r="X83" i="1"/>
  <c r="W83" i="1"/>
  <c r="V83" i="1"/>
  <c r="U83" i="1"/>
  <c r="T83" i="1"/>
  <c r="X82" i="1"/>
  <c r="W82" i="1"/>
  <c r="V82" i="1"/>
  <c r="U82" i="1"/>
  <c r="T82" i="1"/>
  <c r="U95" i="1" l="1"/>
  <c r="W94" i="1"/>
  <c r="U96" i="1"/>
  <c r="V95" i="1"/>
  <c r="M94" i="1"/>
  <c r="V94" i="1" s="1"/>
  <c r="T96" i="1"/>
  <c r="T95" i="1"/>
  <c r="T94" i="1"/>
  <c r="U94" i="1"/>
  <c r="X95" i="1"/>
  <c r="V96" i="1"/>
  <c r="U85" i="1"/>
  <c r="U88" i="1"/>
  <c r="T84" i="1"/>
  <c r="W84" i="1"/>
  <c r="U84" i="1"/>
  <c r="T88" i="1"/>
  <c r="V85" i="1"/>
  <c r="V88" i="1"/>
  <c r="W85" i="1"/>
  <c r="V84" i="1"/>
  <c r="T85" i="1"/>
  <c r="X94" i="1" l="1"/>
  <c r="P129" i="1" l="1"/>
  <c r="T144" i="1"/>
  <c r="U137" i="1"/>
  <c r="U132" i="1"/>
  <c r="U133" i="1"/>
  <c r="U138" i="1"/>
  <c r="U142" i="1"/>
  <c r="U143" i="1"/>
  <c r="U144" i="1"/>
  <c r="P105" i="1"/>
  <c r="R92" i="1"/>
  <c r="O92" i="1"/>
  <c r="N92" i="1"/>
  <c r="M92" i="1"/>
  <c r="L92" i="1"/>
  <c r="K92" i="1"/>
  <c r="J92" i="1"/>
  <c r="F92" i="1"/>
  <c r="G92" i="1"/>
  <c r="T124" i="1"/>
  <c r="R129" i="1"/>
  <c r="Q137" i="1"/>
  <c r="P93" i="1"/>
  <c r="P92" i="1"/>
  <c r="T50" i="1"/>
  <c r="T45" i="1"/>
  <c r="P51" i="1"/>
  <c r="P20" i="1"/>
  <c r="T58" i="1"/>
  <c r="S137" i="1" l="1"/>
  <c r="U145" i="1" l="1"/>
  <c r="U128" i="1"/>
  <c r="U127" i="1"/>
  <c r="U17" i="1"/>
  <c r="U45" i="1"/>
  <c r="U44" i="1"/>
  <c r="N25" i="1"/>
  <c r="X107" i="1" l="1"/>
  <c r="J47" i="1"/>
  <c r="J126" i="1"/>
  <c r="W120" i="1"/>
  <c r="J73" i="1"/>
  <c r="M69" i="1" l="1"/>
  <c r="I40" i="1"/>
  <c r="T19" i="1" l="1"/>
  <c r="U64" i="1"/>
  <c r="U65" i="1"/>
  <c r="X132" i="1" l="1"/>
  <c r="Z93" i="1" l="1"/>
  <c r="Y93" i="1"/>
  <c r="R93" i="1"/>
  <c r="T98" i="1" s="1"/>
  <c r="O93" i="1"/>
  <c r="N93" i="1"/>
  <c r="M93" i="1"/>
  <c r="L93" i="1"/>
  <c r="K93" i="1"/>
  <c r="J93" i="1"/>
  <c r="G93" i="1"/>
  <c r="F93" i="1"/>
  <c r="T57" i="1" l="1"/>
  <c r="AA137" i="1"/>
  <c r="X109" i="1"/>
  <c r="T127" i="1"/>
  <c r="T128" i="1"/>
  <c r="T56" i="1"/>
  <c r="AA43" i="1"/>
  <c r="AA112" i="1" l="1"/>
  <c r="AA105" i="1" l="1"/>
  <c r="T18" i="1" l="1"/>
  <c r="AA20" i="1"/>
  <c r="U19" i="1"/>
  <c r="U18" i="1"/>
  <c r="R20" i="1"/>
  <c r="T20" i="1" l="1"/>
  <c r="X55" i="1" l="1"/>
  <c r="X49" i="1"/>
  <c r="W49" i="1"/>
  <c r="V49" i="1"/>
  <c r="U49" i="1"/>
  <c r="T49" i="1"/>
  <c r="T76" i="1" l="1"/>
  <c r="U76" i="1"/>
  <c r="U28" i="1"/>
  <c r="X76" i="1" l="1"/>
  <c r="W76" i="1"/>
  <c r="V76" i="1"/>
  <c r="T48" i="1" l="1"/>
  <c r="X127" i="1" l="1"/>
  <c r="W127" i="1"/>
  <c r="V127" i="1"/>
  <c r="X56" i="1"/>
  <c r="W56" i="1"/>
  <c r="V56" i="1"/>
  <c r="U56" i="1"/>
  <c r="X48" i="1"/>
  <c r="W48" i="1"/>
  <c r="V48" i="1"/>
  <c r="U48" i="1"/>
  <c r="X143" i="1" l="1"/>
  <c r="W143" i="1"/>
  <c r="V143" i="1"/>
  <c r="T143" i="1"/>
  <c r="X126" i="1" l="1"/>
  <c r="W126" i="1"/>
  <c r="V126" i="1"/>
  <c r="U126" i="1"/>
  <c r="T126" i="1"/>
  <c r="X47" i="1" l="1"/>
  <c r="W47" i="1"/>
  <c r="V47" i="1"/>
  <c r="U47" i="1"/>
  <c r="T47" i="1"/>
  <c r="X103" i="1" l="1"/>
  <c r="W103" i="1"/>
  <c r="V103" i="1"/>
  <c r="U103" i="1"/>
  <c r="T103" i="1"/>
  <c r="X77" i="1" l="1"/>
  <c r="W77" i="1"/>
  <c r="V77" i="1"/>
  <c r="U77" i="1"/>
  <c r="T77" i="1"/>
  <c r="X142" i="1"/>
  <c r="W142" i="1"/>
  <c r="V142" i="1"/>
  <c r="T142" i="1"/>
  <c r="T145" i="1" l="1"/>
  <c r="X144" i="1"/>
  <c r="W144" i="1"/>
  <c r="V144" i="1"/>
  <c r="X138" i="1"/>
  <c r="W138" i="1"/>
  <c r="V138" i="1"/>
  <c r="T138" i="1"/>
  <c r="X133" i="1"/>
  <c r="W133" i="1"/>
  <c r="V133" i="1"/>
  <c r="T133" i="1"/>
  <c r="W132" i="1"/>
  <c r="V132" i="1"/>
  <c r="T132" i="1"/>
  <c r="X137" i="1"/>
  <c r="W137" i="1"/>
  <c r="V137" i="1"/>
  <c r="T137" i="1"/>
  <c r="X131" i="1"/>
  <c r="W131" i="1"/>
  <c r="V131" i="1"/>
  <c r="U131" i="1"/>
  <c r="T131" i="1"/>
  <c r="AA129" i="1"/>
  <c r="X128" i="1"/>
  <c r="W128" i="1"/>
  <c r="V128" i="1"/>
  <c r="X124" i="1"/>
  <c r="W124" i="1"/>
  <c r="V124" i="1"/>
  <c r="U124" i="1"/>
  <c r="X118" i="1"/>
  <c r="W118" i="1"/>
  <c r="V118" i="1"/>
  <c r="U118" i="1"/>
  <c r="T118" i="1"/>
  <c r="X117" i="1"/>
  <c r="W117" i="1"/>
  <c r="V117" i="1"/>
  <c r="U117" i="1"/>
  <c r="T117" i="1"/>
  <c r="X121" i="1"/>
  <c r="W121" i="1"/>
  <c r="V121" i="1"/>
  <c r="U121" i="1"/>
  <c r="T121" i="1"/>
  <c r="X120" i="1"/>
  <c r="V120" i="1"/>
  <c r="U120" i="1"/>
  <c r="T120" i="1"/>
  <c r="X116" i="1"/>
  <c r="W116" i="1"/>
  <c r="V116" i="1"/>
  <c r="U116" i="1"/>
  <c r="T116" i="1"/>
  <c r="X119" i="1"/>
  <c r="W119" i="1"/>
  <c r="V119" i="1"/>
  <c r="U119" i="1"/>
  <c r="T119" i="1"/>
  <c r="X114" i="1"/>
  <c r="W114" i="1"/>
  <c r="V114" i="1"/>
  <c r="U114" i="1"/>
  <c r="T114" i="1"/>
  <c r="X115" i="1"/>
  <c r="W115" i="1"/>
  <c r="V115" i="1"/>
  <c r="U115" i="1"/>
  <c r="T115" i="1"/>
  <c r="X113" i="1"/>
  <c r="W113" i="1"/>
  <c r="V113" i="1"/>
  <c r="U113" i="1"/>
  <c r="T113" i="1"/>
  <c r="X112" i="1"/>
  <c r="W112" i="1"/>
  <c r="V112" i="1"/>
  <c r="U112" i="1"/>
  <c r="T112" i="1"/>
  <c r="X125" i="1"/>
  <c r="W125" i="1"/>
  <c r="V125" i="1"/>
  <c r="U125" i="1"/>
  <c r="T125" i="1"/>
  <c r="X111" i="1"/>
  <c r="W111" i="1"/>
  <c r="V111" i="1"/>
  <c r="U111" i="1"/>
  <c r="T111" i="1"/>
  <c r="X110" i="1"/>
  <c r="W110" i="1"/>
  <c r="V110" i="1"/>
  <c r="U110" i="1"/>
  <c r="T110" i="1"/>
  <c r="W109" i="1"/>
  <c r="V109" i="1"/>
  <c r="U109" i="1"/>
  <c r="T109" i="1"/>
  <c r="X108" i="1"/>
  <c r="W108" i="1"/>
  <c r="V108" i="1"/>
  <c r="U108" i="1"/>
  <c r="T108" i="1"/>
  <c r="W107" i="1"/>
  <c r="V107" i="1"/>
  <c r="U107" i="1"/>
  <c r="T107" i="1"/>
  <c r="R105" i="1"/>
  <c r="Q101" i="1"/>
  <c r="X104" i="1"/>
  <c r="W104" i="1"/>
  <c r="V104" i="1"/>
  <c r="U104" i="1"/>
  <c r="T104" i="1"/>
  <c r="X102" i="1"/>
  <c r="W102" i="1"/>
  <c r="V102" i="1"/>
  <c r="U102" i="1"/>
  <c r="T102" i="1"/>
  <c r="X101" i="1"/>
  <c r="W101" i="1"/>
  <c r="V101" i="1"/>
  <c r="U101" i="1"/>
  <c r="T101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1" i="1"/>
  <c r="W141" i="1"/>
  <c r="V141" i="1"/>
  <c r="U141" i="1"/>
  <c r="T141" i="1"/>
  <c r="X73" i="1"/>
  <c r="W73" i="1"/>
  <c r="V73" i="1"/>
  <c r="U73" i="1"/>
  <c r="T73" i="1"/>
  <c r="X72" i="1"/>
  <c r="W72" i="1"/>
  <c r="V72" i="1"/>
  <c r="U72" i="1"/>
  <c r="T72" i="1"/>
  <c r="X93" i="1"/>
  <c r="W93" i="1"/>
  <c r="V93" i="1"/>
  <c r="U93" i="1"/>
  <c r="T93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T70" i="1"/>
  <c r="X92" i="1"/>
  <c r="W92" i="1"/>
  <c r="V92" i="1"/>
  <c r="U92" i="1"/>
  <c r="T92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AA146" i="1" s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7" i="1"/>
  <c r="W17" i="1"/>
  <c r="V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T79" i="1" l="1"/>
  <c r="S92" i="1"/>
  <c r="S101" i="1"/>
  <c r="S107" i="1"/>
  <c r="Q4" i="1"/>
  <c r="Q22" i="1"/>
  <c r="T129" i="1"/>
  <c r="S22" i="1"/>
  <c r="T99" i="1"/>
  <c r="T51" i="1"/>
  <c r="S4" i="1"/>
  <c r="T105" i="1"/>
</calcChain>
</file>

<file path=xl/sharedStrings.xml><?xml version="1.0" encoding="utf-8"?>
<sst xmlns="http://schemas.openxmlformats.org/spreadsheetml/2006/main" count="314" uniqueCount="226">
  <si>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</si>
  <si>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</si>
  <si>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</si>
  <si>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</si>
  <si>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</si>
  <si>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</si>
  <si>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</si>
  <si>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</si>
  <si>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</si>
  <si>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</si>
  <si>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</si>
  <si>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</si>
  <si>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</si>
  <si>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</si>
  <si>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</si>
  <si>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</si>
  <si>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</si>
  <si>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</si>
  <si>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</si>
  <si>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</si>
  <si>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</si>
  <si>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</si>
  <si>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</si>
  <si>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</si>
  <si>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</si>
  <si>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</si>
  <si>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</si>
  <si>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</si>
  <si>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</si>
  <si>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</si>
  <si>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</si>
  <si>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</si>
  <si>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</si>
  <si>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</si>
  <si>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</si>
  <si>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</si>
  <si>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</si>
  <si>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</si>
  <si>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</si>
  <si>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</si>
  <si>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</si>
  <si>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</si>
  <si>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</si>
  <si>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</si>
  <si>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</si>
  <si>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</si>
  <si>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</si>
  <si>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</si>
  <si>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</si>
  <si>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</si>
  <si>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</si>
  <si>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</si>
  <si>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</si>
  <si>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</si>
  <si>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</si>
  <si>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</si>
  <si>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</si>
  <si>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</si>
  <si>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</si>
  <si>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</si>
  <si>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</si>
  <si>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</si>
  <si>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</si>
  <si>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</si>
  <si>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</si>
  <si>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</si>
  <si>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</si>
  <si>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</si>
  <si>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</si>
  <si>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</si>
  <si>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</si>
  <si>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</si>
  <si>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</si>
  <si>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</si>
  <si>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</si>
  <si>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</si>
  <si>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</si>
  <si>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</si>
  <si>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</si>
  <si>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</si>
  <si>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</si>
  <si>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</si>
  <si>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</si>
  <si>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</si>
  <si>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</si>
  <si>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</si>
  <si>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</si>
  <si>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</si>
  <si>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</si>
  <si>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</si>
  <si>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</si>
  <si>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</si>
  <si>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</si>
  <si>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</si>
  <si>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</si>
  <si>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</si>
  <si>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</si>
  <si>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</si>
  <si>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</si>
  <si>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</si>
  <si>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</si>
  <si>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</si>
  <si>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</si>
  <si>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</si>
  <si>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</si>
  <si>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</si>
  <si>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</si>
  <si>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</si>
  <si>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</si>
  <si>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</si>
  <si>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</si>
  <si>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</si>
  <si>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</si>
  <si>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</si>
  <si>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</si>
  <si>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</si>
  <si>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</si>
  <si>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</si>
  <si>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</si>
  <si>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</si>
  <si>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</si>
  <si>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</si>
  <si>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</si>
  <si>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</si>
  <si>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</si>
  <si>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</si>
  <si>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</si>
  <si>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</si>
  <si>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</si>
  <si>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</si>
  <si>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</si>
  <si>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</si>
  <si>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</si>
  <si>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</si>
  <si>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</si>
  <si>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</si>
  <si>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</si>
  <si>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</si>
  <si>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</si>
  <si>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</si>
  <si>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</si>
  <si>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</si>
  <si>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</si>
  <si>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</si>
  <si>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</si>
  <si>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</si>
  <si>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</si>
  <si>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</si>
  <si>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</si>
  <si>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</si>
  <si>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</si>
  <si>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</si>
  <si>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</si>
  <si>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</si>
  <si>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</si>
  <si>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</si>
  <si>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</si>
  <si>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</si>
  <si>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</si>
  <si>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</si>
  <si>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</si>
  <si>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</si>
  <si>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</si>
  <si>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</si>
  <si>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</si>
  <si>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</si>
  <si>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</si>
  <si>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</si>
  <si>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</si>
  <si>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</si>
  <si>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</si>
  <si>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</si>
  <si>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</si>
  <si>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</si>
  <si>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</si>
  <si>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</si>
  <si>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>NET ASSET VALUE  (N) PREVIOUS (SEPTEMBER)</t>
  </si>
  <si>
    <t xml:space="preserve">Futureview Asset Management Limited </t>
  </si>
  <si>
    <t>Futureview Equity Fund</t>
  </si>
  <si>
    <t>First Ally Asset Management Limited</t>
  </si>
  <si>
    <t xml:space="preserve">107,599,955.22	</t>
  </si>
  <si>
    <t xml:space="preserve">            107,599,955.22	</t>
  </si>
  <si>
    <t>429,774,801.34</t>
  </si>
  <si>
    <t>2,250,910,085.69</t>
  </si>
  <si>
    <t>18,277,008.98</t>
  </si>
  <si>
    <t>113,885,140.33</t>
  </si>
  <si>
    <t>10,485,038,033.84</t>
  </si>
  <si>
    <t>42,677,826.43</t>
  </si>
  <si>
    <t>13,725,822.47</t>
  </si>
  <si>
    <t>9,847,076,031.00</t>
  </si>
  <si>
    <t>219.058,541.17</t>
  </si>
  <si>
    <t>63.286.574.30</t>
  </si>
  <si>
    <t>Coral Balanced Fund</t>
  </si>
  <si>
    <t xml:space="preserve">100.82		</t>
  </si>
  <si>
    <t xml:space="preserve">101.02		</t>
  </si>
  <si>
    <t xml:space="preserve">695,484,335.17	</t>
  </si>
  <si>
    <t>Women's Balanced Fund</t>
  </si>
  <si>
    <t>9,818,124,027.00</t>
  </si>
  <si>
    <t>GDL Canary Balanced Fund</t>
  </si>
  <si>
    <t>DOLLAR FUNDS (EUROBONDS)</t>
  </si>
  <si>
    <t>DOLLAR FUND</t>
  </si>
  <si>
    <t>DOLLAR FUNDS (FIXED INCOME)</t>
  </si>
  <si>
    <t>FBN Eurobond Fund (Retail)</t>
  </si>
  <si>
    <t>FBN Eurobond Fund (Institutional)</t>
  </si>
  <si>
    <t>FBNQuest Asset Management Limited</t>
  </si>
  <si>
    <t>First City Asset Management Ltd.</t>
  </si>
  <si>
    <t>Nigeria Dollar Income Fund</t>
  </si>
  <si>
    <t>MIXED FUNDS</t>
  </si>
  <si>
    <t>ESG Impact Fund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</si>
  <si>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</si>
  <si>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</si>
  <si>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</si>
  <si>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</si>
  <si>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</si>
  <si>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</si>
  <si>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</si>
  <si>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</si>
  <si>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EDC Fixed Income Fund</t>
  </si>
  <si>
    <t>United Capital Eurobond Fund</t>
  </si>
  <si>
    <t>Balanced Strategy Fund</t>
  </si>
  <si>
    <t>NOVA Hybrid Balanced Fund</t>
  </si>
  <si>
    <t>Emerging Africa Balanced-Diversity Fund (Gender/Diversity)</t>
  </si>
  <si>
    <t>72a</t>
  </si>
  <si>
    <t>72b</t>
  </si>
  <si>
    <t>SPREADSHEET OF REGISTERED MUTUAL FUNDS AS AT 31ST OCTOBER, 2021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</si>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</sst>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26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</font>
    <font>
      <sz val="7"/>
      <color indexed="8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b/>
      <sz val="8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5" fontId="3" fillId="2" borderId="13" xfId="0" applyNumberFormat="1" applyFont="1" applyFill="1" applyBorder="1" applyAlignment="1"/>
    <xf numFmtId="164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165" fontId="2" fillId="2" borderId="10" xfId="0" applyNumberFormat="1" applyFont="1" applyFill="1" applyBorder="1" applyAlignment="1"/>
    <xf numFmtId="165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" fontId="2" fillId="2" borderId="11" xfId="0" applyNumberFormat="1" applyFont="1" applyFill="1" applyBorder="1" applyAlignment="1"/>
    <xf numFmtId="165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4" fontId="3" fillId="5" borderId="19" xfId="0" applyNumberFormat="1" applyFont="1" applyFill="1" applyBorder="1" applyAlignment="1"/>
    <xf numFmtId="165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5" fontId="3" fillId="3" borderId="19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65" fontId="3" fillId="5" borderId="19" xfId="0" applyNumberFormat="1" applyFont="1" applyFill="1" applyBorder="1" applyAlignment="1"/>
    <xf numFmtId="0" fontId="3" fillId="2" borderId="19" xfId="0" applyNumberFormat="1" applyFont="1" applyFill="1" applyBorder="1" applyAlignment="1"/>
    <xf numFmtId="4" fontId="3" fillId="5" borderId="19" xfId="0" applyNumberFormat="1" applyFont="1" applyFill="1" applyBorder="1" applyAlignment="1">
      <alignment horizontal="right"/>
    </xf>
    <xf numFmtId="165" fontId="3" fillId="7" borderId="19" xfId="0" applyNumberFormat="1" applyFont="1" applyFill="1" applyBorder="1" applyAlignment="1"/>
    <xf numFmtId="2" fontId="3" fillId="2" borderId="19" xfId="0" applyNumberFormat="1" applyFont="1" applyFill="1" applyBorder="1" applyAlignment="1"/>
    <xf numFmtId="165" fontId="3" fillId="5" borderId="19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left"/>
    </xf>
    <xf numFmtId="4" fontId="3" fillId="0" borderId="19" xfId="0" applyNumberFormat="1" applyFont="1" applyBorder="1" applyAlignment="1"/>
    <xf numFmtId="165" fontId="6" fillId="2" borderId="19" xfId="0" applyNumberFormat="1" applyFont="1" applyFill="1" applyBorder="1" applyAlignment="1"/>
    <xf numFmtId="165" fontId="6" fillId="5" borderId="19" xfId="0" applyNumberFormat="1" applyFont="1" applyFill="1" applyBorder="1" applyAlignment="1"/>
    <xf numFmtId="10" fontId="6" fillId="3" borderId="19" xfId="0" applyNumberFormat="1" applyFont="1" applyFill="1" applyBorder="1" applyAlignment="1">
      <alignment horizontal="right" vertical="center"/>
    </xf>
    <xf numFmtId="165" fontId="6" fillId="3" borderId="19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/>
    <xf numFmtId="165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5" fontId="4" fillId="2" borderId="19" xfId="0" applyNumberFormat="1" applyFont="1" applyFill="1" applyBorder="1" applyAlignment="1"/>
    <xf numFmtId="165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5" fontId="4" fillId="3" borderId="19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0" fontId="3" fillId="0" borderId="19" xfId="0" applyFont="1" applyBorder="1" applyAlignment="1"/>
    <xf numFmtId="3" fontId="3" fillId="0" borderId="19" xfId="0" applyNumberFormat="1" applyFont="1" applyBorder="1" applyAlignment="1"/>
    <xf numFmtId="2" fontId="3" fillId="2" borderId="1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>
      <alignment vertical="center"/>
    </xf>
    <xf numFmtId="43" fontId="3" fillId="5" borderId="19" xfId="1" applyFont="1" applyFill="1" applyBorder="1" applyAlignment="1"/>
    <xf numFmtId="165" fontId="3" fillId="5" borderId="19" xfId="0" applyNumberFormat="1" applyFont="1" applyFill="1" applyBorder="1" applyAlignment="1">
      <alignment horizontal="left"/>
    </xf>
    <xf numFmtId="165" fontId="4" fillId="2" borderId="19" xfId="0" applyNumberFormat="1" applyFont="1" applyFill="1" applyBorder="1" applyAlignment="1">
      <alignment wrapText="1"/>
    </xf>
    <xf numFmtId="165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5" fontId="3" fillId="4" borderId="19" xfId="0" applyNumberFormat="1" applyFont="1" applyFill="1" applyBorder="1" applyAlignment="1">
      <alignment horizontal="right" vertical="center"/>
    </xf>
    <xf numFmtId="165" fontId="6" fillId="2" borderId="19" xfId="0" applyNumberFormat="1" applyFont="1" applyFill="1" applyBorder="1" applyAlignment="1">
      <alignment horizontal="left"/>
    </xf>
    <xf numFmtId="164" fontId="3" fillId="2" borderId="19" xfId="0" applyNumberFormat="1" applyFont="1" applyFill="1" applyBorder="1" applyAlignment="1">
      <alignment horizontal="center" wrapText="1"/>
    </xf>
    <xf numFmtId="165" fontId="3" fillId="2" borderId="19" xfId="0" applyNumberFormat="1" applyFont="1" applyFill="1" applyBorder="1" applyAlignment="1">
      <alignment horizontal="righ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43" fontId="3" fillId="2" borderId="19" xfId="1" applyFont="1" applyFill="1" applyBorder="1" applyAlignment="1">
      <alignment horizontal="left"/>
    </xf>
    <xf numFmtId="49" fontId="3" fillId="7" borderId="19" xfId="0" applyNumberFormat="1" applyFont="1" applyFill="1" applyBorder="1" applyAlignment="1">
      <alignment horizontal="right"/>
    </xf>
    <xf numFmtId="165" fontId="3" fillId="2" borderId="19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wrapText="1"/>
    </xf>
    <xf numFmtId="3" fontId="3" fillId="5" borderId="19" xfId="0" applyNumberFormat="1" applyFont="1" applyFill="1" applyBorder="1" applyAlignment="1"/>
    <xf numFmtId="166" fontId="3" fillId="2" borderId="19" xfId="0" applyNumberFormat="1" applyFont="1" applyFill="1" applyBorder="1" applyAlignment="1"/>
    <xf numFmtId="10" fontId="11" fillId="9" borderId="19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/>
    </xf>
    <xf numFmtId="10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/>
    <xf numFmtId="165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3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wrapText="1"/>
    </xf>
    <xf numFmtId="165" fontId="6" fillId="0" borderId="19" xfId="0" applyNumberFormat="1" applyFont="1" applyFill="1" applyBorder="1" applyAlignment="1"/>
    <xf numFmtId="165" fontId="6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wrapText="1"/>
    </xf>
    <xf numFmtId="165" fontId="12" fillId="0" borderId="19" xfId="0" applyNumberFormat="1" applyFont="1" applyFill="1" applyBorder="1" applyAlignment="1">
      <alignment horizontal="left"/>
    </xf>
    <xf numFmtId="165" fontId="12" fillId="0" borderId="19" xfId="0" applyNumberFormat="1" applyFont="1" applyFill="1" applyBorder="1" applyAlignment="1"/>
    <xf numFmtId="10" fontId="14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2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164" fontId="3" fillId="0" borderId="19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165" fontId="3" fillId="10" borderId="19" xfId="0" applyNumberFormat="1" applyFont="1" applyFill="1" applyBorder="1" applyAlignment="1"/>
    <xf numFmtId="4" fontId="3" fillId="2" borderId="19" xfId="0" applyNumberFormat="1" applyFont="1" applyFill="1" applyBorder="1" applyAlignment="1">
      <alignment horizontal="left" indent="8"/>
    </xf>
    <xf numFmtId="4" fontId="3" fillId="2" borderId="19" xfId="0" applyNumberFormat="1" applyFont="1" applyFill="1" applyBorder="1" applyAlignment="1">
      <alignment horizontal="right"/>
    </xf>
    <xf numFmtId="165" fontId="3" fillId="12" borderId="19" xfId="0" applyNumberFormat="1" applyFont="1" applyFill="1" applyBorder="1" applyAlignment="1"/>
    <xf numFmtId="10" fontId="3" fillId="14" borderId="19" xfId="0" applyNumberFormat="1" applyFont="1" applyFill="1" applyBorder="1" applyAlignment="1"/>
    <xf numFmtId="10" fontId="3" fillId="11" borderId="19" xfId="0" applyNumberFormat="1" applyFont="1" applyFill="1" applyBorder="1" applyAlignment="1">
      <alignment horizontal="right" vertical="center"/>
    </xf>
    <xf numFmtId="165" fontId="3" fillId="11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10" fillId="0" borderId="0" xfId="0" applyNumberFormat="1" applyFont="1" applyAlignment="1"/>
    <xf numFmtId="49" fontId="6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5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5" fontId="3" fillId="14" borderId="19" xfId="0" applyNumberFormat="1" applyFont="1" applyFill="1" applyBorder="1" applyAlignment="1"/>
    <xf numFmtId="165" fontId="3" fillId="7" borderId="19" xfId="0" applyNumberFormat="1" applyFont="1" applyFill="1" applyBorder="1"/>
    <xf numFmtId="165" fontId="3" fillId="13" borderId="19" xfId="0" applyNumberFormat="1" applyFont="1" applyFill="1" applyBorder="1" applyAlignment="1">
      <alignment horizontal="left"/>
    </xf>
    <xf numFmtId="165" fontId="3" fillId="13" borderId="19" xfId="0" applyNumberFormat="1" applyFont="1" applyFill="1" applyBorder="1"/>
    <xf numFmtId="49" fontId="3" fillId="13" borderId="19" xfId="0" applyNumberFormat="1" applyFont="1" applyFill="1" applyBorder="1" applyAlignment="1">
      <alignment horizontal="right"/>
    </xf>
    <xf numFmtId="4" fontId="3" fillId="13" borderId="19" xfId="0" applyNumberFormat="1" applyFont="1" applyFill="1" applyBorder="1"/>
    <xf numFmtId="0" fontId="19" fillId="15" borderId="23" xfId="0" applyFont="1" applyFill="1" applyBorder="1" applyAlignment="1"/>
    <xf numFmtId="0" fontId="19" fillId="15" borderId="24" xfId="0" applyFont="1" applyFill="1" applyBorder="1" applyAlignment="1"/>
    <xf numFmtId="0" fontId="19" fillId="15" borderId="6" xfId="0" applyFont="1" applyFill="1" applyBorder="1" applyAlignment="1"/>
    <xf numFmtId="0" fontId="19" fillId="15" borderId="25" xfId="0" applyFont="1" applyFill="1" applyBorder="1" applyAlignment="1"/>
    <xf numFmtId="0" fontId="19" fillId="0" borderId="6" xfId="0" applyFont="1" applyBorder="1" applyAlignment="1"/>
    <xf numFmtId="165" fontId="18" fillId="0" borderId="19" xfId="0" applyNumberFormat="1" applyFont="1" applyBorder="1" applyAlignment="1"/>
    <xf numFmtId="43" fontId="3" fillId="0" borderId="19" xfId="1" applyFont="1" applyFill="1" applyBorder="1" applyAlignment="1">
      <alignment horizontal="right"/>
    </xf>
    <xf numFmtId="43" fontId="4" fillId="2" borderId="19" xfId="1" applyFont="1" applyFill="1" applyBorder="1" applyAlignment="1"/>
    <xf numFmtId="165" fontId="3" fillId="7" borderId="19" xfId="0" applyNumberFormat="1" applyFont="1" applyFill="1" applyBorder="1" applyAlignment="1">
      <alignment horizontal="right"/>
    </xf>
    <xf numFmtId="43" fontId="3" fillId="2" borderId="19" xfId="1" applyFont="1" applyFill="1" applyBorder="1" applyAlignment="1">
      <alignment horizontal="right"/>
    </xf>
    <xf numFmtId="4" fontId="3" fillId="20" borderId="19" xfId="0" applyNumberFormat="1" applyFont="1" applyFill="1" applyBorder="1" applyAlignment="1"/>
    <xf numFmtId="49" fontId="3" fillId="20" borderId="19" xfId="0" applyNumberFormat="1" applyFont="1" applyFill="1" applyBorder="1" applyAlignment="1">
      <alignment wrapText="1"/>
    </xf>
    <xf numFmtId="165" fontId="3" fillId="20" borderId="19" xfId="0" applyNumberFormat="1" applyFont="1" applyFill="1" applyBorder="1" applyAlignment="1"/>
    <xf numFmtId="4" fontId="3" fillId="7" borderId="19" xfId="0" applyNumberFormat="1" applyFont="1" applyFill="1" applyBorder="1"/>
    <xf numFmtId="165" fontId="3" fillId="14" borderId="19" xfId="0" applyNumberFormat="1" applyFont="1" applyFill="1" applyBorder="1"/>
    <xf numFmtId="49" fontId="3" fillId="20" borderId="19" xfId="0" applyNumberFormat="1" applyFont="1" applyFill="1" applyBorder="1" applyAlignment="1"/>
    <xf numFmtId="165" fontId="4" fillId="13" borderId="19" xfId="0" applyNumberFormat="1" applyFont="1" applyFill="1" applyBorder="1" applyAlignment="1"/>
    <xf numFmtId="165" fontId="4" fillId="12" borderId="19" xfId="0" applyNumberFormat="1" applyFont="1" applyFill="1" applyBorder="1" applyAlignment="1"/>
    <xf numFmtId="10" fontId="11" fillId="6" borderId="19" xfId="0" applyNumberFormat="1" applyFont="1" applyFill="1" applyBorder="1" applyAlignment="1"/>
    <xf numFmtId="165" fontId="4" fillId="23" borderId="19" xfId="0" applyNumberFormat="1" applyFont="1" applyFill="1" applyBorder="1" applyAlignment="1"/>
    <xf numFmtId="49" fontId="3" fillId="20" borderId="19" xfId="0" applyNumberFormat="1" applyFont="1" applyFill="1" applyBorder="1" applyAlignment="1">
      <alignment vertical="center" wrapText="1"/>
    </xf>
    <xf numFmtId="49" fontId="6" fillId="20" borderId="19" xfId="0" applyNumberFormat="1" applyFont="1" applyFill="1" applyBorder="1" applyAlignment="1">
      <alignment vertical="center" wrapText="1"/>
    </xf>
    <xf numFmtId="165" fontId="4" fillId="20" borderId="19" xfId="0" applyNumberFormat="1" applyFont="1" applyFill="1" applyBorder="1" applyAlignment="1">
      <alignment wrapText="1"/>
    </xf>
    <xf numFmtId="49" fontId="12" fillId="20" borderId="19" xfId="0" applyNumberFormat="1" applyFont="1" applyFill="1" applyBorder="1" applyAlignment="1"/>
    <xf numFmtId="165" fontId="3" fillId="2" borderId="15" xfId="0" applyNumberFormat="1" applyFont="1" applyFill="1" applyBorder="1" applyAlignment="1"/>
    <xf numFmtId="164" fontId="3" fillId="2" borderId="15" xfId="0" applyNumberFormat="1" applyFont="1" applyFill="1" applyBorder="1" applyAlignment="1"/>
    <xf numFmtId="165" fontId="3" fillId="2" borderId="26" xfId="0" applyNumberFormat="1" applyFont="1" applyFill="1" applyBorder="1" applyAlignment="1"/>
    <xf numFmtId="165" fontId="3" fillId="23" borderId="19" xfId="0" applyNumberFormat="1" applyFont="1" applyFill="1" applyBorder="1" applyAlignment="1"/>
    <xf numFmtId="165" fontId="3" fillId="13" borderId="19" xfId="0" applyNumberFormat="1" applyFont="1" applyFill="1" applyBorder="1" applyAlignment="1"/>
    <xf numFmtId="165" fontId="3" fillId="24" borderId="19" xfId="0" applyNumberFormat="1" applyFont="1" applyFill="1" applyBorder="1" applyAlignment="1"/>
    <xf numFmtId="165" fontId="3" fillId="24" borderId="19" xfId="0" applyNumberFormat="1" applyFont="1" applyFill="1" applyBorder="1"/>
    <xf numFmtId="10" fontId="3" fillId="24" borderId="19" xfId="0" applyNumberFormat="1" applyFont="1" applyFill="1" applyBorder="1" applyAlignment="1"/>
    <xf numFmtId="10" fontId="11" fillId="24" borderId="19" xfId="0" applyNumberFormat="1" applyFont="1" applyFill="1" applyBorder="1" applyAlignment="1">
      <alignment horizontal="right" vertical="center"/>
    </xf>
    <xf numFmtId="10" fontId="3" fillId="24" borderId="19" xfId="0" applyNumberFormat="1" applyFont="1" applyFill="1" applyBorder="1" applyAlignment="1">
      <alignment horizontal="right" vertical="center"/>
    </xf>
    <xf numFmtId="165" fontId="3" fillId="24" borderId="19" xfId="0" applyNumberFormat="1" applyFont="1" applyFill="1" applyBorder="1" applyAlignment="1">
      <alignment horizontal="right" vertical="center"/>
    </xf>
    <xf numFmtId="3" fontId="3" fillId="24" borderId="19" xfId="0" applyNumberFormat="1" applyFont="1" applyFill="1" applyBorder="1" applyAlignment="1"/>
    <xf numFmtId="10" fontId="14" fillId="24" borderId="19" xfId="0" applyNumberFormat="1" applyFont="1" applyFill="1" applyBorder="1" applyAlignment="1">
      <alignment horizontal="right" vertical="center"/>
    </xf>
    <xf numFmtId="164" fontId="3" fillId="24" borderId="19" xfId="0" applyNumberFormat="1" applyFont="1" applyFill="1" applyBorder="1" applyAlignment="1"/>
    <xf numFmtId="4" fontId="3" fillId="24" borderId="19" xfId="0" applyNumberFormat="1" applyFont="1" applyFill="1" applyBorder="1" applyAlignment="1"/>
    <xf numFmtId="9" fontId="14" fillId="9" borderId="19" xfId="2" applyFont="1" applyFill="1" applyBorder="1" applyAlignment="1">
      <alignment horizontal="right" vertical="center"/>
    </xf>
    <xf numFmtId="165" fontId="3" fillId="20" borderId="6" xfId="0" applyNumberFormat="1" applyFont="1" applyFill="1" applyBorder="1"/>
    <xf numFmtId="165" fontId="4" fillId="20" borderId="6" xfId="0" applyNumberFormat="1" applyFont="1" applyFill="1" applyBorder="1"/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49" fontId="18" fillId="20" borderId="19" xfId="0" applyNumberFormat="1" applyFont="1" applyFill="1" applyBorder="1" applyAlignment="1">
      <alignment wrapText="1"/>
    </xf>
    <xf numFmtId="49" fontId="18" fillId="0" borderId="19" xfId="0" applyNumberFormat="1" applyFont="1" applyBorder="1" applyAlignment="1">
      <alignment wrapText="1"/>
    </xf>
    <xf numFmtId="165" fontId="18" fillId="15" borderId="19" xfId="0" applyNumberFormat="1" applyFont="1" applyFill="1" applyBorder="1" applyAlignment="1"/>
    <xf numFmtId="4" fontId="18" fillId="16" borderId="19" xfId="0" applyNumberFormat="1" applyFont="1" applyFill="1" applyBorder="1" applyAlignment="1"/>
    <xf numFmtId="165" fontId="18" fillId="18" borderId="19" xfId="0" applyNumberFormat="1" applyFont="1" applyFill="1" applyBorder="1" applyAlignment="1"/>
    <xf numFmtId="10" fontId="14" fillId="17" borderId="19" xfId="0" applyNumberFormat="1" applyFont="1" applyFill="1" applyBorder="1" applyAlignment="1">
      <alignment horizontal="right" vertical="center"/>
    </xf>
    <xf numFmtId="10" fontId="18" fillId="19" borderId="19" xfId="0" applyNumberFormat="1" applyFont="1" applyFill="1" applyBorder="1" applyAlignment="1">
      <alignment horizontal="right" vertical="center"/>
    </xf>
    <xf numFmtId="165" fontId="18" fillId="19" borderId="19" xfId="0" applyNumberFormat="1" applyFont="1" applyFill="1" applyBorder="1" applyAlignment="1">
      <alignment horizontal="right" vertical="center"/>
    </xf>
    <xf numFmtId="164" fontId="18" fillId="15" borderId="19" xfId="0" applyNumberFormat="1" applyFont="1" applyFill="1" applyBorder="1" applyAlignment="1"/>
    <xf numFmtId="165" fontId="18" fillId="16" borderId="19" xfId="0" applyNumberFormat="1" applyFont="1" applyFill="1" applyBorder="1" applyAlignment="1"/>
    <xf numFmtId="4" fontId="22" fillId="0" borderId="19" xfId="0" applyNumberFormat="1" applyFont="1" applyBorder="1" applyAlignment="1"/>
    <xf numFmtId="43" fontId="23" fillId="0" borderId="19" xfId="1" applyFont="1" applyBorder="1" applyAlignment="1"/>
    <xf numFmtId="4" fontId="24" fillId="0" borderId="19" xfId="0" applyNumberFormat="1" applyFont="1" applyFill="1" applyBorder="1" applyAlignment="1"/>
    <xf numFmtId="0" fontId="25" fillId="24" borderId="19" xfId="0" applyFont="1" applyFill="1" applyBorder="1" applyAlignment="1">
      <alignment wrapText="1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4" fillId="4" borderId="27" xfId="0" applyNumberFormat="1" applyFont="1" applyFill="1" applyBorder="1" applyAlignment="1">
      <alignment vertical="top" wrapText="1"/>
    </xf>
    <xf numFmtId="164" fontId="3" fillId="20" borderId="31" xfId="0" applyNumberFormat="1" applyFont="1" applyFill="1" applyBorder="1" applyAlignment="1">
      <alignment horizontal="center" wrapText="1"/>
    </xf>
    <xf numFmtId="4" fontId="3" fillId="2" borderId="27" xfId="0" applyNumberFormat="1" applyFont="1" applyFill="1" applyBorder="1" applyAlignment="1"/>
    <xf numFmtId="165" fontId="3" fillId="2" borderId="27" xfId="0" applyNumberFormat="1" applyFont="1" applyFill="1" applyBorder="1" applyAlignment="1"/>
    <xf numFmtId="165" fontId="3" fillId="0" borderId="27" xfId="0" applyNumberFormat="1" applyFont="1" applyFill="1" applyBorder="1" applyAlignment="1"/>
    <xf numFmtId="164" fontId="12" fillId="20" borderId="31" xfId="0" applyNumberFormat="1" applyFont="1" applyFill="1" applyBorder="1" applyAlignment="1">
      <alignment horizontal="center" wrapText="1"/>
    </xf>
    <xf numFmtId="165" fontId="3" fillId="2" borderId="27" xfId="0" applyNumberFormat="1" applyFont="1" applyFill="1" applyBorder="1" applyAlignment="1">
      <alignment horizontal="left"/>
    </xf>
    <xf numFmtId="164" fontId="3" fillId="2" borderId="27" xfId="0" applyNumberFormat="1" applyFont="1" applyFill="1" applyBorder="1" applyAlignment="1"/>
    <xf numFmtId="4" fontId="3" fillId="0" borderId="27" xfId="0" applyNumberFormat="1" applyFont="1" applyBorder="1" applyAlignment="1"/>
    <xf numFmtId="165" fontId="6" fillId="2" borderId="27" xfId="0" applyNumberFormat="1" applyFont="1" applyFill="1" applyBorder="1" applyAlignment="1"/>
    <xf numFmtId="164" fontId="18" fillId="20" borderId="31" xfId="0" applyNumberFormat="1" applyFont="1" applyFill="1" applyBorder="1" applyAlignment="1">
      <alignment horizontal="center" wrapText="1"/>
    </xf>
    <xf numFmtId="4" fontId="18" fillId="15" borderId="27" xfId="0" applyNumberFormat="1" applyFont="1" applyFill="1" applyBorder="1" applyAlignment="1"/>
    <xf numFmtId="164" fontId="4" fillId="2" borderId="31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/>
    <xf numFmtId="0" fontId="3" fillId="4" borderId="27" xfId="0" applyNumberFormat="1" applyFont="1" applyFill="1" applyBorder="1" applyAlignment="1">
      <alignment vertical="top" wrapText="1"/>
    </xf>
    <xf numFmtId="2" fontId="3" fillId="2" borderId="27" xfId="0" applyNumberFormat="1" applyFont="1" applyFill="1" applyBorder="1" applyAlignment="1"/>
    <xf numFmtId="49" fontId="4" fillId="20" borderId="31" xfId="0" applyNumberFormat="1" applyFont="1" applyFill="1" applyBorder="1" applyAlignment="1">
      <alignment horizontal="center" wrapText="1"/>
    </xf>
    <xf numFmtId="165" fontId="3" fillId="4" borderId="27" xfId="0" applyNumberFormat="1" applyFont="1" applyFill="1" applyBorder="1" applyAlignment="1"/>
    <xf numFmtId="165" fontId="3" fillId="2" borderId="27" xfId="0" applyNumberFormat="1" applyFont="1" applyFill="1" applyBorder="1" applyAlignment="1">
      <alignment horizontal="center" wrapText="1"/>
    </xf>
    <xf numFmtId="3" fontId="3" fillId="0" borderId="27" xfId="0" applyNumberFormat="1" applyFont="1" applyBorder="1" applyAlignment="1"/>
    <xf numFmtId="3" fontId="3" fillId="2" borderId="27" xfId="0" applyNumberFormat="1" applyFont="1" applyFill="1" applyBorder="1" applyAlignment="1"/>
    <xf numFmtId="165" fontId="3" fillId="24" borderId="27" xfId="0" applyNumberFormat="1" applyFont="1" applyFill="1" applyBorder="1" applyAlignment="1"/>
    <xf numFmtId="164" fontId="3" fillId="20" borderId="31" xfId="0" applyNumberFormat="1" applyFont="1" applyFill="1" applyBorder="1" applyAlignment="1">
      <alignment horizontal="right" wrapText="1"/>
    </xf>
    <xf numFmtId="164" fontId="4" fillId="0" borderId="31" xfId="0" applyNumberFormat="1" applyFont="1" applyFill="1" applyBorder="1" applyAlignment="1">
      <alignment horizontal="center" wrapText="1"/>
    </xf>
    <xf numFmtId="164" fontId="4" fillId="2" borderId="31" xfId="0" applyNumberFormat="1" applyFont="1" applyFill="1" applyBorder="1" applyAlignment="1">
      <alignment horizontal="center" wrapText="1"/>
    </xf>
    <xf numFmtId="165" fontId="3" fillId="2" borderId="27" xfId="0" applyNumberFormat="1" applyFont="1" applyFill="1" applyBorder="1" applyAlignment="1">
      <alignment wrapText="1"/>
    </xf>
    <xf numFmtId="165" fontId="3" fillId="2" borderId="27" xfId="0" applyNumberFormat="1" applyFont="1" applyFill="1" applyBorder="1" applyAlignment="1">
      <alignment horizontal="right"/>
    </xf>
    <xf numFmtId="165" fontId="4" fillId="2" borderId="27" xfId="0" applyNumberFormat="1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center"/>
    </xf>
    <xf numFmtId="164" fontId="3" fillId="8" borderId="32" xfId="0" applyNumberFormat="1" applyFont="1" applyFill="1" applyBorder="1" applyAlignment="1">
      <alignment horizontal="center" wrapText="1"/>
    </xf>
    <xf numFmtId="165" fontId="3" fillId="8" borderId="22" xfId="0" applyNumberFormat="1" applyFont="1" applyFill="1" applyBorder="1" applyAlignment="1">
      <alignment wrapText="1"/>
    </xf>
    <xf numFmtId="49" fontId="4" fillId="8" borderId="22" xfId="0" applyNumberFormat="1" applyFont="1" applyFill="1" applyBorder="1" applyAlignment="1">
      <alignment horizontal="right"/>
    </xf>
    <xf numFmtId="165" fontId="4" fillId="8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11" fillId="9" borderId="22" xfId="0" applyNumberFormat="1" applyFont="1" applyFill="1" applyBorder="1" applyAlignment="1">
      <alignment horizontal="right" vertical="center"/>
    </xf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8" borderId="33" xfId="0" applyNumberFormat="1" applyFont="1" applyFill="1" applyBorder="1" applyAlignment="1"/>
    <xf numFmtId="164" fontId="4" fillId="8" borderId="22" xfId="0" applyNumberFormat="1" applyFont="1" applyFill="1" applyBorder="1" applyAlignment="1"/>
    <xf numFmtId="167" fontId="4" fillId="2" borderId="19" xfId="1" applyNumberFormat="1" applyFont="1" applyFill="1" applyBorder="1" applyAlignment="1"/>
    <xf numFmtId="165" fontId="5" fillId="20" borderId="16" xfId="0" applyNumberFormat="1" applyFont="1" applyFill="1" applyBorder="1" applyAlignment="1"/>
    <xf numFmtId="0" fontId="0" fillId="20" borderId="10" xfId="0" applyNumberFormat="1" applyFont="1" applyFill="1" applyBorder="1" applyAlignment="1"/>
    <xf numFmtId="0" fontId="0" fillId="20" borderId="5" xfId="0" applyNumberFormat="1" applyFont="1" applyFill="1" applyBorder="1" applyAlignment="1"/>
    <xf numFmtId="0" fontId="0" fillId="20" borderId="6" xfId="0" applyNumberFormat="1" applyFont="1" applyFill="1" applyBorder="1" applyAlignment="1"/>
    <xf numFmtId="0" fontId="0" fillId="20" borderId="7" xfId="0" applyNumberFormat="1" applyFont="1" applyFill="1" applyBorder="1" applyAlignment="1"/>
    <xf numFmtId="0" fontId="0" fillId="20" borderId="0" xfId="0" applyNumberFormat="1" applyFont="1" applyFill="1" applyAlignment="1"/>
    <xf numFmtId="0" fontId="0" fillId="20" borderId="11" xfId="0" applyNumberFormat="1" applyFont="1" applyFill="1" applyBorder="1" applyAlignment="1"/>
    <xf numFmtId="0" fontId="0" fillId="20" borderId="4" xfId="0" applyNumberFormat="1" applyFont="1" applyFill="1" applyBorder="1" applyAlignment="1"/>
    <xf numFmtId="0" fontId="0" fillId="0" borderId="19" xfId="0" applyNumberFormat="1" applyFont="1" applyBorder="1" applyAlignment="1"/>
    <xf numFmtId="165" fontId="4" fillId="13" borderId="19" xfId="0" applyNumberFormat="1" applyFont="1" applyFill="1" applyBorder="1"/>
    <xf numFmtId="0" fontId="15" fillId="2" borderId="6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5" fontId="2" fillId="2" borderId="6" xfId="0" applyNumberFormat="1" applyFont="1" applyFill="1" applyBorder="1" applyAlignment="1"/>
    <xf numFmtId="166" fontId="2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0" fontId="9" fillId="2" borderId="6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/>
    <xf numFmtId="4" fontId="3" fillId="20" borderId="6" xfId="0" applyNumberFormat="1" applyFont="1" applyFill="1" applyBorder="1" applyAlignment="1"/>
    <xf numFmtId="0" fontId="0" fillId="22" borderId="6" xfId="0" applyNumberFormat="1" applyFont="1" applyFill="1" applyBorder="1" applyAlignment="1"/>
    <xf numFmtId="165" fontId="18" fillId="0" borderId="6" xfId="0" applyNumberFormat="1" applyFont="1" applyBorder="1" applyAlignment="1"/>
    <xf numFmtId="165" fontId="18" fillId="20" borderId="6" xfId="0" applyNumberFormat="1" applyFont="1" applyFill="1" applyBorder="1" applyAlignment="1"/>
    <xf numFmtId="165" fontId="18" fillId="21" borderId="6" xfId="0" applyNumberFormat="1" applyFont="1" applyFill="1" applyBorder="1" applyAlignment="1"/>
    <xf numFmtId="10" fontId="18" fillId="21" borderId="6" xfId="0" applyNumberFormat="1" applyFont="1" applyFill="1" applyBorder="1" applyAlignment="1"/>
    <xf numFmtId="166" fontId="2" fillId="22" borderId="6" xfId="0" applyNumberFormat="1" applyFont="1" applyFill="1" applyBorder="1" applyAlignment="1"/>
    <xf numFmtId="4" fontId="0" fillId="2" borderId="6" xfId="0" applyNumberFormat="1" applyFont="1" applyFill="1" applyBorder="1" applyAlignment="1"/>
    <xf numFmtId="0" fontId="25" fillId="24" borderId="31" xfId="0" applyFont="1" applyFill="1" applyBorder="1" applyAlignment="1">
      <alignment horizontal="center" wrapText="1"/>
    </xf>
    <xf numFmtId="0" fontId="25" fillId="24" borderId="19" xfId="0" applyFont="1" applyFill="1" applyBorder="1" applyAlignment="1">
      <alignment horizontal="center" wrapText="1"/>
    </xf>
    <xf numFmtId="49" fontId="20" fillId="4" borderId="19" xfId="0" applyNumberFormat="1" applyFont="1" applyFill="1" applyBorder="1" applyAlignment="1">
      <alignment horizontal="center" vertical="top" wrapText="1"/>
    </xf>
    <xf numFmtId="49" fontId="20" fillId="4" borderId="27" xfId="0" applyNumberFormat="1" applyFont="1" applyFill="1" applyBorder="1" applyAlignment="1">
      <alignment horizontal="center" vertical="top" wrapText="1"/>
    </xf>
    <xf numFmtId="49" fontId="20" fillId="4" borderId="31" xfId="0" applyNumberFormat="1" applyFont="1" applyFill="1" applyBorder="1" applyAlignment="1">
      <alignment horizontal="center" vertical="top" wrapText="1"/>
    </xf>
    <xf numFmtId="49" fontId="13" fillId="2" borderId="28" xfId="0" applyNumberFormat="1" applyFont="1" applyFill="1" applyBorder="1" applyAlignment="1">
      <alignment horizontal="center"/>
    </xf>
    <xf numFmtId="0" fontId="13" fillId="2" borderId="29" xfId="0" applyNumberFormat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/>
    </xf>
    <xf numFmtId="165" fontId="4" fillId="24" borderId="31" xfId="0" applyNumberFormat="1" applyFont="1" applyFill="1" applyBorder="1" applyAlignment="1">
      <alignment horizontal="center" wrapText="1"/>
    </xf>
    <xf numFmtId="165" fontId="4" fillId="24" borderId="19" xfId="0" applyNumberFormat="1" applyFont="1" applyFill="1" applyBorder="1" applyAlignment="1">
      <alignment horizontal="center" wrapText="1"/>
    </xf>
    <xf numFmtId="49" fontId="20" fillId="14" borderId="31" xfId="0" applyNumberFormat="1" applyFont="1" applyFill="1" applyBorder="1" applyAlignment="1">
      <alignment horizontal="center" vertical="top" wrapText="1"/>
    </xf>
    <xf numFmtId="49" fontId="20" fillId="14" borderId="19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154778</xdr:colOff>
      <xdr:row>0</xdr:row>
      <xdr:rowOff>11906</xdr:rowOff>
    </xdr:from>
    <xdr:to>
      <xdr:col>11</xdr:col>
      <xdr:colOff>164303</xdr:colOff>
      <xdr:row>24</xdr:row>
      <xdr:rowOff>11906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78" y="11906"/>
          <a:ext cx="7343775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</xdr:colOff>
      <xdr:row>23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86800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13</xdr:col>
      <xdr:colOff>76200</xdr:colOff>
      <xdr:row>22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781925" cy="421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5"/>
  <sheetViews>
    <sheetView showGridLines="0" tabSelected="1" zoomScaleNormal="100" workbookViewId="0">
      <pane ySplit="2" topLeftCell="A3" activePane="bottomLeft" state="frozen"/>
      <selection pane="bottomLeft" sqref="A1:AB1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31" customWidth="1"/>
    <col min="12" max="12" width="19.7109375" style="1" customWidth="1"/>
    <col min="13" max="13" width="17.7109375" style="1" customWidth="1"/>
    <col min="14" max="14" width="22.5703125" style="1" customWidth="1"/>
    <col min="15" max="15" width="19.42578125" style="1" customWidth="1"/>
    <col min="16" max="16" width="21.7109375" style="1" customWidth="1"/>
    <col min="17" max="17" width="9.28515625" style="1" customWidth="1"/>
    <col min="18" max="18" width="21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4.5" customHeight="1" x14ac:dyDescent="0.7">
      <c r="A1" s="283" t="s">
        <v>224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5"/>
      <c r="AC1" s="19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ht="54" customHeight="1" x14ac:dyDescent="0.25">
      <c r="A2" s="208" t="s">
        <v>225</v>
      </c>
      <c r="B2" s="192" t="s">
        <v>0</v>
      </c>
      <c r="C2" s="192" t="s">
        <v>1</v>
      </c>
      <c r="D2" s="192" t="s">
        <v>2</v>
      </c>
      <c r="E2" s="192" t="s">
        <v>3</v>
      </c>
      <c r="F2" s="192" t="s">
        <v>4</v>
      </c>
      <c r="G2" s="192" t="s">
        <v>5</v>
      </c>
      <c r="H2" s="192" t="s">
        <v>6</v>
      </c>
      <c r="I2" s="192" t="s">
        <v>7</v>
      </c>
      <c r="J2" s="192" t="s">
        <v>8</v>
      </c>
      <c r="K2" s="192" t="s">
        <v>171</v>
      </c>
      <c r="L2" s="192" t="s">
        <v>9</v>
      </c>
      <c r="M2" s="192" t="s">
        <v>10</v>
      </c>
      <c r="N2" s="192" t="s">
        <v>11</v>
      </c>
      <c r="O2" s="192" t="s">
        <v>12</v>
      </c>
      <c r="P2" s="192" t="s">
        <v>176</v>
      </c>
      <c r="Q2" s="192" t="s">
        <v>13</v>
      </c>
      <c r="R2" s="192" t="s">
        <v>14</v>
      </c>
      <c r="S2" s="192" t="s">
        <v>13</v>
      </c>
      <c r="T2" s="192" t="s">
        <v>15</v>
      </c>
      <c r="U2" s="192" t="s">
        <v>16</v>
      </c>
      <c r="V2" s="192" t="s">
        <v>17</v>
      </c>
      <c r="W2" s="192" t="s">
        <v>18</v>
      </c>
      <c r="X2" s="192" t="s">
        <v>19</v>
      </c>
      <c r="Y2" s="192" t="s">
        <v>20</v>
      </c>
      <c r="Z2" s="192" t="s">
        <v>21</v>
      </c>
      <c r="AA2" s="192" t="s">
        <v>22</v>
      </c>
      <c r="AB2" s="209" t="s">
        <v>23</v>
      </c>
      <c r="AC2" s="39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 x14ac:dyDescent="0.25">
      <c r="A3" s="282" t="s">
        <v>24</v>
      </c>
      <c r="B3" s="280"/>
      <c r="C3" s="280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210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 x14ac:dyDescent="0.35">
      <c r="A4" s="211">
        <v>1</v>
      </c>
      <c r="B4" s="160" t="s">
        <v>25</v>
      </c>
      <c r="C4" s="110" t="s">
        <v>26</v>
      </c>
      <c r="D4" s="99">
        <v>5274763369.6099997</v>
      </c>
      <c r="E4" s="137"/>
      <c r="F4" s="101">
        <v>1830350230.1700001</v>
      </c>
      <c r="G4" s="101">
        <v>60026173.479999997</v>
      </c>
      <c r="H4" s="101"/>
      <c r="I4" s="101"/>
      <c r="J4" s="102">
        <v>7167443068.1999998</v>
      </c>
      <c r="K4" s="102">
        <v>17816864.239999998</v>
      </c>
      <c r="L4" s="102">
        <v>20020055.91</v>
      </c>
      <c r="M4" s="46">
        <v>399762881.61000001</v>
      </c>
      <c r="N4" s="45">
        <v>7168887538.3100004</v>
      </c>
      <c r="O4" s="45">
        <v>36997576.270000003</v>
      </c>
      <c r="P4" s="146">
        <v>6762077909.21</v>
      </c>
      <c r="Q4" s="48">
        <f t="shared" ref="Q4:Q19" si="0">(P4/$P$20)</f>
        <v>0.44488332636071398</v>
      </c>
      <c r="R4" s="47">
        <v>7131889962.04</v>
      </c>
      <c r="S4" s="48">
        <f t="shared" ref="S4:S19" si="1">(R4/$R$20)</f>
        <v>0.44280155313857322</v>
      </c>
      <c r="T4" s="49">
        <f t="shared" ref="T4:T17" si="2">((R4-P4)/P4)</f>
        <v>5.4689114469727296E-2</v>
      </c>
      <c r="U4" s="116">
        <f t="shared" ref="U4:U16" si="3">(L4/R4)</f>
        <v>2.8071178911281856E-3</v>
      </c>
      <c r="V4" s="50">
        <f t="shared" ref="V4:V18" si="4">M4/R4</f>
        <v>5.6052867295733229E-2</v>
      </c>
      <c r="W4" s="51">
        <f t="shared" ref="W4:W18" si="5">R4/AB4</f>
        <v>11299.265883417313</v>
      </c>
      <c r="X4" s="51">
        <f t="shared" ref="X4:X18" si="6">M4/AB4</f>
        <v>633.35625110239653</v>
      </c>
      <c r="Y4" s="44">
        <v>11194.38</v>
      </c>
      <c r="Z4" s="44">
        <v>11357.43</v>
      </c>
      <c r="AA4" s="52">
        <v>17175</v>
      </c>
      <c r="AB4" s="212">
        <v>631181.71</v>
      </c>
      <c r="AC4" s="35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 x14ac:dyDescent="0.35">
      <c r="A5" s="211">
        <v>2</v>
      </c>
      <c r="B5" s="164" t="s">
        <v>27</v>
      </c>
      <c r="C5" s="110" t="s">
        <v>28</v>
      </c>
      <c r="D5" s="101">
        <v>687870121.14999998</v>
      </c>
      <c r="E5" s="101"/>
      <c r="F5" s="101">
        <v>63451766.020000003</v>
      </c>
      <c r="G5" s="101">
        <v>55442096.899999999</v>
      </c>
      <c r="H5" s="101"/>
      <c r="I5" s="101"/>
      <c r="J5" s="101">
        <v>853698002.38</v>
      </c>
      <c r="K5" s="101">
        <v>2026656.96</v>
      </c>
      <c r="L5" s="103">
        <v>1115339.58</v>
      </c>
      <c r="M5" s="54">
        <v>911317.38</v>
      </c>
      <c r="N5" s="53">
        <v>853698002.38</v>
      </c>
      <c r="O5" s="44">
        <v>1115339.5900000001</v>
      </c>
      <c r="P5" s="146">
        <v>809131169.77999997</v>
      </c>
      <c r="Q5" s="48">
        <f t="shared" si="0"/>
        <v>5.3233484012892192E-2</v>
      </c>
      <c r="R5" s="47">
        <v>852582662.78999996</v>
      </c>
      <c r="S5" s="48">
        <f t="shared" si="1"/>
        <v>5.2934766137985326E-2</v>
      </c>
      <c r="T5" s="49">
        <f t="shared" si="2"/>
        <v>5.3701420279995277E-2</v>
      </c>
      <c r="U5" s="116">
        <f t="shared" si="3"/>
        <v>1.3081893740955882E-3</v>
      </c>
      <c r="V5" s="50">
        <f t="shared" si="4"/>
        <v>1.0688903490223411E-3</v>
      </c>
      <c r="W5" s="51">
        <f t="shared" si="5"/>
        <v>1.5588823784590884</v>
      </c>
      <c r="X5" s="51">
        <f t="shared" si="6"/>
        <v>1.6662743295959121E-3</v>
      </c>
      <c r="Y5" s="44">
        <v>1.71</v>
      </c>
      <c r="Z5" s="55">
        <v>1.75</v>
      </c>
      <c r="AA5" s="52">
        <v>3697</v>
      </c>
      <c r="AB5" s="213">
        <v>546919174</v>
      </c>
      <c r="AC5" s="36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 x14ac:dyDescent="0.35">
      <c r="A6" s="211">
        <v>3</v>
      </c>
      <c r="B6" s="164" t="s">
        <v>29</v>
      </c>
      <c r="C6" s="110" t="s">
        <v>30</v>
      </c>
      <c r="D6" s="102">
        <v>119840384.25</v>
      </c>
      <c r="E6" s="102"/>
      <c r="F6" s="102">
        <v>159626757.94</v>
      </c>
      <c r="G6" s="101"/>
      <c r="H6" s="101"/>
      <c r="I6" s="105"/>
      <c r="J6" s="102">
        <v>279467142.19</v>
      </c>
      <c r="K6" s="101">
        <v>6161221.5800000001</v>
      </c>
      <c r="L6" s="102">
        <v>649377.11</v>
      </c>
      <c r="M6" s="56">
        <v>5511844.4699999997</v>
      </c>
      <c r="N6" s="45">
        <v>290996563.69</v>
      </c>
      <c r="O6" s="45">
        <v>19780194.420000002</v>
      </c>
      <c r="P6" s="146">
        <v>263314934.13999999</v>
      </c>
      <c r="Q6" s="48">
        <f t="shared" si="0"/>
        <v>1.7323731751316258E-2</v>
      </c>
      <c r="R6" s="57">
        <v>271216369.26999998</v>
      </c>
      <c r="S6" s="48">
        <f t="shared" si="1"/>
        <v>1.6839159071238518E-2</v>
      </c>
      <c r="T6" s="49">
        <f t="shared" si="2"/>
        <v>3.0007546498668925E-2</v>
      </c>
      <c r="U6" s="116">
        <f t="shared" si="3"/>
        <v>2.3943138526182958E-3</v>
      </c>
      <c r="V6" s="50">
        <f t="shared" si="4"/>
        <v>2.0322683637553143E-2</v>
      </c>
      <c r="W6" s="51">
        <f t="shared" si="5"/>
        <v>136.04570763074045</v>
      </c>
      <c r="X6" s="51">
        <f t="shared" si="6"/>
        <v>2.7648138764265879</v>
      </c>
      <c r="Y6" s="58">
        <v>136.05000000000001</v>
      </c>
      <c r="Z6" s="55">
        <v>138.47999999999999</v>
      </c>
      <c r="AA6" s="52">
        <v>2470</v>
      </c>
      <c r="AB6" s="213">
        <v>1993568</v>
      </c>
      <c r="AC6" s="37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121" customFormat="1" ht="18" customHeight="1" x14ac:dyDescent="0.35">
      <c r="A7" s="211">
        <v>4</v>
      </c>
      <c r="B7" s="160" t="s">
        <v>31</v>
      </c>
      <c r="C7" s="110" t="s">
        <v>32</v>
      </c>
      <c r="D7" s="101">
        <v>530360909.14999998</v>
      </c>
      <c r="E7" s="105"/>
      <c r="F7" s="101">
        <v>90945882.680000007</v>
      </c>
      <c r="G7" s="101"/>
      <c r="H7" s="101"/>
      <c r="I7" s="102"/>
      <c r="J7" s="101">
        <v>623806322</v>
      </c>
      <c r="K7" s="101">
        <v>1927063.83</v>
      </c>
      <c r="L7" s="101">
        <v>1025666.17</v>
      </c>
      <c r="M7" s="56">
        <v>901397.66</v>
      </c>
      <c r="N7" s="103">
        <v>623806322</v>
      </c>
      <c r="O7" s="101">
        <v>4485891.99</v>
      </c>
      <c r="P7" s="146">
        <v>594799274.49000001</v>
      </c>
      <c r="Q7" s="48">
        <f t="shared" si="0"/>
        <v>3.9132391449030961E-2</v>
      </c>
      <c r="R7" s="130">
        <v>619320430.00999999</v>
      </c>
      <c r="S7" s="48">
        <f t="shared" si="1"/>
        <v>3.8452086299496799E-2</v>
      </c>
      <c r="T7" s="134">
        <f t="shared" si="2"/>
        <v>4.122593380939344E-2</v>
      </c>
      <c r="U7" s="116">
        <f t="shared" si="3"/>
        <v>1.6561155103238542E-3</v>
      </c>
      <c r="V7" s="135">
        <f t="shared" si="4"/>
        <v>1.4554624977985071E-3</v>
      </c>
      <c r="W7" s="136">
        <f t="shared" si="5"/>
        <v>17.737301290224469</v>
      </c>
      <c r="X7" s="136">
        <f t="shared" si="6"/>
        <v>2.5815976840074785E-2</v>
      </c>
      <c r="Y7" s="105">
        <v>17.43</v>
      </c>
      <c r="Z7" s="101">
        <v>17.75</v>
      </c>
      <c r="AA7" s="122">
        <v>8760</v>
      </c>
      <c r="AB7" s="214">
        <v>34916271.640000001</v>
      </c>
      <c r="AC7" s="251"/>
      <c r="AD7" s="252"/>
      <c r="AE7" s="252"/>
      <c r="AF7" s="252"/>
      <c r="AG7" s="253"/>
      <c r="AH7" s="254"/>
      <c r="AI7" s="254"/>
      <c r="AJ7" s="254"/>
      <c r="AK7" s="255"/>
      <c r="AL7" s="253"/>
      <c r="AM7" s="254"/>
      <c r="AN7" s="254"/>
      <c r="AO7" s="254"/>
      <c r="AP7" s="255"/>
      <c r="AQ7" s="253"/>
      <c r="AR7" s="254"/>
      <c r="AS7" s="254"/>
      <c r="AT7" s="254"/>
      <c r="AU7" s="255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</row>
    <row r="8" spans="1:257" s="121" customFormat="1" ht="16.5" customHeight="1" x14ac:dyDescent="0.3">
      <c r="A8" s="211">
        <v>5</v>
      </c>
      <c r="B8" s="160" t="s">
        <v>33</v>
      </c>
      <c r="C8" s="110" t="s">
        <v>34</v>
      </c>
      <c r="D8" s="101">
        <v>264272122.47999999</v>
      </c>
      <c r="E8" s="100"/>
      <c r="F8" s="101">
        <v>91635569.769999996</v>
      </c>
      <c r="G8" s="101"/>
      <c r="H8" s="101"/>
      <c r="I8" s="101"/>
      <c r="J8" s="101">
        <v>355907692.25</v>
      </c>
      <c r="K8" s="101">
        <v>2588873.11</v>
      </c>
      <c r="L8" s="101">
        <v>685849.41</v>
      </c>
      <c r="M8" s="133">
        <v>1903023.7</v>
      </c>
      <c r="N8" s="103">
        <v>360008302.92000002</v>
      </c>
      <c r="O8" s="101">
        <v>3971506.85</v>
      </c>
      <c r="P8" s="146">
        <v>336083752.91000003</v>
      </c>
      <c r="Q8" s="48">
        <f t="shared" si="0"/>
        <v>2.2111259281226026E-2</v>
      </c>
      <c r="R8" s="130">
        <v>356036796.06999999</v>
      </c>
      <c r="S8" s="48">
        <f t="shared" si="1"/>
        <v>2.2105451305811E-2</v>
      </c>
      <c r="T8" s="134">
        <f t="shared" si="2"/>
        <v>5.9369258368592422E-2</v>
      </c>
      <c r="U8" s="116">
        <f t="shared" si="3"/>
        <v>1.9263441800693993E-3</v>
      </c>
      <c r="V8" s="135">
        <f t="shared" si="4"/>
        <v>5.3450197311230964E-3</v>
      </c>
      <c r="W8" s="136">
        <f t="shared" si="5"/>
        <v>167.8151876383366</v>
      </c>
      <c r="X8" s="136">
        <f t="shared" si="6"/>
        <v>0.8969754891090338</v>
      </c>
      <c r="Y8" s="101">
        <v>167.8152</v>
      </c>
      <c r="Z8" s="101">
        <v>169.68709999999999</v>
      </c>
      <c r="AA8" s="122">
        <v>1798</v>
      </c>
      <c r="AB8" s="214">
        <v>2121600.56</v>
      </c>
      <c r="AC8" s="257"/>
      <c r="AD8" s="258"/>
      <c r="AE8" s="258"/>
      <c r="AF8" s="258"/>
      <c r="AG8" s="253"/>
      <c r="AH8" s="254"/>
      <c r="AI8" s="254"/>
      <c r="AJ8" s="254"/>
      <c r="AK8" s="255"/>
      <c r="AL8" s="253"/>
      <c r="AM8" s="254"/>
      <c r="AN8" s="254"/>
      <c r="AO8" s="254"/>
      <c r="AP8" s="255"/>
      <c r="AQ8" s="253"/>
      <c r="AR8" s="254"/>
      <c r="AS8" s="254"/>
      <c r="AT8" s="254"/>
      <c r="AU8" s="255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</row>
    <row r="9" spans="1:257" ht="18" customHeight="1" x14ac:dyDescent="0.35">
      <c r="A9" s="211">
        <v>6</v>
      </c>
      <c r="B9" s="160" t="s">
        <v>35</v>
      </c>
      <c r="C9" s="110" t="s">
        <v>36</v>
      </c>
      <c r="D9" s="101">
        <v>1498227932</v>
      </c>
      <c r="E9" s="101"/>
      <c r="F9" s="101">
        <v>107131214</v>
      </c>
      <c r="G9" s="101"/>
      <c r="H9" s="101"/>
      <c r="I9" s="101"/>
      <c r="J9" s="101">
        <v>1605359146</v>
      </c>
      <c r="K9" s="101">
        <v>12556718</v>
      </c>
      <c r="L9" s="101">
        <v>2964299</v>
      </c>
      <c r="M9" s="46">
        <v>80599972</v>
      </c>
      <c r="N9" s="44">
        <v>1895237763</v>
      </c>
      <c r="O9" s="45">
        <v>85645372.75</v>
      </c>
      <c r="P9" s="146">
        <v>1722367943</v>
      </c>
      <c r="Q9" s="48">
        <f t="shared" si="0"/>
        <v>0.11331617144713146</v>
      </c>
      <c r="R9" s="57">
        <v>1809592390</v>
      </c>
      <c r="S9" s="48">
        <f t="shared" si="1"/>
        <v>0.11235315254507128</v>
      </c>
      <c r="T9" s="49">
        <f t="shared" si="2"/>
        <v>5.0642168158374738E-2</v>
      </c>
      <c r="U9" s="116">
        <f t="shared" si="3"/>
        <v>1.6381031531636802E-3</v>
      </c>
      <c r="V9" s="50">
        <f t="shared" si="4"/>
        <v>4.4540401719969654E-2</v>
      </c>
      <c r="W9" s="51">
        <f t="shared" si="5"/>
        <v>0.94340890397311672</v>
      </c>
      <c r="X9" s="51">
        <f t="shared" si="6"/>
        <v>4.2019811569158898E-2</v>
      </c>
      <c r="Y9" s="44">
        <v>0.94</v>
      </c>
      <c r="Z9" s="44">
        <v>0.97</v>
      </c>
      <c r="AA9" s="79">
        <v>2732</v>
      </c>
      <c r="AB9" s="213">
        <v>1918142157</v>
      </c>
      <c r="AC9" s="35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 x14ac:dyDescent="0.35">
      <c r="A10" s="211">
        <v>7</v>
      </c>
      <c r="B10" s="164" t="s">
        <v>37</v>
      </c>
      <c r="C10" s="110" t="s">
        <v>38</v>
      </c>
      <c r="D10" s="101">
        <v>2227943801.1100001</v>
      </c>
      <c r="E10" s="101"/>
      <c r="F10" s="101">
        <v>30858499.859999999</v>
      </c>
      <c r="G10" s="101">
        <v>84750602.260000005</v>
      </c>
      <c r="H10" s="101"/>
      <c r="I10" s="101"/>
      <c r="J10" s="101">
        <v>2343552903.23</v>
      </c>
      <c r="K10" s="101">
        <v>5803725.6900000004</v>
      </c>
      <c r="L10" s="101">
        <v>6663478.8200000003</v>
      </c>
      <c r="M10" s="54">
        <v>94064579.519999996</v>
      </c>
      <c r="N10" s="44">
        <v>2850890532</v>
      </c>
      <c r="O10" s="44">
        <v>67829519</v>
      </c>
      <c r="P10" s="146">
        <v>2651944463</v>
      </c>
      <c r="Q10" s="48">
        <f t="shared" si="0"/>
        <v>0.17447386585363253</v>
      </c>
      <c r="R10" s="57">
        <v>2783061013</v>
      </c>
      <c r="S10" s="48">
        <f t="shared" si="1"/>
        <v>0.17279343141790601</v>
      </c>
      <c r="T10" s="49">
        <f t="shared" si="2"/>
        <v>4.9441665098700821E-2</v>
      </c>
      <c r="U10" s="116">
        <f t="shared" si="3"/>
        <v>2.3942985040119923E-3</v>
      </c>
      <c r="V10" s="50">
        <f t="shared" si="4"/>
        <v>3.3798964191087966E-2</v>
      </c>
      <c r="W10" s="51">
        <f t="shared" si="5"/>
        <v>21.077364242427333</v>
      </c>
      <c r="X10" s="51">
        <f t="shared" si="6"/>
        <v>0.71239307927231932</v>
      </c>
      <c r="Y10" s="44">
        <v>20.02</v>
      </c>
      <c r="Z10" s="44">
        <v>20.63</v>
      </c>
      <c r="AA10" s="52">
        <v>12261</v>
      </c>
      <c r="AB10" s="213">
        <v>132040277</v>
      </c>
      <c r="AC10" s="35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 x14ac:dyDescent="0.35">
      <c r="A11" s="211">
        <v>8</v>
      </c>
      <c r="B11" s="160" t="s">
        <v>39</v>
      </c>
      <c r="C11" s="110" t="s">
        <v>40</v>
      </c>
      <c r="D11" s="101">
        <v>275059628.18000001</v>
      </c>
      <c r="E11" s="101"/>
      <c r="F11" s="101">
        <v>74267976.859999999</v>
      </c>
      <c r="G11" s="101"/>
      <c r="H11" s="101"/>
      <c r="I11" s="101"/>
      <c r="J11" s="101">
        <v>363029456.11000001</v>
      </c>
      <c r="K11" s="101">
        <v>1419813.8</v>
      </c>
      <c r="L11" s="103">
        <v>821036.86</v>
      </c>
      <c r="M11" s="54">
        <v>18503077.68</v>
      </c>
      <c r="N11" s="44">
        <v>371330650.05000001</v>
      </c>
      <c r="O11" s="53">
        <v>8301193.9400000004</v>
      </c>
      <c r="P11" s="146">
        <v>354981308.07999998</v>
      </c>
      <c r="Q11" s="48">
        <f t="shared" si="0"/>
        <v>2.3354546820499127E-2</v>
      </c>
      <c r="R11" s="57">
        <v>363029456.11000001</v>
      </c>
      <c r="S11" s="48">
        <f t="shared" si="1"/>
        <v>2.2539608414622637E-2</v>
      </c>
      <c r="T11" s="49">
        <f t="shared" si="2"/>
        <v>2.2672033278400869E-2</v>
      </c>
      <c r="U11" s="116">
        <f t="shared" si="3"/>
        <v>2.2616260090785058E-3</v>
      </c>
      <c r="V11" s="50">
        <f t="shared" si="4"/>
        <v>5.0968529877072732E-2</v>
      </c>
      <c r="W11" s="51">
        <f t="shared" si="5"/>
        <v>173.5195543107985</v>
      </c>
      <c r="X11" s="51">
        <f t="shared" si="6"/>
        <v>8.8440365881462775</v>
      </c>
      <c r="Y11" s="44">
        <v>173.52</v>
      </c>
      <c r="Z11" s="44">
        <v>175.84</v>
      </c>
      <c r="AA11" s="52">
        <v>1431</v>
      </c>
      <c r="AB11" s="213">
        <v>2092153</v>
      </c>
      <c r="AC11" s="38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 x14ac:dyDescent="0.3">
      <c r="A12" s="215">
        <v>9</v>
      </c>
      <c r="B12" s="160" t="s">
        <v>41</v>
      </c>
      <c r="C12" s="110" t="s">
        <v>42</v>
      </c>
      <c r="D12" s="103">
        <v>205337573.15000001</v>
      </c>
      <c r="E12" s="105"/>
      <c r="F12" s="101">
        <v>40467544.990000002</v>
      </c>
      <c r="G12" s="105"/>
      <c r="H12" s="101"/>
      <c r="I12" s="103"/>
      <c r="J12" s="204">
        <v>245805118.13999999</v>
      </c>
      <c r="K12" s="103">
        <v>3163645.58</v>
      </c>
      <c r="L12" s="103">
        <v>495129.86</v>
      </c>
      <c r="M12" s="59">
        <v>4593705.5199999996</v>
      </c>
      <c r="N12" s="53">
        <v>247426677.31999999</v>
      </c>
      <c r="O12" s="53">
        <v>1318562.72</v>
      </c>
      <c r="P12" s="146">
        <v>235797103.87</v>
      </c>
      <c r="Q12" s="48">
        <f t="shared" si="0"/>
        <v>1.5513308383068291E-2</v>
      </c>
      <c r="R12" s="47">
        <v>246108114.59999999</v>
      </c>
      <c r="S12" s="48">
        <f t="shared" si="1"/>
        <v>1.5280249129602984E-2</v>
      </c>
      <c r="T12" s="49">
        <f t="shared" si="2"/>
        <v>4.3728317951202106E-2</v>
      </c>
      <c r="U12" s="116">
        <f t="shared" si="3"/>
        <v>2.0118388245943678E-3</v>
      </c>
      <c r="V12" s="50">
        <f t="shared" si="4"/>
        <v>1.8665396415173705E-2</v>
      </c>
      <c r="W12" s="51">
        <f t="shared" si="5"/>
        <v>11.972380078191824</v>
      </c>
      <c r="X12" s="51">
        <f t="shared" si="6"/>
        <v>0.22346922019257878</v>
      </c>
      <c r="Y12" s="53">
        <v>12.03</v>
      </c>
      <c r="Z12" s="53">
        <v>12.09</v>
      </c>
      <c r="AA12" s="60">
        <v>130</v>
      </c>
      <c r="AB12" s="216">
        <v>20556323.219999999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 x14ac:dyDescent="0.3">
      <c r="A13" s="211">
        <v>10</v>
      </c>
      <c r="B13" s="160" t="s">
        <v>25</v>
      </c>
      <c r="C13" s="107" t="s">
        <v>43</v>
      </c>
      <c r="D13" s="101">
        <v>256524444.47999999</v>
      </c>
      <c r="E13" s="101"/>
      <c r="F13" s="101">
        <v>83952762.189999998</v>
      </c>
      <c r="G13" s="101"/>
      <c r="H13" s="101"/>
      <c r="I13" s="101"/>
      <c r="J13" s="102">
        <v>340480806.67000002</v>
      </c>
      <c r="K13" s="102">
        <v>744921.19</v>
      </c>
      <c r="L13" s="101">
        <v>325795.96000000002</v>
      </c>
      <c r="M13" s="54">
        <v>22620798.219999999</v>
      </c>
      <c r="N13" s="45">
        <v>345427931.88</v>
      </c>
      <c r="O13" s="45">
        <v>2246726.21</v>
      </c>
      <c r="P13" s="146">
        <v>320825047.30000001</v>
      </c>
      <c r="Q13" s="48">
        <f t="shared" si="0"/>
        <v>2.1107375002032806E-2</v>
      </c>
      <c r="R13" s="57">
        <v>343181205.67000002</v>
      </c>
      <c r="S13" s="48">
        <f t="shared" si="1"/>
        <v>2.1307279232779596E-2</v>
      </c>
      <c r="T13" s="49">
        <f t="shared" si="2"/>
        <v>6.9683332265186276E-2</v>
      </c>
      <c r="U13" s="116">
        <f t="shared" si="3"/>
        <v>9.493409155782339E-4</v>
      </c>
      <c r="V13" s="50">
        <f t="shared" si="4"/>
        <v>6.5915026365843468E-2</v>
      </c>
      <c r="W13" s="51">
        <f t="shared" si="5"/>
        <v>2925.9695611734633</v>
      </c>
      <c r="X13" s="51">
        <f t="shared" si="6"/>
        <v>192.86536077040427</v>
      </c>
      <c r="Y13" s="45">
        <v>2898.05</v>
      </c>
      <c r="Z13" s="45">
        <v>2941.39</v>
      </c>
      <c r="AA13" s="52">
        <v>20</v>
      </c>
      <c r="AB13" s="217">
        <v>117288.03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 x14ac:dyDescent="0.3">
      <c r="A14" s="211">
        <v>11</v>
      </c>
      <c r="B14" s="169" t="s">
        <v>44</v>
      </c>
      <c r="C14" s="117" t="s">
        <v>45</v>
      </c>
      <c r="D14" s="101">
        <v>228209117.75</v>
      </c>
      <c r="E14" s="101"/>
      <c r="F14" s="101"/>
      <c r="G14" s="101"/>
      <c r="H14" s="101"/>
      <c r="I14" s="101"/>
      <c r="J14" s="101">
        <v>228209117.75</v>
      </c>
      <c r="K14" s="101">
        <v>259798.84</v>
      </c>
      <c r="L14" s="101">
        <v>504746.78</v>
      </c>
      <c r="M14" s="54">
        <v>-244947.84</v>
      </c>
      <c r="N14" s="44">
        <v>270828487.26999998</v>
      </c>
      <c r="O14" s="44">
        <v>2432023.27</v>
      </c>
      <c r="P14" s="146">
        <v>271893133.69</v>
      </c>
      <c r="Q14" s="48">
        <f t="shared" si="0"/>
        <v>1.7888099391149593E-2</v>
      </c>
      <c r="R14" s="57">
        <v>268396464</v>
      </c>
      <c r="S14" s="48">
        <f t="shared" si="1"/>
        <v>1.6664078070282851E-2</v>
      </c>
      <c r="T14" s="49">
        <f t="shared" si="2"/>
        <v>-1.2860456027502111E-2</v>
      </c>
      <c r="U14" s="116">
        <f t="shared" si="3"/>
        <v>1.88060145233508E-3</v>
      </c>
      <c r="V14" s="50">
        <f t="shared" si="4"/>
        <v>-9.1263437807436983E-4</v>
      </c>
      <c r="W14" s="51">
        <f t="shared" si="5"/>
        <v>133.14414973814556</v>
      </c>
      <c r="X14" s="51">
        <f t="shared" si="6"/>
        <v>-0.12151192829051326</v>
      </c>
      <c r="Y14" s="44">
        <v>130.35</v>
      </c>
      <c r="Z14" s="44">
        <v>131.29</v>
      </c>
      <c r="AA14" s="52">
        <v>571</v>
      </c>
      <c r="AB14" s="217">
        <v>2015833.7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 x14ac:dyDescent="0.3">
      <c r="A15" s="211">
        <v>12</v>
      </c>
      <c r="B15" s="160" t="s">
        <v>46</v>
      </c>
      <c r="C15" s="107" t="s">
        <v>47</v>
      </c>
      <c r="D15" s="102">
        <v>268374732.40000001</v>
      </c>
      <c r="E15" s="101"/>
      <c r="F15" s="102">
        <v>51233410.780000001</v>
      </c>
      <c r="G15" s="101"/>
      <c r="H15" s="101"/>
      <c r="I15" s="101"/>
      <c r="J15" s="102">
        <v>319608143.18000001</v>
      </c>
      <c r="K15" s="102">
        <v>1655938.73</v>
      </c>
      <c r="L15" s="102">
        <v>656383.41</v>
      </c>
      <c r="M15" s="54">
        <v>13028765.220000001</v>
      </c>
      <c r="N15" s="61">
        <v>323689739.10000002</v>
      </c>
      <c r="O15" s="61">
        <v>4957684.13</v>
      </c>
      <c r="P15" s="146">
        <v>311781940.30000001</v>
      </c>
      <c r="Q15" s="48">
        <f t="shared" si="0"/>
        <v>2.0512420673376473E-2</v>
      </c>
      <c r="R15" s="57">
        <v>318732054.97000003</v>
      </c>
      <c r="S15" s="48">
        <f t="shared" si="1"/>
        <v>1.9789291439852075E-2</v>
      </c>
      <c r="T15" s="49">
        <f t="shared" si="2"/>
        <v>2.229158835599182E-2</v>
      </c>
      <c r="U15" s="116">
        <f t="shared" si="3"/>
        <v>2.0593580085999843E-3</v>
      </c>
      <c r="V15" s="50">
        <f t="shared" si="4"/>
        <v>4.0876858843790609E-2</v>
      </c>
      <c r="W15" s="51">
        <f t="shared" si="5"/>
        <v>1.196310223587038</v>
      </c>
      <c r="X15" s="51">
        <f t="shared" si="6"/>
        <v>4.8901404142950931E-2</v>
      </c>
      <c r="Y15" s="44">
        <v>1.29</v>
      </c>
      <c r="Z15" s="53">
        <v>1.33</v>
      </c>
      <c r="AA15" s="52">
        <v>99</v>
      </c>
      <c r="AB15" s="218">
        <v>266429266.16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 x14ac:dyDescent="0.3">
      <c r="A16" s="211">
        <v>13</v>
      </c>
      <c r="B16" s="169" t="s">
        <v>48</v>
      </c>
      <c r="C16" s="117" t="s">
        <v>49</v>
      </c>
      <c r="D16" s="44">
        <v>217487206.09999999</v>
      </c>
      <c r="E16" s="44"/>
      <c r="F16" s="44">
        <v>60560178.079999998</v>
      </c>
      <c r="G16" s="44">
        <v>6960493.1500000004</v>
      </c>
      <c r="H16" s="44"/>
      <c r="I16" s="44"/>
      <c r="J16" s="44">
        <v>285007877.32999998</v>
      </c>
      <c r="K16" s="44">
        <v>913782.67</v>
      </c>
      <c r="L16" s="44">
        <v>403072.97</v>
      </c>
      <c r="M16" s="54">
        <v>510709.7</v>
      </c>
      <c r="N16" s="44">
        <v>296273529.06</v>
      </c>
      <c r="O16" s="44">
        <v>2827603.33</v>
      </c>
      <c r="P16" s="146">
        <v>153425974.52000001</v>
      </c>
      <c r="Q16" s="48">
        <f t="shared" si="0"/>
        <v>1.0094036006539599E-2</v>
      </c>
      <c r="R16" s="57">
        <v>293445925.73000002</v>
      </c>
      <c r="S16" s="48">
        <f t="shared" si="1"/>
        <v>1.8219337702493517E-2</v>
      </c>
      <c r="T16" s="49">
        <f t="shared" si="2"/>
        <v>0.91262220525604387</v>
      </c>
      <c r="U16" s="116">
        <f t="shared" si="3"/>
        <v>1.3735851639353411E-3</v>
      </c>
      <c r="V16" s="50">
        <f t="shared" si="4"/>
        <v>1.7403877689885006E-3</v>
      </c>
      <c r="W16" s="51">
        <f t="shared" si="5"/>
        <v>1.4853085743947034</v>
      </c>
      <c r="X16" s="51">
        <f t="shared" si="6"/>
        <v>2.5850128760502885E-3</v>
      </c>
      <c r="Y16" s="44">
        <v>1.4853000000000001</v>
      </c>
      <c r="Z16" s="44">
        <v>1.4996</v>
      </c>
      <c r="AA16" s="52">
        <v>11</v>
      </c>
      <c r="AB16" s="213">
        <v>197565631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257" ht="15.95" customHeight="1" x14ac:dyDescent="0.3">
      <c r="A17" s="211">
        <v>14</v>
      </c>
      <c r="B17" s="170" t="s">
        <v>50</v>
      </c>
      <c r="C17" s="139" t="s">
        <v>51</v>
      </c>
      <c r="D17" s="62">
        <v>3621932.74</v>
      </c>
      <c r="E17" s="62"/>
      <c r="F17" s="44"/>
      <c r="G17" s="62"/>
      <c r="H17" s="62"/>
      <c r="I17" s="62">
        <v>1882545.57</v>
      </c>
      <c r="J17" s="62">
        <v>3621932.74</v>
      </c>
      <c r="K17" s="62">
        <v>0</v>
      </c>
      <c r="L17" s="62">
        <v>0</v>
      </c>
      <c r="M17" s="63">
        <v>0</v>
      </c>
      <c r="N17" s="62">
        <v>5504478.3099999996</v>
      </c>
      <c r="O17" s="62">
        <v>0</v>
      </c>
      <c r="P17" s="146">
        <v>3349445.32</v>
      </c>
      <c r="Q17" s="48">
        <f t="shared" si="0"/>
        <v>2.2036308889540921E-4</v>
      </c>
      <c r="R17" s="57">
        <v>5504478.3099999996</v>
      </c>
      <c r="S17" s="48">
        <f t="shared" si="1"/>
        <v>3.4175955572208507E-4</v>
      </c>
      <c r="T17" s="49">
        <f t="shared" si="2"/>
        <v>0.64339996151959866</v>
      </c>
      <c r="U17" s="116">
        <f>(L17/R17)</f>
        <v>0</v>
      </c>
      <c r="V17" s="64">
        <f t="shared" si="4"/>
        <v>0</v>
      </c>
      <c r="W17" s="65">
        <f t="shared" si="5"/>
        <v>1.3927630965032134</v>
      </c>
      <c r="X17" s="65">
        <f t="shared" si="6"/>
        <v>0</v>
      </c>
      <c r="Y17" s="62">
        <v>1.39</v>
      </c>
      <c r="Z17" s="62">
        <v>1.45</v>
      </c>
      <c r="AA17" s="66">
        <v>2420</v>
      </c>
      <c r="AB17" s="219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257" ht="16.5" customHeight="1" x14ac:dyDescent="0.3">
      <c r="A18" s="211">
        <v>15</v>
      </c>
      <c r="B18" s="160" t="s">
        <v>52</v>
      </c>
      <c r="C18" s="110" t="s">
        <v>53</v>
      </c>
      <c r="D18" s="44">
        <v>359522704.35000002</v>
      </c>
      <c r="E18" s="44"/>
      <c r="F18" s="44">
        <v>11072847.300000001</v>
      </c>
      <c r="G18" s="44">
        <v>50159558.009999998</v>
      </c>
      <c r="H18" s="44"/>
      <c r="I18" s="44"/>
      <c r="J18" s="44">
        <v>420755109.66000003</v>
      </c>
      <c r="K18" s="44">
        <v>627848.74</v>
      </c>
      <c r="L18" s="44">
        <v>3787603.08</v>
      </c>
      <c r="M18" s="46">
        <v>-3159754.34</v>
      </c>
      <c r="N18" s="44">
        <v>423103668.75</v>
      </c>
      <c r="O18" s="44">
        <v>3787603.08</v>
      </c>
      <c r="P18" s="146">
        <v>407892464.52999997</v>
      </c>
      <c r="Q18" s="48">
        <f t="shared" si="0"/>
        <v>2.6835620478495206E-2</v>
      </c>
      <c r="R18" s="57">
        <v>419316065.67000002</v>
      </c>
      <c r="S18" s="48">
        <f t="shared" si="1"/>
        <v>2.6034305930530931E-2</v>
      </c>
      <c r="T18" s="49">
        <f>((R18-P18)/P18)</f>
        <v>2.8006403975035569E-2</v>
      </c>
      <c r="U18" s="116">
        <f>(L18/R18)</f>
        <v>9.032811738200433E-3</v>
      </c>
      <c r="V18" s="50">
        <f t="shared" si="4"/>
        <v>-7.5354955335451262E-3</v>
      </c>
      <c r="W18" s="51">
        <f t="shared" si="5"/>
        <v>143.10730067454298</v>
      </c>
      <c r="X18" s="51">
        <f t="shared" si="6"/>
        <v>-1.0783844250507182</v>
      </c>
      <c r="Y18" s="44">
        <v>143.34</v>
      </c>
      <c r="Z18" s="44">
        <v>145.16</v>
      </c>
      <c r="AA18" s="52">
        <v>110</v>
      </c>
      <c r="AB18" s="212">
        <v>2930081.58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257" ht="16.5" customHeight="1" x14ac:dyDescent="0.3">
      <c r="A19" s="220">
        <v>16</v>
      </c>
      <c r="B19" s="194" t="s">
        <v>177</v>
      </c>
      <c r="C19" s="195" t="s">
        <v>178</v>
      </c>
      <c r="D19" s="196">
        <v>10538750</v>
      </c>
      <c r="E19" s="196"/>
      <c r="F19" s="196">
        <v>5444776.0599999996</v>
      </c>
      <c r="G19" s="196"/>
      <c r="H19" s="196"/>
      <c r="I19" s="196"/>
      <c r="J19" s="196">
        <v>15983526.060000001</v>
      </c>
      <c r="K19" s="196">
        <v>1938.54</v>
      </c>
      <c r="L19" s="196">
        <v>506425.85</v>
      </c>
      <c r="M19" s="197">
        <v>-504487.3</v>
      </c>
      <c r="N19" s="196">
        <v>25188538.640000001</v>
      </c>
      <c r="O19" s="196">
        <v>312525.93</v>
      </c>
      <c r="P19" s="146">
        <v>0</v>
      </c>
      <c r="Q19" s="48">
        <f t="shared" si="0"/>
        <v>0</v>
      </c>
      <c r="R19" s="198">
        <v>24876012.710000001</v>
      </c>
      <c r="S19" s="48">
        <f t="shared" si="1"/>
        <v>1.5444906080312164E-3</v>
      </c>
      <c r="T19" s="49" t="e">
        <f>((R19-P19)/P19)</f>
        <v>#DIV/0!</v>
      </c>
      <c r="U19" s="199">
        <f>(L18/R19)</f>
        <v>0.1522592516797279</v>
      </c>
      <c r="V19" s="200" t="e">
        <v>#DIV/0!</v>
      </c>
      <c r="W19" s="201" t="e">
        <v>#DIV/0!</v>
      </c>
      <c r="X19" s="201" t="e">
        <v>#DIV/0!</v>
      </c>
      <c r="Y19" s="196">
        <v>97.42</v>
      </c>
      <c r="Z19" s="196">
        <v>99.1</v>
      </c>
      <c r="AA19" s="202">
        <v>3</v>
      </c>
      <c r="AB19" s="221">
        <v>253000</v>
      </c>
      <c r="AC19" s="149"/>
      <c r="AD19" s="149"/>
      <c r="AE19" s="150"/>
      <c r="AF19" s="150"/>
      <c r="AG19" s="151"/>
      <c r="AH19" s="151"/>
      <c r="AI19" s="151"/>
      <c r="AJ19" s="151"/>
      <c r="AK19" s="152"/>
      <c r="AL19" s="151"/>
      <c r="AM19" s="151"/>
      <c r="AN19" s="151"/>
      <c r="AO19" s="151"/>
      <c r="AP19" s="152"/>
      <c r="AQ19" s="151"/>
      <c r="AR19" s="151"/>
      <c r="AS19" s="151"/>
      <c r="AT19" s="151"/>
      <c r="AU19" s="152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  <c r="IW19" s="153"/>
    </row>
    <row r="20" spans="1:257" ht="16.5" customHeight="1" x14ac:dyDescent="0.3">
      <c r="A20" s="222"/>
      <c r="B20" s="67"/>
      <c r="C20" s="68" t="s">
        <v>54</v>
      </c>
      <c r="D20" s="69"/>
      <c r="E20" s="69"/>
      <c r="F20" s="69"/>
      <c r="G20" s="69"/>
      <c r="H20" s="69"/>
      <c r="I20" s="69"/>
      <c r="J20" s="69"/>
      <c r="K20" s="69"/>
      <c r="L20" s="69"/>
      <c r="M20" s="168"/>
      <c r="N20" s="69"/>
      <c r="O20" s="69"/>
      <c r="P20" s="260">
        <f>SUM(P4:P19)</f>
        <v>15199665864.140001</v>
      </c>
      <c r="Q20" s="167">
        <f>(P20/$P$146)</f>
        <v>1.1951906080944635E-2</v>
      </c>
      <c r="R20" s="70">
        <f>SUM(R4:R19)</f>
        <v>16106289400.949999</v>
      </c>
      <c r="S20" s="167">
        <f>(R20/$R$146)</f>
        <v>1.2508634188703897E-2</v>
      </c>
      <c r="T20" s="71">
        <f>((R20-P20)/P20)</f>
        <v>5.9647596527036842E-2</v>
      </c>
      <c r="U20" s="98"/>
      <c r="V20" s="72"/>
      <c r="W20" s="73"/>
      <c r="X20" s="73"/>
      <c r="Y20" s="69"/>
      <c r="Z20" s="69"/>
      <c r="AA20" s="74">
        <f>SUM(AA4:AA19)</f>
        <v>53688</v>
      </c>
      <c r="AB20" s="223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257" ht="15.75" customHeight="1" x14ac:dyDescent="0.3">
      <c r="A21" s="282" t="s">
        <v>55</v>
      </c>
      <c r="B21" s="280"/>
      <c r="C21" s="280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163"/>
      <c r="Q21" s="75"/>
      <c r="R21" s="75"/>
      <c r="S21" s="75"/>
      <c r="T21" s="49"/>
      <c r="U21" s="49"/>
      <c r="V21" s="75"/>
      <c r="W21" s="75"/>
      <c r="X21" s="75"/>
      <c r="Y21" s="75"/>
      <c r="Z21" s="75"/>
      <c r="AA21" s="75"/>
      <c r="AB21" s="224"/>
      <c r="AC21" s="10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257" ht="18" customHeight="1" x14ac:dyDescent="0.35">
      <c r="A22" s="211">
        <v>17</v>
      </c>
      <c r="B22" s="160" t="s">
        <v>25</v>
      </c>
      <c r="C22" s="110" t="s">
        <v>56</v>
      </c>
      <c r="D22" s="101"/>
      <c r="E22" s="101"/>
      <c r="F22" s="101">
        <v>194036253716.22</v>
      </c>
      <c r="G22" s="101">
        <v>17623443418.060001</v>
      </c>
      <c r="H22" s="101"/>
      <c r="I22" s="101"/>
      <c r="J22" s="101">
        <v>211659697134.28</v>
      </c>
      <c r="K22" s="101">
        <v>1661382602.5</v>
      </c>
      <c r="L22" s="101">
        <v>328364733.31999999</v>
      </c>
      <c r="M22" s="54">
        <v>1333017869.1800001</v>
      </c>
      <c r="N22" s="44">
        <v>213059773067.48999</v>
      </c>
      <c r="O22" s="44">
        <v>422447273.76999998</v>
      </c>
      <c r="P22" s="146">
        <v>215029737180.78</v>
      </c>
      <c r="Q22" s="48">
        <f t="shared" ref="Q22:Q50" si="7">(P22/$P$51)</f>
        <v>0.40963312414584213</v>
      </c>
      <c r="R22" s="57">
        <v>212637325793.72</v>
      </c>
      <c r="S22" s="48">
        <f t="shared" ref="S22:S50" si="8">(R22/$R$51)</f>
        <v>0.3955294969786865</v>
      </c>
      <c r="T22" s="49">
        <f t="shared" ref="T22:T51" si="9">((R22-P22)/P22)</f>
        <v>-1.1125955965098201E-2</v>
      </c>
      <c r="U22" s="116">
        <f t="shared" ref="U22:U50" si="10">(L22/R22)</f>
        <v>1.5442478506268811E-3</v>
      </c>
      <c r="V22" s="50">
        <f t="shared" ref="V22:V50" si="11">M22/R22</f>
        <v>6.2689740110499883E-3</v>
      </c>
      <c r="W22" s="51">
        <f t="shared" ref="W22:W50" si="12">R22/AB22</f>
        <v>99.999999999868322</v>
      </c>
      <c r="X22" s="51">
        <f t="shared" ref="X22:X50" si="13">M22/AB22</f>
        <v>0.62689740110417336</v>
      </c>
      <c r="Y22" s="44">
        <v>100</v>
      </c>
      <c r="Z22" s="44">
        <v>100</v>
      </c>
      <c r="AA22" s="52">
        <v>90465</v>
      </c>
      <c r="AB22" s="213">
        <v>2126373257.9400001</v>
      </c>
      <c r="AC22" s="37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257" ht="18" customHeight="1" x14ac:dyDescent="0.35">
      <c r="A23" s="211">
        <v>18</v>
      </c>
      <c r="B23" s="160" t="s">
        <v>57</v>
      </c>
      <c r="C23" s="110" t="s">
        <v>58</v>
      </c>
      <c r="D23" s="101"/>
      <c r="E23" s="101"/>
      <c r="F23" s="101">
        <v>156935006078.54999</v>
      </c>
      <c r="G23" s="101">
        <v>2124343043.48</v>
      </c>
      <c r="H23" s="101"/>
      <c r="I23" s="101"/>
      <c r="J23" s="101">
        <v>158059065876.14999</v>
      </c>
      <c r="K23" s="101">
        <v>2611854613.0100002</v>
      </c>
      <c r="L23" s="103">
        <v>193778832.94</v>
      </c>
      <c r="M23" s="54">
        <v>2418075780.0700002</v>
      </c>
      <c r="N23" s="44">
        <v>159200799462.67999</v>
      </c>
      <c r="O23" s="53">
        <v>1141733586.53</v>
      </c>
      <c r="P23" s="146">
        <v>151084229920.59</v>
      </c>
      <c r="Q23" s="48">
        <f t="shared" si="7"/>
        <v>0.28781649423450922</v>
      </c>
      <c r="R23" s="57">
        <v>158059065876.14999</v>
      </c>
      <c r="S23" s="48">
        <f t="shared" si="8"/>
        <v>0.29400775515566163</v>
      </c>
      <c r="T23" s="49">
        <f t="shared" si="9"/>
        <v>4.6165214987864564E-2</v>
      </c>
      <c r="U23" s="116">
        <f t="shared" si="10"/>
        <v>1.2259899921959483E-3</v>
      </c>
      <c r="V23" s="50">
        <f t="shared" si="11"/>
        <v>1.5298557957850558E-2</v>
      </c>
      <c r="W23" s="51">
        <f t="shared" si="12"/>
        <v>100.02451974291886</v>
      </c>
      <c r="X23" s="51">
        <f t="shared" si="13"/>
        <v>1.5302309124932116</v>
      </c>
      <c r="Y23" s="44">
        <v>100</v>
      </c>
      <c r="Z23" s="44">
        <v>100</v>
      </c>
      <c r="AA23" s="52">
        <v>22322</v>
      </c>
      <c r="AB23" s="213">
        <v>1580203197</v>
      </c>
      <c r="AC23" s="37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257" ht="18" customHeight="1" x14ac:dyDescent="0.35">
      <c r="A24" s="211">
        <v>19</v>
      </c>
      <c r="B24" s="160" t="s">
        <v>35</v>
      </c>
      <c r="C24" s="110" t="s">
        <v>59</v>
      </c>
      <c r="D24" s="101"/>
      <c r="E24" s="101"/>
      <c r="F24" s="101">
        <v>7583939930</v>
      </c>
      <c r="G24" s="101"/>
      <c r="H24" s="105"/>
      <c r="I24" s="101"/>
      <c r="J24" s="101">
        <v>7583939930</v>
      </c>
      <c r="K24" s="101">
        <v>161751271</v>
      </c>
      <c r="L24" s="103">
        <v>22742659</v>
      </c>
      <c r="M24" s="54">
        <v>139008612</v>
      </c>
      <c r="N24" s="44">
        <v>21050592397.369999</v>
      </c>
      <c r="O24" s="44">
        <v>215860239.94</v>
      </c>
      <c r="P24" s="146">
        <v>17406879130</v>
      </c>
      <c r="Q24" s="48">
        <f t="shared" si="7"/>
        <v>3.3160224130564103E-2</v>
      </c>
      <c r="R24" s="57">
        <v>20834732157</v>
      </c>
      <c r="S24" s="48">
        <f t="shared" si="8"/>
        <v>3.8754960348486731E-2</v>
      </c>
      <c r="T24" s="49">
        <f t="shared" si="9"/>
        <v>0.19692519270109965</v>
      </c>
      <c r="U24" s="116">
        <f t="shared" si="10"/>
        <v>1.0915743398390164E-3</v>
      </c>
      <c r="V24" s="50">
        <f t="shared" si="11"/>
        <v>6.6719653966511991E-3</v>
      </c>
      <c r="W24" s="51">
        <f t="shared" si="12"/>
        <v>1.031982432855358</v>
      </c>
      <c r="X24" s="51">
        <f t="shared" si="13"/>
        <v>6.8853510819628684E-3</v>
      </c>
      <c r="Y24" s="58">
        <v>1</v>
      </c>
      <c r="Z24" s="44">
        <v>1</v>
      </c>
      <c r="AA24" s="52">
        <v>3390</v>
      </c>
      <c r="AB24" s="213">
        <v>20189037617</v>
      </c>
      <c r="AC24" s="37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257" ht="18" customHeight="1" x14ac:dyDescent="0.35">
      <c r="A25" s="211">
        <v>20</v>
      </c>
      <c r="B25" s="160" t="s">
        <v>60</v>
      </c>
      <c r="C25" s="110" t="s">
        <v>61</v>
      </c>
      <c r="D25" s="101"/>
      <c r="E25" s="101"/>
      <c r="F25" s="102">
        <v>726742494.15999997</v>
      </c>
      <c r="G25" s="101"/>
      <c r="H25" s="101"/>
      <c r="I25" s="102"/>
      <c r="J25" s="102">
        <v>733615499.52999997</v>
      </c>
      <c r="K25" s="102">
        <v>7028415.2999999998</v>
      </c>
      <c r="L25" s="102">
        <v>1417748.74</v>
      </c>
      <c r="M25" s="54">
        <v>5610666.5599999996</v>
      </c>
      <c r="N25" s="159">
        <f>40306642.98+693308856.55</f>
        <v>733615499.52999997</v>
      </c>
      <c r="O25" s="61">
        <v>40306642.979999997</v>
      </c>
      <c r="P25" s="146">
        <v>701006857.61000001</v>
      </c>
      <c r="Q25" s="48">
        <f t="shared" si="7"/>
        <v>1.3354228717166968E-3</v>
      </c>
      <c r="R25" s="57">
        <v>693308856.54999995</v>
      </c>
      <c r="S25" s="48">
        <f t="shared" si="8"/>
        <v>1.2896329572359053E-3</v>
      </c>
      <c r="T25" s="49">
        <f t="shared" si="9"/>
        <v>-1.0981349150057513E-2</v>
      </c>
      <c r="U25" s="116">
        <f t="shared" si="10"/>
        <v>2.0449021047486862E-3</v>
      </c>
      <c r="V25" s="50">
        <f t="shared" si="11"/>
        <v>8.0925932317083716E-3</v>
      </c>
      <c r="W25" s="51">
        <f t="shared" si="12"/>
        <v>101.35626540004753</v>
      </c>
      <c r="X25" s="51">
        <f t="shared" si="13"/>
        <v>0.82023502736766207</v>
      </c>
      <c r="Y25" s="44">
        <v>100</v>
      </c>
      <c r="Z25" s="44">
        <v>100</v>
      </c>
      <c r="AA25" s="76">
        <v>717</v>
      </c>
      <c r="AB25" s="218">
        <v>6840315.7300000004</v>
      </c>
      <c r="AC25" s="37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257" ht="18" customHeight="1" x14ac:dyDescent="0.35">
      <c r="A26" s="211">
        <v>21</v>
      </c>
      <c r="B26" s="164" t="s">
        <v>37</v>
      </c>
      <c r="C26" s="110" t="s">
        <v>62</v>
      </c>
      <c r="D26" s="101"/>
      <c r="E26" s="101"/>
      <c r="F26" s="101">
        <v>16112969438.35</v>
      </c>
      <c r="G26" s="101"/>
      <c r="H26" s="101"/>
      <c r="I26" s="101"/>
      <c r="J26" s="101">
        <v>16112969438.35</v>
      </c>
      <c r="K26" s="101">
        <v>479904659.19999999</v>
      </c>
      <c r="L26" s="101">
        <v>94399964.680000007</v>
      </c>
      <c r="M26" s="54">
        <v>385504694.51999998</v>
      </c>
      <c r="N26" s="44">
        <v>58333102636</v>
      </c>
      <c r="O26" s="44">
        <v>262031062</v>
      </c>
      <c r="P26" s="146">
        <v>55531235353</v>
      </c>
      <c r="Q26" s="48">
        <f t="shared" si="7"/>
        <v>0.10578738421748236</v>
      </c>
      <c r="R26" s="57">
        <v>58071071574</v>
      </c>
      <c r="S26" s="48">
        <f t="shared" si="8"/>
        <v>0.10801876689777236</v>
      </c>
      <c r="T26" s="49">
        <f t="shared" si="9"/>
        <v>4.5737074006274359E-2</v>
      </c>
      <c r="U26" s="116">
        <f t="shared" si="10"/>
        <v>1.6255936410559616E-3</v>
      </c>
      <c r="V26" s="50">
        <f t="shared" si="11"/>
        <v>6.638498034753003E-3</v>
      </c>
      <c r="W26" s="51">
        <f t="shared" si="12"/>
        <v>1.045712880462015</v>
      </c>
      <c r="X26" s="51">
        <f t="shared" si="13"/>
        <v>6.9419629018629882E-3</v>
      </c>
      <c r="Y26" s="44">
        <v>1</v>
      </c>
      <c r="Z26" s="44">
        <v>1</v>
      </c>
      <c r="AA26" s="52">
        <v>77658</v>
      </c>
      <c r="AB26" s="213">
        <v>55532520120</v>
      </c>
      <c r="AC26" s="37"/>
      <c r="AD26" s="10"/>
      <c r="AE26" s="13"/>
      <c r="AF26" s="4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257" ht="18" customHeight="1" x14ac:dyDescent="0.35">
      <c r="A27" s="211">
        <v>22</v>
      </c>
      <c r="B27" s="110" t="s">
        <v>41</v>
      </c>
      <c r="C27" s="110" t="s">
        <v>63</v>
      </c>
      <c r="D27" s="101"/>
      <c r="E27" s="101"/>
      <c r="F27" s="101">
        <v>1069141323.25</v>
      </c>
      <c r="G27" s="101"/>
      <c r="H27" s="101"/>
      <c r="I27" s="101">
        <v>540654415.88</v>
      </c>
      <c r="J27" s="101">
        <v>1609795739.1199999</v>
      </c>
      <c r="K27" s="101">
        <v>12427670.57</v>
      </c>
      <c r="L27" s="101">
        <v>2160510.64</v>
      </c>
      <c r="M27" s="54">
        <v>10267159.93</v>
      </c>
      <c r="N27" s="44">
        <v>1615830345.0999999</v>
      </c>
      <c r="O27" s="44">
        <v>2845840.14</v>
      </c>
      <c r="P27" s="146">
        <v>1409702253.8</v>
      </c>
      <c r="Q27" s="48">
        <f t="shared" si="7"/>
        <v>2.6854924621613871E-3</v>
      </c>
      <c r="R27" s="57">
        <v>1612984504.96</v>
      </c>
      <c r="S27" s="48">
        <f t="shared" si="8"/>
        <v>3.0003337725388502E-3</v>
      </c>
      <c r="T27" s="49">
        <f t="shared" si="9"/>
        <v>0.14420226016666393</v>
      </c>
      <c r="U27" s="116">
        <f t="shared" si="10"/>
        <v>1.3394490978408859E-3</v>
      </c>
      <c r="V27" s="50">
        <f t="shared" si="11"/>
        <v>6.3653183886317691E-3</v>
      </c>
      <c r="W27" s="51">
        <f t="shared" si="12"/>
        <v>9.9899785354807591</v>
      </c>
      <c r="X27" s="51">
        <f t="shared" si="13"/>
        <v>6.3589394073932354E-2</v>
      </c>
      <c r="Y27" s="44">
        <v>10</v>
      </c>
      <c r="Z27" s="44">
        <v>10</v>
      </c>
      <c r="AA27" s="52">
        <v>1245</v>
      </c>
      <c r="AB27" s="213">
        <v>161460257.31999999</v>
      </c>
      <c r="AC27" s="37"/>
      <c r="AD27" s="10"/>
      <c r="AE27" s="3"/>
      <c r="AF27" s="9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257" ht="18" customHeight="1" x14ac:dyDescent="0.35">
      <c r="A28" s="211">
        <v>23</v>
      </c>
      <c r="B28" s="160" t="s">
        <v>64</v>
      </c>
      <c r="C28" s="110" t="s">
        <v>65</v>
      </c>
      <c r="D28" s="101"/>
      <c r="E28" s="101"/>
      <c r="F28" s="102">
        <v>8276168080.4200001</v>
      </c>
      <c r="G28" s="101"/>
      <c r="H28" s="101"/>
      <c r="I28" s="101"/>
      <c r="J28" s="102">
        <v>8276168080.4200001</v>
      </c>
      <c r="K28" s="102">
        <v>227160713.75</v>
      </c>
      <c r="L28" s="102">
        <v>31465121.030000001</v>
      </c>
      <c r="M28" s="54">
        <v>195695592.72</v>
      </c>
      <c r="N28" s="61">
        <v>27687205159.919998</v>
      </c>
      <c r="O28" s="61">
        <v>124203067.91</v>
      </c>
      <c r="P28" s="146">
        <v>26854222553.700001</v>
      </c>
      <c r="Q28" s="48">
        <f t="shared" si="7"/>
        <v>5.1157478148855372E-2</v>
      </c>
      <c r="R28" s="57">
        <v>27563002092.009998</v>
      </c>
      <c r="S28" s="48">
        <f t="shared" si="8"/>
        <v>5.1270304082225132E-2</v>
      </c>
      <c r="T28" s="49">
        <f t="shared" si="9"/>
        <v>2.6393597390230211E-2</v>
      </c>
      <c r="U28" s="116">
        <f>(L28/R28)</f>
        <v>1.1415708972833971E-3</v>
      </c>
      <c r="V28" s="50">
        <f t="shared" si="11"/>
        <v>7.0999375201124598E-3</v>
      </c>
      <c r="W28" s="51">
        <f t="shared" si="12"/>
        <v>1.0071507070937022</v>
      </c>
      <c r="X28" s="51">
        <f t="shared" si="13"/>
        <v>7.1507070937023706E-3</v>
      </c>
      <c r="Y28" s="44">
        <v>1</v>
      </c>
      <c r="Z28" s="44">
        <v>1</v>
      </c>
      <c r="AA28" s="77">
        <v>19142</v>
      </c>
      <c r="AB28" s="218">
        <v>27367306499.290001</v>
      </c>
      <c r="AC28" s="37"/>
      <c r="AD28" s="10"/>
      <c r="AE28" s="10"/>
      <c r="AF28" s="11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257" ht="16.5" customHeight="1" x14ac:dyDescent="0.3">
      <c r="A29" s="211">
        <v>24</v>
      </c>
      <c r="B29" s="160" t="s">
        <v>66</v>
      </c>
      <c r="C29" s="110" t="s">
        <v>67</v>
      </c>
      <c r="D29" s="101"/>
      <c r="E29" s="101"/>
      <c r="F29" s="101">
        <v>597356657.52999997</v>
      </c>
      <c r="G29" s="101"/>
      <c r="H29" s="101"/>
      <c r="I29" s="101"/>
      <c r="J29" s="101">
        <v>597356657.52999997</v>
      </c>
      <c r="K29" s="101">
        <v>15436285.59</v>
      </c>
      <c r="L29" s="101">
        <v>3554648.19</v>
      </c>
      <c r="M29" s="54">
        <v>11881637.4</v>
      </c>
      <c r="N29" s="44">
        <v>2039763615.6099999</v>
      </c>
      <c r="O29" s="44">
        <v>51582233.590000004</v>
      </c>
      <c r="P29" s="146">
        <v>2081665736.1900001</v>
      </c>
      <c r="Q29" s="48">
        <f t="shared" si="7"/>
        <v>3.9655875048852669E-3</v>
      </c>
      <c r="R29" s="57">
        <v>2039649764.8399999</v>
      </c>
      <c r="S29" s="48">
        <f t="shared" si="8"/>
        <v>3.7939794553402324E-3</v>
      </c>
      <c r="T29" s="49">
        <f t="shared" si="9"/>
        <v>-2.0183822320532837E-2</v>
      </c>
      <c r="U29" s="116">
        <f t="shared" si="10"/>
        <v>1.7427738091489663E-3</v>
      </c>
      <c r="V29" s="50">
        <f t="shared" si="11"/>
        <v>5.8253321745814794E-3</v>
      </c>
      <c r="W29" s="51">
        <f t="shared" si="12"/>
        <v>101.78070798841297</v>
      </c>
      <c r="X29" s="51">
        <f t="shared" si="13"/>
        <v>0.5929064329965843</v>
      </c>
      <c r="Y29" s="44">
        <v>100</v>
      </c>
      <c r="Z29" s="44">
        <v>100</v>
      </c>
      <c r="AA29" s="52">
        <v>566</v>
      </c>
      <c r="AB29" s="213">
        <v>20039650</v>
      </c>
      <c r="AC29" s="11"/>
      <c r="AD29" s="14"/>
      <c r="AE29" s="15"/>
      <c r="AF29" s="15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257" ht="18" customHeight="1" x14ac:dyDescent="0.35">
      <c r="A30" s="211">
        <v>25</v>
      </c>
      <c r="B30" s="160" t="s">
        <v>68</v>
      </c>
      <c r="C30" s="110" t="s">
        <v>69</v>
      </c>
      <c r="D30" s="101"/>
      <c r="E30" s="101"/>
      <c r="F30" s="103">
        <v>2010906523.0899999</v>
      </c>
      <c r="G30" s="101"/>
      <c r="H30" s="101"/>
      <c r="I30" s="101"/>
      <c r="J30" s="103">
        <v>2010906523.0899999</v>
      </c>
      <c r="K30" s="103">
        <v>67238936.890000001</v>
      </c>
      <c r="L30" s="99">
        <v>2900950.95</v>
      </c>
      <c r="M30" s="54">
        <v>64337985.939999998</v>
      </c>
      <c r="N30" s="44">
        <v>4996491732.3999996</v>
      </c>
      <c r="O30" s="44">
        <v>4255187.58</v>
      </c>
      <c r="P30" s="146">
        <v>4493247658.9399996</v>
      </c>
      <c r="Q30" s="48">
        <f t="shared" si="7"/>
        <v>8.559667607951205E-3</v>
      </c>
      <c r="R30" s="57">
        <v>4992236544.8199997</v>
      </c>
      <c r="S30" s="48">
        <f t="shared" si="8"/>
        <v>9.2861251052734368E-3</v>
      </c>
      <c r="T30" s="49">
        <f t="shared" si="9"/>
        <v>0.11105305644285728</v>
      </c>
      <c r="U30" s="116">
        <f t="shared" si="10"/>
        <v>5.810924470335964E-4</v>
      </c>
      <c r="V30" s="50">
        <f t="shared" si="11"/>
        <v>1.2887607660890549E-2</v>
      </c>
      <c r="W30" s="51">
        <f t="shared" si="12"/>
        <v>99.199817014021122</v>
      </c>
      <c r="X30" s="51">
        <f t="shared" si="13"/>
        <v>1.2784483217088394</v>
      </c>
      <c r="Y30" s="44">
        <v>100</v>
      </c>
      <c r="Z30" s="44">
        <v>100</v>
      </c>
      <c r="AA30" s="52">
        <f>SUM(5085,209,101)</f>
        <v>5395</v>
      </c>
      <c r="AB30" s="217">
        <v>50325058</v>
      </c>
      <c r="AC30" s="37"/>
      <c r="AD30" s="44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257" ht="18" customHeight="1" x14ac:dyDescent="0.35">
      <c r="A31" s="211">
        <v>26</v>
      </c>
      <c r="B31" s="164" t="s">
        <v>48</v>
      </c>
      <c r="C31" s="107" t="s">
        <v>70</v>
      </c>
      <c r="D31" s="105"/>
      <c r="E31" s="101"/>
      <c r="F31" s="101">
        <v>894801424.94000006</v>
      </c>
      <c r="G31" s="101"/>
      <c r="H31" s="105"/>
      <c r="I31" s="101"/>
      <c r="J31" s="101">
        <v>894801424.94000006</v>
      </c>
      <c r="K31" s="101">
        <v>6014508.9699999997</v>
      </c>
      <c r="L31" s="101">
        <v>1247771.21</v>
      </c>
      <c r="M31" s="54">
        <v>4766636.76</v>
      </c>
      <c r="N31" s="44">
        <v>905776204.44000006</v>
      </c>
      <c r="O31" s="44">
        <v>3665913.7</v>
      </c>
      <c r="P31" s="146">
        <v>1017387427.88</v>
      </c>
      <c r="Q31" s="48">
        <f t="shared" si="7"/>
        <v>1.9381300280286902E-3</v>
      </c>
      <c r="R31" s="57">
        <v>902110290.74000001</v>
      </c>
      <c r="S31" s="48">
        <f t="shared" si="8"/>
        <v>1.6780272616004977E-3</v>
      </c>
      <c r="T31" s="49">
        <f t="shared" si="9"/>
        <v>-0.11330701950997259</v>
      </c>
      <c r="U31" s="116">
        <f t="shared" si="10"/>
        <v>1.3831692452775976E-3</v>
      </c>
      <c r="V31" s="50">
        <f t="shared" si="11"/>
        <v>5.2838736116067727E-3</v>
      </c>
      <c r="W31" s="51">
        <f t="shared" si="12"/>
        <v>10.060930566017527</v>
      </c>
      <c r="X31" s="51">
        <f t="shared" si="13"/>
        <v>5.3160685525988002E-2</v>
      </c>
      <c r="Y31" s="44">
        <v>10</v>
      </c>
      <c r="Z31" s="44">
        <v>10</v>
      </c>
      <c r="AA31" s="52">
        <v>321</v>
      </c>
      <c r="AB31" s="213">
        <v>89664697</v>
      </c>
      <c r="AC31" s="37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257" ht="18" customHeight="1" x14ac:dyDescent="0.35">
      <c r="A32" s="211">
        <v>27</v>
      </c>
      <c r="B32" s="164" t="s">
        <v>31</v>
      </c>
      <c r="C32" s="107" t="s">
        <v>71</v>
      </c>
      <c r="D32" s="101"/>
      <c r="E32" s="101"/>
      <c r="F32" s="102">
        <v>1974754908.1700001</v>
      </c>
      <c r="G32" s="101"/>
      <c r="H32" s="101"/>
      <c r="I32" s="102"/>
      <c r="J32" s="102">
        <v>1983521224.5999999</v>
      </c>
      <c r="K32" s="102">
        <v>12454561.74</v>
      </c>
      <c r="L32" s="102">
        <v>2728009.84</v>
      </c>
      <c r="M32" s="54">
        <v>9726551.9000000004</v>
      </c>
      <c r="N32" s="61">
        <v>1983521224.5999999</v>
      </c>
      <c r="O32" s="61">
        <v>10948266.92</v>
      </c>
      <c r="P32" s="146">
        <v>1961120412.6500001</v>
      </c>
      <c r="Q32" s="48">
        <f t="shared" si="7"/>
        <v>3.7359478367618429E-3</v>
      </c>
      <c r="R32" s="57">
        <v>1972572957.6800001</v>
      </c>
      <c r="S32" s="48">
        <f t="shared" si="8"/>
        <v>3.6692090007838731E-3</v>
      </c>
      <c r="T32" s="49">
        <f t="shared" si="9"/>
        <v>5.8397969630658774E-3</v>
      </c>
      <c r="U32" s="116">
        <f t="shared" si="10"/>
        <v>1.3829703126461243E-3</v>
      </c>
      <c r="V32" s="50">
        <f t="shared" si="11"/>
        <v>4.9308958951965352E-3</v>
      </c>
      <c r="W32" s="51">
        <f t="shared" si="12"/>
        <v>99.999999983777542</v>
      </c>
      <c r="X32" s="51">
        <f t="shared" si="13"/>
        <v>0.49308958943966225</v>
      </c>
      <c r="Y32" s="78">
        <v>100</v>
      </c>
      <c r="Z32" s="78">
        <v>100</v>
      </c>
      <c r="AA32" s="52">
        <v>1181</v>
      </c>
      <c r="AB32" s="218">
        <v>19725729.579999998</v>
      </c>
      <c r="AC32" s="37"/>
      <c r="AD32" s="10"/>
      <c r="AE32" s="13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 x14ac:dyDescent="0.3">
      <c r="A33" s="211">
        <v>28</v>
      </c>
      <c r="B33" s="160" t="s">
        <v>46</v>
      </c>
      <c r="C33" s="110" t="s">
        <v>72</v>
      </c>
      <c r="D33" s="101"/>
      <c r="E33" s="101"/>
      <c r="F33" s="101">
        <v>7998179062.75</v>
      </c>
      <c r="G33" s="101"/>
      <c r="H33" s="101"/>
      <c r="I33" s="101"/>
      <c r="J33" s="101">
        <v>7998179062.75</v>
      </c>
      <c r="K33" s="101">
        <v>62358071.490000002</v>
      </c>
      <c r="L33" s="102">
        <v>11308325.810000001</v>
      </c>
      <c r="M33" s="54">
        <v>51049745.68</v>
      </c>
      <c r="N33" s="44">
        <v>8278825283.1400003</v>
      </c>
      <c r="O33" s="44">
        <v>257470049.47999999</v>
      </c>
      <c r="P33" s="146">
        <v>8249444417.96</v>
      </c>
      <c r="Q33" s="48">
        <f t="shared" si="7"/>
        <v>1.5715248196371233E-2</v>
      </c>
      <c r="R33" s="57">
        <v>8021355233.6599998</v>
      </c>
      <c r="S33" s="48">
        <f t="shared" si="8"/>
        <v>1.4920628769262839E-2</v>
      </c>
      <c r="T33" s="49">
        <f t="shared" si="9"/>
        <v>-2.7649035831240162E-2</v>
      </c>
      <c r="U33" s="116">
        <f t="shared" si="10"/>
        <v>1.4097774603656613E-3</v>
      </c>
      <c r="V33" s="50">
        <f t="shared" si="11"/>
        <v>6.3642295089712565E-3</v>
      </c>
      <c r="W33" s="51">
        <f t="shared" si="12"/>
        <v>100.00001594070038</v>
      </c>
      <c r="X33" s="51">
        <f t="shared" si="13"/>
        <v>0.63642305234740137</v>
      </c>
      <c r="Y33" s="44">
        <v>100</v>
      </c>
      <c r="Z33" s="44">
        <v>100</v>
      </c>
      <c r="AA33" s="52">
        <v>5529</v>
      </c>
      <c r="AB33" s="213">
        <v>80213539.549999997</v>
      </c>
      <c r="AC33" s="25"/>
      <c r="AD33" s="12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 x14ac:dyDescent="0.3">
      <c r="A34" s="211">
        <v>29</v>
      </c>
      <c r="B34" s="160" t="s">
        <v>73</v>
      </c>
      <c r="C34" s="110" t="s">
        <v>174</v>
      </c>
      <c r="D34" s="101"/>
      <c r="E34" s="101"/>
      <c r="F34" s="102">
        <v>2921434819.3000002</v>
      </c>
      <c r="G34" s="101"/>
      <c r="H34" s="101"/>
      <c r="I34" s="101"/>
      <c r="J34" s="101">
        <v>8362673251</v>
      </c>
      <c r="K34" s="101">
        <v>57884582.299999997</v>
      </c>
      <c r="L34" s="101">
        <v>11516903.98</v>
      </c>
      <c r="M34" s="54">
        <v>46367678.32</v>
      </c>
      <c r="N34" s="44">
        <v>8362673251</v>
      </c>
      <c r="O34" s="44">
        <v>87289659.650000006</v>
      </c>
      <c r="P34" s="146">
        <v>7686415312.46</v>
      </c>
      <c r="Q34" s="48">
        <f t="shared" si="7"/>
        <v>1.4642673888766959E-2</v>
      </c>
      <c r="R34" s="57">
        <v>8275383591.3500004</v>
      </c>
      <c r="S34" s="48">
        <f t="shared" si="8"/>
        <v>1.5393150271122393E-2</v>
      </c>
      <c r="T34" s="49">
        <f t="shared" si="9"/>
        <v>7.6624571396143301E-2</v>
      </c>
      <c r="U34" s="116">
        <f t="shared" si="10"/>
        <v>1.391706360541191E-3</v>
      </c>
      <c r="V34" s="50">
        <f t="shared" si="11"/>
        <v>5.6030850785535411E-3</v>
      </c>
      <c r="W34" s="51">
        <f t="shared" si="12"/>
        <v>100.66544488627736</v>
      </c>
      <c r="X34" s="51">
        <f t="shared" si="13"/>
        <v>0.5640370521682545</v>
      </c>
      <c r="Y34" s="58">
        <v>100</v>
      </c>
      <c r="Z34" s="58">
        <v>100</v>
      </c>
      <c r="AA34" s="52">
        <v>2931</v>
      </c>
      <c r="AB34" s="225">
        <v>82206795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 x14ac:dyDescent="0.3">
      <c r="A35" s="211">
        <v>30</v>
      </c>
      <c r="B35" s="160" t="s">
        <v>73</v>
      </c>
      <c r="C35" s="110" t="s">
        <v>74</v>
      </c>
      <c r="D35" s="101"/>
      <c r="E35" s="101"/>
      <c r="F35" s="101">
        <v>136022218.84999999</v>
      </c>
      <c r="G35" s="101"/>
      <c r="H35" s="101"/>
      <c r="I35" s="103"/>
      <c r="J35" s="101">
        <v>403432236.01999998</v>
      </c>
      <c r="K35" s="101">
        <v>3104339.72</v>
      </c>
      <c r="L35" s="101">
        <v>299603.55</v>
      </c>
      <c r="M35" s="54">
        <v>2804736.17</v>
      </c>
      <c r="N35" s="44">
        <v>403432236.01999998</v>
      </c>
      <c r="O35" s="44">
        <v>1885738.64</v>
      </c>
      <c r="P35" s="146">
        <v>362497042.56999999</v>
      </c>
      <c r="Q35" s="48">
        <f t="shared" si="7"/>
        <v>6.9055935234082577E-4</v>
      </c>
      <c r="R35" s="57">
        <v>401546497.37</v>
      </c>
      <c r="S35" s="48">
        <f t="shared" si="8"/>
        <v>7.469219410348709E-4</v>
      </c>
      <c r="T35" s="49">
        <f t="shared" si="9"/>
        <v>0.10772351278551291</v>
      </c>
      <c r="U35" s="116">
        <f t="shared" si="10"/>
        <v>7.4612417730526002E-4</v>
      </c>
      <c r="V35" s="50">
        <f t="shared" si="11"/>
        <v>6.9848353512485277E-3</v>
      </c>
      <c r="W35" s="51">
        <f t="shared" si="12"/>
        <v>1014006.3064898991</v>
      </c>
      <c r="X35" s="51">
        <f t="shared" si="13"/>
        <v>7082.6670959595958</v>
      </c>
      <c r="Y35" s="44">
        <v>1000000</v>
      </c>
      <c r="Z35" s="44">
        <v>1000000</v>
      </c>
      <c r="AA35" s="52">
        <v>9</v>
      </c>
      <c r="AB35" s="213">
        <v>396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 x14ac:dyDescent="0.3">
      <c r="A36" s="211">
        <v>31</v>
      </c>
      <c r="B36" s="160" t="s">
        <v>75</v>
      </c>
      <c r="C36" s="110" t="s">
        <v>76</v>
      </c>
      <c r="D36" s="103"/>
      <c r="E36" s="101"/>
      <c r="F36" s="102">
        <v>1289042192.25</v>
      </c>
      <c r="G36" s="101"/>
      <c r="H36" s="101"/>
      <c r="I36" s="102"/>
      <c r="J36" s="102">
        <v>1976107697.5599999</v>
      </c>
      <c r="K36" s="102">
        <v>39164906.399999999</v>
      </c>
      <c r="L36" s="102">
        <v>5341888.43</v>
      </c>
      <c r="M36" s="54">
        <v>33823017.979999997</v>
      </c>
      <c r="N36" s="61">
        <v>4967738810.0500002</v>
      </c>
      <c r="O36" s="61">
        <v>12186668.33</v>
      </c>
      <c r="P36" s="146">
        <v>4632648856.21</v>
      </c>
      <c r="Q36" s="48">
        <f t="shared" si="7"/>
        <v>8.8252278448563599E-3</v>
      </c>
      <c r="R36" s="57">
        <v>4955552141.71</v>
      </c>
      <c r="S36" s="48">
        <f t="shared" si="8"/>
        <v>9.2178879627355485E-3</v>
      </c>
      <c r="T36" s="49">
        <f t="shared" si="9"/>
        <v>6.9701653529632993E-2</v>
      </c>
      <c r="U36" s="116">
        <f t="shared" si="10"/>
        <v>1.0779602912535772E-3</v>
      </c>
      <c r="V36" s="50">
        <f t="shared" si="11"/>
        <v>6.8252773884301763E-3</v>
      </c>
      <c r="W36" s="51">
        <f t="shared" si="12"/>
        <v>1.006218260846361</v>
      </c>
      <c r="X36" s="51">
        <f t="shared" si="13"/>
        <v>6.8677187435802053E-3</v>
      </c>
      <c r="Y36" s="44">
        <v>1</v>
      </c>
      <c r="Z36" s="44">
        <v>1</v>
      </c>
      <c r="AA36" s="52">
        <v>1405</v>
      </c>
      <c r="AB36" s="218">
        <v>4924927656.8900003</v>
      </c>
      <c r="AC36" s="13"/>
      <c r="AD36" s="4"/>
      <c r="AE36" s="4"/>
      <c r="AF36" s="4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 x14ac:dyDescent="0.3">
      <c r="A37" s="211">
        <v>32</v>
      </c>
      <c r="B37" s="160" t="s">
        <v>77</v>
      </c>
      <c r="C37" s="110" t="s">
        <v>78</v>
      </c>
      <c r="D37" s="101"/>
      <c r="E37" s="101"/>
      <c r="F37" s="101">
        <v>9896860647.2800007</v>
      </c>
      <c r="G37" s="101"/>
      <c r="H37" s="105"/>
      <c r="I37" s="101"/>
      <c r="J37" s="101">
        <v>9896860647.2800007</v>
      </c>
      <c r="K37" s="101">
        <v>55320382.68</v>
      </c>
      <c r="L37" s="102">
        <v>9939456.2200000007</v>
      </c>
      <c r="M37" s="54">
        <v>9939456.2200000007</v>
      </c>
      <c r="N37" s="44">
        <v>9896860647.2800007</v>
      </c>
      <c r="O37" s="44">
        <v>9939456.2200000007</v>
      </c>
      <c r="P37" s="146">
        <v>9578140879.7700005</v>
      </c>
      <c r="Q37" s="48">
        <f t="shared" si="7"/>
        <v>1.8246424069200261E-2</v>
      </c>
      <c r="R37" s="57">
        <v>9886921191.0599995</v>
      </c>
      <c r="S37" s="48">
        <f t="shared" si="8"/>
        <v>1.8390792636103458E-2</v>
      </c>
      <c r="T37" s="49">
        <f t="shared" si="9"/>
        <v>3.2238021466376027E-2</v>
      </c>
      <c r="U37" s="116">
        <f t="shared" si="10"/>
        <v>1.0053135883178177E-3</v>
      </c>
      <c r="V37" s="50">
        <f t="shared" si="11"/>
        <v>1.0053135883178177E-3</v>
      </c>
      <c r="W37" s="51">
        <f t="shared" si="12"/>
        <v>1.0080680213132203</v>
      </c>
      <c r="X37" s="51">
        <f t="shared" si="13"/>
        <v>1.0134244797748359E-3</v>
      </c>
      <c r="Y37" s="58">
        <v>1</v>
      </c>
      <c r="Z37" s="58">
        <v>1</v>
      </c>
      <c r="AA37" s="52">
        <v>2421</v>
      </c>
      <c r="AB37" s="213">
        <v>9807791718.4400005</v>
      </c>
      <c r="AC37" s="39"/>
      <c r="AD37" s="16"/>
      <c r="AE37" s="16"/>
      <c r="AF37" s="16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 x14ac:dyDescent="0.3">
      <c r="A38" s="211">
        <v>33</v>
      </c>
      <c r="B38" s="160" t="s">
        <v>33</v>
      </c>
      <c r="C38" s="110" t="s">
        <v>79</v>
      </c>
      <c r="D38" s="101"/>
      <c r="E38" s="101"/>
      <c r="F38" s="101">
        <v>524643172.33999997</v>
      </c>
      <c r="G38" s="101"/>
      <c r="H38" s="105"/>
      <c r="I38" s="101"/>
      <c r="J38" s="101">
        <v>524643172.33999997</v>
      </c>
      <c r="K38" s="101">
        <v>3515706.08</v>
      </c>
      <c r="L38" s="102">
        <v>1141447.3700000001</v>
      </c>
      <c r="M38" s="54">
        <v>2374258.71</v>
      </c>
      <c r="N38" s="44">
        <v>533637380.19</v>
      </c>
      <c r="O38" s="44">
        <v>15763370.9</v>
      </c>
      <c r="P38" s="146">
        <v>516923419.73000002</v>
      </c>
      <c r="Q38" s="48">
        <f t="shared" si="7"/>
        <v>9.8474265998907211E-4</v>
      </c>
      <c r="R38" s="57">
        <v>517874009.27999997</v>
      </c>
      <c r="S38" s="48">
        <f t="shared" si="8"/>
        <v>9.633042817118779E-4</v>
      </c>
      <c r="T38" s="49">
        <f t="shared" si="9"/>
        <v>1.8389368980350422E-3</v>
      </c>
      <c r="U38" s="116">
        <f t="shared" si="10"/>
        <v>2.2041024448918646E-3</v>
      </c>
      <c r="V38" s="50">
        <f t="shared" si="11"/>
        <v>4.5846261203587547E-3</v>
      </c>
      <c r="W38" s="51">
        <f t="shared" si="12"/>
        <v>102.9109643891116</v>
      </c>
      <c r="X38" s="51">
        <f t="shared" si="13"/>
        <v>0.47180829540963065</v>
      </c>
      <c r="Y38" s="58">
        <v>100</v>
      </c>
      <c r="Z38" s="58">
        <v>100</v>
      </c>
      <c r="AA38" s="52">
        <v>573</v>
      </c>
      <c r="AB38" s="213">
        <v>5032253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 x14ac:dyDescent="0.3">
      <c r="A39" s="211">
        <v>34</v>
      </c>
      <c r="B39" s="160" t="s">
        <v>27</v>
      </c>
      <c r="C39" s="110" t="s">
        <v>80</v>
      </c>
      <c r="D39" s="101"/>
      <c r="E39" s="101"/>
      <c r="F39" s="101">
        <v>4796537854.6700001</v>
      </c>
      <c r="G39" s="101"/>
      <c r="H39" s="101"/>
      <c r="I39" s="108"/>
      <c r="J39" s="101">
        <v>4850032679.6899996</v>
      </c>
      <c r="K39" s="101">
        <v>37436716.979999997</v>
      </c>
      <c r="L39" s="101">
        <v>4718638.91</v>
      </c>
      <c r="M39" s="54">
        <v>32718078.07</v>
      </c>
      <c r="N39" s="44">
        <v>4850032679.6899996</v>
      </c>
      <c r="O39" s="44">
        <v>4877792.4000000004</v>
      </c>
      <c r="P39" s="146">
        <v>4920803580.9799995</v>
      </c>
      <c r="Q39" s="48">
        <f t="shared" si="7"/>
        <v>9.3741645718992961E-3</v>
      </c>
      <c r="R39" s="57">
        <v>4845154887.29</v>
      </c>
      <c r="S39" s="48">
        <f t="shared" si="8"/>
        <v>9.0125365723078381E-3</v>
      </c>
      <c r="T39" s="49">
        <f t="shared" si="9"/>
        <v>-1.5373239846922281E-2</v>
      </c>
      <c r="U39" s="116">
        <f t="shared" si="10"/>
        <v>9.7388814594516232E-4</v>
      </c>
      <c r="V39" s="50">
        <f t="shared" si="11"/>
        <v>6.7527414151046733E-3</v>
      </c>
      <c r="W39" s="51">
        <f t="shared" si="12"/>
        <v>1.008660080115944</v>
      </c>
      <c r="X39" s="51">
        <f t="shared" si="13"/>
        <v>6.8112206967617332E-3</v>
      </c>
      <c r="Y39" s="44">
        <v>0.99</v>
      </c>
      <c r="Z39" s="44">
        <v>0.99</v>
      </c>
      <c r="AA39" s="52">
        <v>803</v>
      </c>
      <c r="AB39" s="213">
        <v>4803555710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 x14ac:dyDescent="0.3">
      <c r="A40" s="211">
        <v>35</v>
      </c>
      <c r="B40" s="160" t="s">
        <v>81</v>
      </c>
      <c r="C40" s="110" t="s">
        <v>82</v>
      </c>
      <c r="D40" s="101"/>
      <c r="E40" s="103"/>
      <c r="F40" s="102">
        <v>407286346.06</v>
      </c>
      <c r="G40" s="101"/>
      <c r="H40" s="101"/>
      <c r="I40" s="101">
        <f>SUM(297818911.38+14173202.09)</f>
        <v>311992113.46999997</v>
      </c>
      <c r="J40" s="109">
        <v>704541504.17999995</v>
      </c>
      <c r="K40" s="109">
        <v>3179656.41</v>
      </c>
      <c r="L40" s="109">
        <v>536846.51</v>
      </c>
      <c r="M40" s="54">
        <v>2642809.9</v>
      </c>
      <c r="N40" s="45">
        <v>726962605.64999998</v>
      </c>
      <c r="O40" s="80">
        <v>13319960.27</v>
      </c>
      <c r="P40" s="146">
        <v>642103812.16999996</v>
      </c>
      <c r="Q40" s="48">
        <f t="shared" si="7"/>
        <v>1.2232121661573711E-3</v>
      </c>
      <c r="R40" s="57">
        <v>713642645.38</v>
      </c>
      <c r="S40" s="48">
        <f t="shared" si="8"/>
        <v>1.3274561062883107E-3</v>
      </c>
      <c r="T40" s="49">
        <f t="shared" si="9"/>
        <v>0.11141318873070294</v>
      </c>
      <c r="U40" s="116">
        <f t="shared" si="10"/>
        <v>7.5226237315756308E-4</v>
      </c>
      <c r="V40" s="50">
        <f t="shared" si="11"/>
        <v>3.7032678990095358E-3</v>
      </c>
      <c r="W40" s="51">
        <f t="shared" si="12"/>
        <v>10.00107117432032</v>
      </c>
      <c r="X40" s="51">
        <f t="shared" si="13"/>
        <v>3.7036645835570044E-2</v>
      </c>
      <c r="Y40" s="44">
        <v>10</v>
      </c>
      <c r="Z40" s="44">
        <v>10</v>
      </c>
      <c r="AA40" s="52">
        <v>263</v>
      </c>
      <c r="AB40" s="212">
        <v>71356621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 x14ac:dyDescent="0.3">
      <c r="A41" s="211">
        <v>36</v>
      </c>
      <c r="B41" s="160" t="s">
        <v>83</v>
      </c>
      <c r="C41" s="110" t="s">
        <v>84</v>
      </c>
      <c r="D41" s="101"/>
      <c r="E41" s="101"/>
      <c r="F41" s="102">
        <v>554098073.48000002</v>
      </c>
      <c r="G41" s="101"/>
      <c r="H41" s="101"/>
      <c r="I41" s="102"/>
      <c r="J41" s="102">
        <v>554098073.48000002</v>
      </c>
      <c r="K41" s="102">
        <v>4924762.6100000003</v>
      </c>
      <c r="L41" s="102">
        <v>892192.36</v>
      </c>
      <c r="M41" s="81">
        <v>4032570.25</v>
      </c>
      <c r="N41" s="61">
        <v>733804799.08000004</v>
      </c>
      <c r="O41" s="61">
        <v>926272.5</v>
      </c>
      <c r="P41" s="146">
        <v>736369792.40999997</v>
      </c>
      <c r="Q41" s="48">
        <f t="shared" si="7"/>
        <v>1.4027895050531417E-3</v>
      </c>
      <c r="R41" s="57">
        <v>732758526.57000005</v>
      </c>
      <c r="S41" s="48">
        <f t="shared" si="8"/>
        <v>1.3630138092605533E-3</v>
      </c>
      <c r="T41" s="49">
        <f t="shared" si="9"/>
        <v>-4.9041471787984667E-3</v>
      </c>
      <c r="U41" s="116">
        <f t="shared" si="10"/>
        <v>1.2175803182752447E-3</v>
      </c>
      <c r="V41" s="50">
        <f t="shared" si="11"/>
        <v>5.5032730480479375E-3</v>
      </c>
      <c r="W41" s="51">
        <f t="shared" si="12"/>
        <v>1.0055883848899914</v>
      </c>
      <c r="X41" s="51">
        <f t="shared" si="13"/>
        <v>5.5340274559951457E-3</v>
      </c>
      <c r="Y41" s="44">
        <v>1</v>
      </c>
      <c r="Z41" s="44">
        <v>1</v>
      </c>
      <c r="AA41" s="52">
        <v>148</v>
      </c>
      <c r="AB41" s="218">
        <v>728686346.79999995</v>
      </c>
      <c r="AC41" s="13"/>
      <c r="AD41" s="4"/>
      <c r="AE41" s="4"/>
      <c r="AF41" s="4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 x14ac:dyDescent="0.3">
      <c r="A42" s="211">
        <v>37</v>
      </c>
      <c r="B42" s="160" t="s">
        <v>85</v>
      </c>
      <c r="C42" s="110" t="s">
        <v>156</v>
      </c>
      <c r="D42" s="101"/>
      <c r="E42" s="101"/>
      <c r="F42" s="102">
        <v>6290546610.6300001</v>
      </c>
      <c r="G42" s="101"/>
      <c r="H42" s="101"/>
      <c r="I42" s="102"/>
      <c r="J42" s="102">
        <v>6385180180.0500002</v>
      </c>
      <c r="K42" s="102">
        <v>45857849</v>
      </c>
      <c r="L42" s="102">
        <v>43848098.030000001</v>
      </c>
      <c r="M42" s="81">
        <v>2009750.97</v>
      </c>
      <c r="N42" s="61">
        <v>6428968978.9799995</v>
      </c>
      <c r="O42" s="61">
        <v>64827193.140000001</v>
      </c>
      <c r="P42" s="146">
        <v>6107287634.2199993</v>
      </c>
      <c r="Q42" s="48">
        <f t="shared" si="7"/>
        <v>1.1634424831015518E-2</v>
      </c>
      <c r="R42" s="57">
        <v>6364141785.8400002</v>
      </c>
      <c r="S42" s="48">
        <f t="shared" si="8"/>
        <v>1.1838024156192983E-2</v>
      </c>
      <c r="T42" s="49">
        <f>((R42-P42)/P42)</f>
        <v>4.2056992727968236E-2</v>
      </c>
      <c r="U42" s="116">
        <f t="shared" si="10"/>
        <v>6.8898681873431128E-3</v>
      </c>
      <c r="V42" s="50">
        <f t="shared" si="11"/>
        <v>3.1579292819522463E-4</v>
      </c>
      <c r="W42" s="51">
        <f t="shared" si="12"/>
        <v>99.999996854878475</v>
      </c>
      <c r="X42" s="51">
        <f t="shared" si="13"/>
        <v>3.1579291826315331E-2</v>
      </c>
      <c r="Y42" s="44">
        <v>100</v>
      </c>
      <c r="Z42" s="44">
        <v>100</v>
      </c>
      <c r="AA42" s="52">
        <v>1099</v>
      </c>
      <c r="AB42" s="218">
        <v>63641419.859999999</v>
      </c>
      <c r="AC42" s="3"/>
      <c r="AD42" s="9"/>
      <c r="AE42" s="9"/>
      <c r="AF42" s="9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 x14ac:dyDescent="0.3">
      <c r="A43" s="211">
        <v>38</v>
      </c>
      <c r="B43" s="160" t="s">
        <v>179</v>
      </c>
      <c r="C43" s="110" t="s">
        <v>86</v>
      </c>
      <c r="D43" s="101"/>
      <c r="E43" s="101"/>
      <c r="F43" s="101">
        <v>232116004.56999999</v>
      </c>
      <c r="G43" s="101"/>
      <c r="H43" s="101"/>
      <c r="I43" s="101"/>
      <c r="J43" s="101">
        <v>232116004.56999999</v>
      </c>
      <c r="K43" s="101">
        <v>2697076.28</v>
      </c>
      <c r="L43" s="101">
        <v>521219.64</v>
      </c>
      <c r="M43" s="54">
        <v>2175856.6400000001</v>
      </c>
      <c r="N43" s="44">
        <v>408838598.47000003</v>
      </c>
      <c r="O43" s="44">
        <v>4361195.76</v>
      </c>
      <c r="P43" s="146">
        <v>425623746.49000001</v>
      </c>
      <c r="Q43" s="48">
        <f t="shared" si="7"/>
        <v>8.1081615627320077E-4</v>
      </c>
      <c r="R43" s="57">
        <v>404476402.70999998</v>
      </c>
      <c r="S43" s="48">
        <f t="shared" si="8"/>
        <v>7.5237189663885349E-4</v>
      </c>
      <c r="T43" s="49">
        <f t="shared" si="9"/>
        <v>-4.9685535533193957E-2</v>
      </c>
      <c r="U43" s="116">
        <f t="shared" si="10"/>
        <v>1.2886280547092933E-3</v>
      </c>
      <c r="V43" s="50">
        <f t="shared" si="11"/>
        <v>5.3794402477418141E-3</v>
      </c>
      <c r="W43" s="51">
        <f t="shared" si="12"/>
        <v>1.059806878584598</v>
      </c>
      <c r="X43" s="51">
        <f t="shared" si="13"/>
        <v>5.7011677774916093E-3</v>
      </c>
      <c r="Y43" s="44">
        <v>1</v>
      </c>
      <c r="Z43" s="44">
        <v>1</v>
      </c>
      <c r="AA43" s="52">
        <f>SUM(412,17,9)</f>
        <v>438</v>
      </c>
      <c r="AB43" s="213">
        <v>381651045</v>
      </c>
      <c r="AC43" s="10"/>
      <c r="AD43" s="10"/>
      <c r="AE43" s="10"/>
      <c r="AF43" s="11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 x14ac:dyDescent="0.3">
      <c r="A44" s="211">
        <v>39</v>
      </c>
      <c r="B44" s="160" t="s">
        <v>52</v>
      </c>
      <c r="C44" s="110" t="s">
        <v>87</v>
      </c>
      <c r="D44" s="101"/>
      <c r="E44" s="101"/>
      <c r="F44" s="102">
        <v>236763057.40000001</v>
      </c>
      <c r="G44" s="101"/>
      <c r="H44" s="101"/>
      <c r="I44" s="102"/>
      <c r="J44" s="102">
        <v>236763057.40000001</v>
      </c>
      <c r="K44" s="102">
        <v>2008522.06</v>
      </c>
      <c r="L44" s="101">
        <v>347694.93</v>
      </c>
      <c r="M44" s="54">
        <v>1660827.13</v>
      </c>
      <c r="N44" s="45">
        <v>237848599.31</v>
      </c>
      <c r="O44" s="45">
        <v>347694.93</v>
      </c>
      <c r="P44" s="146">
        <v>231253048.33000001</v>
      </c>
      <c r="Q44" s="48">
        <f t="shared" si="7"/>
        <v>4.4053864315532671E-4</v>
      </c>
      <c r="R44" s="57">
        <v>237500904.38</v>
      </c>
      <c r="S44" s="48">
        <f t="shared" si="8"/>
        <v>4.4177856775971027E-4</v>
      </c>
      <c r="T44" s="49">
        <f t="shared" si="9"/>
        <v>2.7017399749404557E-2</v>
      </c>
      <c r="U44" s="116">
        <f>(L44/R44)</f>
        <v>1.4639730779453801E-3</v>
      </c>
      <c r="V44" s="50">
        <f t="shared" si="11"/>
        <v>6.9929297083546537E-3</v>
      </c>
      <c r="W44" s="51">
        <f t="shared" si="12"/>
        <v>100.69419815891514</v>
      </c>
      <c r="X44" s="51">
        <f t="shared" si="13"/>
        <v>0.70414744976442811</v>
      </c>
      <c r="Y44" s="44">
        <v>100</v>
      </c>
      <c r="Z44" s="44">
        <v>100</v>
      </c>
      <c r="AA44" s="52">
        <v>581</v>
      </c>
      <c r="AB44" s="212">
        <v>2358635.44</v>
      </c>
      <c r="AC44" s="40"/>
      <c r="AD44" s="15"/>
      <c r="AE44" s="15"/>
      <c r="AF44" s="15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 x14ac:dyDescent="0.3">
      <c r="A45" s="211">
        <v>40</v>
      </c>
      <c r="B45" s="160" t="s">
        <v>88</v>
      </c>
      <c r="C45" s="110" t="s">
        <v>89</v>
      </c>
      <c r="D45" s="101"/>
      <c r="E45" s="99"/>
      <c r="F45" s="104" t="s">
        <v>181</v>
      </c>
      <c r="G45" s="99"/>
      <c r="H45" s="99"/>
      <c r="I45" s="99"/>
      <c r="J45" s="104" t="s">
        <v>180</v>
      </c>
      <c r="K45" s="102">
        <v>621275.78</v>
      </c>
      <c r="L45" s="104">
        <v>143384.35</v>
      </c>
      <c r="M45" s="82">
        <v>477891.43</v>
      </c>
      <c r="N45" s="45">
        <v>111175855.90000001</v>
      </c>
      <c r="O45" s="45">
        <v>111137803.06999999</v>
      </c>
      <c r="P45" s="146">
        <v>111413003.15000001</v>
      </c>
      <c r="Q45" s="48">
        <f t="shared" si="7"/>
        <v>2.1224253514496856E-4</v>
      </c>
      <c r="R45" s="157">
        <v>110488740.06999999</v>
      </c>
      <c r="S45" s="48">
        <f t="shared" si="8"/>
        <v>2.0552156409308367E-4</v>
      </c>
      <c r="T45" s="49">
        <f>((R45-P45)/P45)</f>
        <v>-8.2958277208957272E-3</v>
      </c>
      <c r="U45" s="188">
        <f>(L45/R45)</f>
        <v>1.297728165867029E-3</v>
      </c>
      <c r="V45" s="50">
        <f t="shared" si="11"/>
        <v>4.3252500634655853E-3</v>
      </c>
      <c r="W45" s="51">
        <f t="shared" si="12"/>
        <v>0.99415983596876401</v>
      </c>
      <c r="X45" s="51">
        <f t="shared" si="13"/>
        <v>4.2999898936188323E-3</v>
      </c>
      <c r="Y45" s="44">
        <v>1</v>
      </c>
      <c r="Z45" s="44">
        <v>1</v>
      </c>
      <c r="AA45" s="55">
        <v>38</v>
      </c>
      <c r="AB45" s="212">
        <v>111137803.06999999</v>
      </c>
      <c r="AC45" s="39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 x14ac:dyDescent="0.3">
      <c r="A46" s="211">
        <v>41</v>
      </c>
      <c r="B46" s="160" t="s">
        <v>90</v>
      </c>
      <c r="C46" s="118" t="s">
        <v>91</v>
      </c>
      <c r="D46" s="101"/>
      <c r="E46" s="101"/>
      <c r="F46" s="102">
        <v>477647875.88999999</v>
      </c>
      <c r="G46" s="101"/>
      <c r="H46" s="101"/>
      <c r="I46" s="102"/>
      <c r="J46" s="102">
        <v>763567372.51999998</v>
      </c>
      <c r="K46" s="102">
        <v>9000385.2400000002</v>
      </c>
      <c r="L46" s="102">
        <v>1300206.1599999999</v>
      </c>
      <c r="M46" s="46">
        <v>7700179.0800000001</v>
      </c>
      <c r="N46" s="45">
        <v>1309416391.8399999</v>
      </c>
      <c r="O46" s="45">
        <v>5796194.1600000001</v>
      </c>
      <c r="P46" s="146">
        <v>1786927837.04</v>
      </c>
      <c r="Q46" s="48">
        <f t="shared" si="7"/>
        <v>3.4041097854966566E-3</v>
      </c>
      <c r="R46" s="57">
        <v>1303620197.6800001</v>
      </c>
      <c r="S46" s="48">
        <f t="shared" si="8"/>
        <v>2.4248811402934533E-3</v>
      </c>
      <c r="T46" s="49">
        <f t="shared" si="9"/>
        <v>-0.27046847071372876</v>
      </c>
      <c r="U46" s="116">
        <f t="shared" si="10"/>
        <v>9.9738111016837885E-4</v>
      </c>
      <c r="V46" s="50">
        <f t="shared" si="11"/>
        <v>5.906765708067193E-3</v>
      </c>
      <c r="W46" s="51">
        <f t="shared" si="12"/>
        <v>1.0059245209640342</v>
      </c>
      <c r="X46" s="51">
        <f t="shared" si="13"/>
        <v>5.9417604653342762E-3</v>
      </c>
      <c r="Y46" s="44">
        <v>1.01</v>
      </c>
      <c r="Z46" s="44">
        <v>1</v>
      </c>
      <c r="AA46" s="52">
        <v>31</v>
      </c>
      <c r="AB46" s="212">
        <v>1295942360</v>
      </c>
      <c r="AC46" s="39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</row>
    <row r="47" spans="1:257" ht="16.5" customHeight="1" x14ac:dyDescent="0.3">
      <c r="A47" s="211">
        <v>42</v>
      </c>
      <c r="B47" s="164" t="s">
        <v>92</v>
      </c>
      <c r="C47" s="110" t="s">
        <v>93</v>
      </c>
      <c r="D47" s="101"/>
      <c r="E47" s="101"/>
      <c r="F47" s="101">
        <v>126816272.01000001</v>
      </c>
      <c r="G47" s="101"/>
      <c r="H47" s="101"/>
      <c r="I47" s="102">
        <v>8211358.8799999999</v>
      </c>
      <c r="J47" s="101">
        <f>SUM(F47:I47)</f>
        <v>135027630.89000002</v>
      </c>
      <c r="K47" s="102">
        <v>378846.75</v>
      </c>
      <c r="L47" s="102">
        <v>65405.68</v>
      </c>
      <c r="M47" s="54">
        <v>313441.07</v>
      </c>
      <c r="N47" s="45">
        <v>183424571.25</v>
      </c>
      <c r="O47" s="45">
        <v>4029932.38</v>
      </c>
      <c r="P47" s="146">
        <v>198768885.58000001</v>
      </c>
      <c r="Q47" s="48">
        <f t="shared" si="7"/>
        <v>3.7865609031865853E-4</v>
      </c>
      <c r="R47" s="57">
        <v>179394638.87</v>
      </c>
      <c r="S47" s="48">
        <f t="shared" si="8"/>
        <v>3.3369433615694868E-4</v>
      </c>
      <c r="T47" s="49">
        <f>((R47-P47)/P47)</f>
        <v>-9.7471224701324341E-2</v>
      </c>
      <c r="U47" s="116">
        <f>(L47/R47)</f>
        <v>3.6459105139366422E-4</v>
      </c>
      <c r="V47" s="50">
        <f>M47/R47</f>
        <v>1.7472153681645859E-3</v>
      </c>
      <c r="W47" s="51">
        <f>R47/AB47</f>
        <v>0.90490973686905085</v>
      </c>
      <c r="X47" s="51">
        <f>M47/AB47</f>
        <v>1.5810721990593773E-3</v>
      </c>
      <c r="Y47" s="44">
        <v>1</v>
      </c>
      <c r="Z47" s="44">
        <v>1</v>
      </c>
      <c r="AA47" s="52">
        <v>35</v>
      </c>
      <c r="AB47" s="212">
        <v>198245893</v>
      </c>
      <c r="AC47" s="39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</row>
    <row r="48" spans="1:257" ht="16.5" customHeight="1" x14ac:dyDescent="0.3">
      <c r="A48" s="211">
        <v>43</v>
      </c>
      <c r="B48" s="164" t="s">
        <v>164</v>
      </c>
      <c r="C48" s="107" t="s">
        <v>165</v>
      </c>
      <c r="D48" s="101"/>
      <c r="E48" s="101"/>
      <c r="F48" s="102">
        <v>283312081.57999998</v>
      </c>
      <c r="G48" s="101"/>
      <c r="H48" s="101"/>
      <c r="I48" s="102"/>
      <c r="J48" s="102">
        <v>283312081.57999998</v>
      </c>
      <c r="K48" s="102">
        <v>6261657.6699999999</v>
      </c>
      <c r="L48" s="102">
        <v>1399031.45</v>
      </c>
      <c r="M48" s="54">
        <v>4269805.67</v>
      </c>
      <c r="N48" s="45">
        <v>720725512.62</v>
      </c>
      <c r="O48" s="45">
        <v>709184818.63999999</v>
      </c>
      <c r="P48" s="146">
        <v>674241333.28999996</v>
      </c>
      <c r="Q48" s="48">
        <f t="shared" si="7"/>
        <v>1.2844343643113913E-3</v>
      </c>
      <c r="R48" s="57">
        <v>709253772.67999995</v>
      </c>
      <c r="S48" s="48">
        <f t="shared" si="8"/>
        <v>1.3192923062364866E-3</v>
      </c>
      <c r="T48" s="49">
        <f>((R48-P48)/P48)</f>
        <v>5.1928645814629526E-2</v>
      </c>
      <c r="U48" s="116">
        <f>(L48/R48)</f>
        <v>1.9725400186643956E-3</v>
      </c>
      <c r="V48" s="50">
        <f>M48/R48</f>
        <v>6.0201381148330454E-3</v>
      </c>
      <c r="W48" s="51">
        <f>R48/AB48</f>
        <v>1.0000972300001179</v>
      </c>
      <c r="X48" s="51">
        <f>M48/AB48</f>
        <v>6.0207234528626601E-3</v>
      </c>
      <c r="Y48" s="44">
        <v>1</v>
      </c>
      <c r="Z48" s="44">
        <v>1</v>
      </c>
      <c r="AA48" s="52">
        <v>104</v>
      </c>
      <c r="AB48" s="212">
        <v>709184818.63999999</v>
      </c>
      <c r="AC48" s="39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</row>
    <row r="49" spans="1:257" ht="16.5" customHeight="1" x14ac:dyDescent="0.3">
      <c r="A49" s="211">
        <v>44</v>
      </c>
      <c r="B49" s="164" t="s">
        <v>160</v>
      </c>
      <c r="C49" s="110" t="s">
        <v>161</v>
      </c>
      <c r="D49" s="101"/>
      <c r="E49" s="101"/>
      <c r="F49" s="101">
        <v>6516907.4000000004</v>
      </c>
      <c r="G49" s="101"/>
      <c r="H49" s="101"/>
      <c r="I49" s="101"/>
      <c r="J49" s="101">
        <v>6516907.4000000004</v>
      </c>
      <c r="K49" s="101">
        <v>18560.45</v>
      </c>
      <c r="L49" s="101">
        <v>10252.18</v>
      </c>
      <c r="M49" s="133">
        <v>8308.27</v>
      </c>
      <c r="N49" s="101">
        <v>7595188.5999999996</v>
      </c>
      <c r="O49" s="101">
        <v>184644.56</v>
      </c>
      <c r="P49" s="146">
        <v>7730987.9900000002</v>
      </c>
      <c r="Q49" s="48">
        <f t="shared" si="7"/>
        <v>1.4727585145189624E-5</v>
      </c>
      <c r="R49" s="57">
        <v>7410544.04</v>
      </c>
      <c r="S49" s="48">
        <f t="shared" si="8"/>
        <v>1.3784450803915111E-5</v>
      </c>
      <c r="T49" s="49">
        <f>((R49-P49)/P49)</f>
        <v>-4.1449288294651741E-2</v>
      </c>
      <c r="U49" s="116">
        <f>(L49/R49)</f>
        <v>1.3834584808701846E-3</v>
      </c>
      <c r="V49" s="50">
        <f>M49/R49</f>
        <v>1.1211417077011258E-3</v>
      </c>
      <c r="W49" s="51">
        <f>R49/AB49</f>
        <v>102.36406387269663</v>
      </c>
      <c r="X49" s="51">
        <f>M49/AB49</f>
        <v>0.11476462137746223</v>
      </c>
      <c r="Y49" s="44">
        <v>100</v>
      </c>
      <c r="Z49" s="44">
        <v>100</v>
      </c>
      <c r="AA49" s="52">
        <v>71</v>
      </c>
      <c r="AB49" s="212">
        <v>72394</v>
      </c>
      <c r="AC49" s="39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</row>
    <row r="50" spans="1:257" ht="16.5" customHeight="1" x14ac:dyDescent="0.3">
      <c r="A50" s="211">
        <v>45</v>
      </c>
      <c r="B50" s="160" t="s">
        <v>158</v>
      </c>
      <c r="C50" s="110" t="s">
        <v>175</v>
      </c>
      <c r="D50" s="101"/>
      <c r="E50" s="101"/>
      <c r="F50" s="101">
        <v>199963004</v>
      </c>
      <c r="G50" s="101"/>
      <c r="H50" s="101"/>
      <c r="I50" s="101"/>
      <c r="J50" s="101">
        <v>199963004</v>
      </c>
      <c r="K50" s="101">
        <v>4224198</v>
      </c>
      <c r="L50" s="101">
        <v>910231</v>
      </c>
      <c r="M50" s="133">
        <v>126417</v>
      </c>
      <c r="N50" s="101">
        <v>562278026</v>
      </c>
      <c r="O50" s="101">
        <v>5124722</v>
      </c>
      <c r="P50" s="146">
        <v>493465187</v>
      </c>
      <c r="Q50" s="48">
        <f t="shared" si="7"/>
        <v>9.4005456574631412E-4</v>
      </c>
      <c r="R50" s="57">
        <v>557153304</v>
      </c>
      <c r="S50" s="48">
        <f t="shared" si="8"/>
        <v>1.0363682163916754E-3</v>
      </c>
      <c r="T50" s="49">
        <f>((R50-P50)/P50)</f>
        <v>0.1290630396587632</v>
      </c>
      <c r="U50" s="116">
        <f t="shared" si="10"/>
        <v>1.6337173152615818E-3</v>
      </c>
      <c r="V50" s="50">
        <f t="shared" si="11"/>
        <v>2.2689805317927363E-4</v>
      </c>
      <c r="W50" s="51">
        <f t="shared" si="12"/>
        <v>100.02269262041025</v>
      </c>
      <c r="X50" s="51">
        <f t="shared" si="13"/>
        <v>2.2694954229319983E-2</v>
      </c>
      <c r="Y50" s="44">
        <v>100</v>
      </c>
      <c r="Z50" s="44">
        <v>100</v>
      </c>
      <c r="AA50" s="52">
        <v>349</v>
      </c>
      <c r="AB50" s="212">
        <v>5570269</v>
      </c>
      <c r="AC50" s="39"/>
      <c r="AD50" s="16"/>
      <c r="AE50" s="16"/>
      <c r="AF50" s="16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 x14ac:dyDescent="0.3">
      <c r="A51" s="226" t="s">
        <v>94</v>
      </c>
      <c r="B51" s="171"/>
      <c r="C51" s="68" t="s">
        <v>54</v>
      </c>
      <c r="D51" s="69"/>
      <c r="E51" s="69"/>
      <c r="F51" s="69"/>
      <c r="G51" s="69"/>
      <c r="H51" s="69"/>
      <c r="I51" s="69"/>
      <c r="J51" s="69"/>
      <c r="K51" s="69"/>
      <c r="L51" s="69"/>
      <c r="M51" s="168"/>
      <c r="N51" s="69"/>
      <c r="O51" s="69"/>
      <c r="P51" s="165">
        <f t="shared" ref="P51" si="14">SUM(P22:P50)</f>
        <v>524932493262.48999</v>
      </c>
      <c r="Q51" s="167">
        <f>(P51/$P$146)</f>
        <v>0.41276853809735792</v>
      </c>
      <c r="R51" s="70">
        <f>SUM(R22:R50)</f>
        <v>537601689426.41003</v>
      </c>
      <c r="S51" s="167">
        <f>(R51/$R$146)</f>
        <v>0.41751782206692034</v>
      </c>
      <c r="T51" s="71">
        <f t="shared" si="9"/>
        <v>2.4134905586011939E-2</v>
      </c>
      <c r="U51" s="98"/>
      <c r="V51" s="72"/>
      <c r="W51" s="73"/>
      <c r="X51" s="73"/>
      <c r="Y51" s="69"/>
      <c r="Z51" s="69"/>
      <c r="AA51" s="74">
        <f>SUM(AA22:AA50)</f>
        <v>239230</v>
      </c>
      <c r="AB51" s="223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 x14ac:dyDescent="0.3">
      <c r="A52" s="282" t="s">
        <v>214</v>
      </c>
      <c r="B52" s="280"/>
      <c r="C52" s="2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63"/>
      <c r="Q52" s="49"/>
      <c r="R52" s="84">
        <v>0</v>
      </c>
      <c r="S52" s="49"/>
      <c r="T52" s="49"/>
      <c r="U52" s="49"/>
      <c r="V52" s="85"/>
      <c r="W52" s="86"/>
      <c r="X52" s="86"/>
      <c r="Y52" s="84"/>
      <c r="Z52" s="84"/>
      <c r="AA52" s="84"/>
      <c r="AB52" s="227"/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 x14ac:dyDescent="0.3">
      <c r="A53" s="211">
        <v>46</v>
      </c>
      <c r="B53" s="160" t="s">
        <v>25</v>
      </c>
      <c r="C53" s="110" t="s">
        <v>95</v>
      </c>
      <c r="D53" s="44"/>
      <c r="E53" s="44"/>
      <c r="F53" s="44">
        <v>10577746422.870001</v>
      </c>
      <c r="G53" s="44">
        <v>84676561661.279999</v>
      </c>
      <c r="H53" s="44"/>
      <c r="I53" s="44"/>
      <c r="J53" s="44">
        <v>95297065618.399994</v>
      </c>
      <c r="K53" s="44">
        <v>663263402.85000002</v>
      </c>
      <c r="L53" s="44">
        <v>142067279.19999999</v>
      </c>
      <c r="M53" s="54">
        <v>521196123.64999998</v>
      </c>
      <c r="N53" s="44">
        <v>95959282846.639999</v>
      </c>
      <c r="O53" s="44">
        <v>167049375.16999999</v>
      </c>
      <c r="P53" s="146">
        <v>97507774102.169998</v>
      </c>
      <c r="Q53" s="48">
        <f>(P53/$P$79)</f>
        <v>0.24613091582419672</v>
      </c>
      <c r="R53" s="57">
        <v>95792233471.470001</v>
      </c>
      <c r="S53" s="48">
        <f>(R53/$R$79)</f>
        <v>0.24384967282865747</v>
      </c>
      <c r="T53" s="49">
        <f t="shared" ref="T53:T55" si="15">((R53-P53)/P53)</f>
        <v>-1.7593885682411638E-2</v>
      </c>
      <c r="U53" s="116">
        <f t="shared" ref="U53:U55" si="16">(L53/R53)</f>
        <v>1.4830772188051361E-3</v>
      </c>
      <c r="V53" s="50">
        <f t="shared" ref="V53:V55" si="17">M53/R53</f>
        <v>5.4409016760761601E-3</v>
      </c>
      <c r="W53" s="51">
        <f t="shared" ref="W53:W55" si="18">R53/AB53</f>
        <v>234.19226250808865</v>
      </c>
      <c r="X53" s="51">
        <f t="shared" ref="X53:X54" si="19">M53/AB53</f>
        <v>1.2742170736043277</v>
      </c>
      <c r="Y53" s="58">
        <v>234.19</v>
      </c>
      <c r="Z53" s="58">
        <v>234.19</v>
      </c>
      <c r="AA53" s="52">
        <v>7291</v>
      </c>
      <c r="AB53" s="213">
        <v>409032443.88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 x14ac:dyDescent="0.3">
      <c r="A54" s="211">
        <v>47</v>
      </c>
      <c r="B54" s="160" t="s">
        <v>33</v>
      </c>
      <c r="C54" s="110" t="s">
        <v>96</v>
      </c>
      <c r="D54" s="44"/>
      <c r="E54" s="44"/>
      <c r="F54" s="44">
        <v>287311690.35000002</v>
      </c>
      <c r="G54" s="44">
        <v>1041137811.0599999</v>
      </c>
      <c r="H54" s="44"/>
      <c r="I54" s="44"/>
      <c r="J54" s="44">
        <v>1328449501.4100001</v>
      </c>
      <c r="K54" s="44">
        <v>13815767.24</v>
      </c>
      <c r="L54" s="53">
        <v>1850281.28</v>
      </c>
      <c r="M54" s="54">
        <v>11965485.960000001</v>
      </c>
      <c r="N54" s="44">
        <v>1370135894.3599999</v>
      </c>
      <c r="O54" s="45">
        <v>8549353.1300000008</v>
      </c>
      <c r="P54" s="146">
        <v>1350981549.5899999</v>
      </c>
      <c r="Q54" s="48">
        <f t="shared" ref="Q54:Q78" si="20">(P54/$P$79)</f>
        <v>3.4101724618773657E-3</v>
      </c>
      <c r="R54" s="57">
        <v>1359821122.28</v>
      </c>
      <c r="S54" s="48">
        <f t="shared" ref="S54:S78" si="21">(R54/$R$79)</f>
        <v>3.4615743234782653E-3</v>
      </c>
      <c r="T54" s="49">
        <f t="shared" si="15"/>
        <v>6.5430743245033351E-3</v>
      </c>
      <c r="U54" s="116">
        <f t="shared" si="16"/>
        <v>1.3606799083232726E-3</v>
      </c>
      <c r="V54" s="50">
        <f t="shared" si="17"/>
        <v>8.7993087943343436E-3</v>
      </c>
      <c r="W54" s="51">
        <f t="shared" si="18"/>
        <v>319.92860942794829</v>
      </c>
      <c r="X54" s="51">
        <f t="shared" si="19"/>
        <v>2.8151506264985025</v>
      </c>
      <c r="Y54" s="44">
        <v>319.92860000000002</v>
      </c>
      <c r="Z54" s="58">
        <v>319.92860000000002</v>
      </c>
      <c r="AA54" s="52">
        <v>168</v>
      </c>
      <c r="AB54" s="213">
        <v>4250389.25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6.5" customHeight="1" x14ac:dyDescent="0.3">
      <c r="A55" s="211">
        <v>48</v>
      </c>
      <c r="B55" s="160" t="s">
        <v>39</v>
      </c>
      <c r="C55" s="110" t="s">
        <v>215</v>
      </c>
      <c r="D55" s="44"/>
      <c r="E55" s="44"/>
      <c r="F55" s="44">
        <v>8388930425.8999996</v>
      </c>
      <c r="G55" s="44">
        <v>27457105589.799999</v>
      </c>
      <c r="H55" s="44"/>
      <c r="I55" s="44"/>
      <c r="J55" s="44">
        <v>36178830278.519997</v>
      </c>
      <c r="K55" s="44">
        <v>803215797.30999994</v>
      </c>
      <c r="L55" s="53">
        <v>36441157.229999997</v>
      </c>
      <c r="M55" s="54">
        <v>766774640.08000004</v>
      </c>
      <c r="N55" s="44">
        <v>37166802074.089996</v>
      </c>
      <c r="O55" s="53">
        <v>987971795.57000005</v>
      </c>
      <c r="P55" s="146">
        <v>37003522099.07</v>
      </c>
      <c r="Q55" s="48">
        <f t="shared" si="20"/>
        <v>9.3404970699277931E-2</v>
      </c>
      <c r="R55" s="57">
        <v>36178830278.519997</v>
      </c>
      <c r="S55" s="48">
        <f t="shared" si="21"/>
        <v>9.209719417773217E-2</v>
      </c>
      <c r="T55" s="49">
        <f t="shared" si="15"/>
        <v>-2.228684659644142E-2</v>
      </c>
      <c r="U55" s="116">
        <f t="shared" si="16"/>
        <v>1.0072508411538045E-3</v>
      </c>
      <c r="V55" s="50">
        <f t="shared" si="17"/>
        <v>2.1194014128622825E-2</v>
      </c>
      <c r="W55" s="51">
        <f t="shared" si="18"/>
        <v>1437.0119876222318</v>
      </c>
      <c r="X55" s="51">
        <f>M55/AB55</f>
        <v>30.456052368665947</v>
      </c>
      <c r="Y55" s="44">
        <v>1437.01</v>
      </c>
      <c r="Z55" s="44">
        <v>1437.01</v>
      </c>
      <c r="AA55" s="52">
        <v>1953</v>
      </c>
      <c r="AB55" s="213">
        <v>25176429</v>
      </c>
      <c r="AC55" s="13"/>
      <c r="AD55" s="4"/>
      <c r="AE55" s="4"/>
      <c r="AF55" s="4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6.5" customHeight="1" x14ac:dyDescent="0.3">
      <c r="A56" s="211">
        <v>49</v>
      </c>
      <c r="B56" s="164" t="s">
        <v>164</v>
      </c>
      <c r="C56" s="110" t="s">
        <v>166</v>
      </c>
      <c r="D56" s="44"/>
      <c r="E56" s="44"/>
      <c r="F56" s="44">
        <v>63183636.82</v>
      </c>
      <c r="G56" s="89">
        <v>478512480.32999998</v>
      </c>
      <c r="H56" s="44"/>
      <c r="I56" s="53">
        <v>1141914.08</v>
      </c>
      <c r="J56" s="89">
        <v>614480603.40999997</v>
      </c>
      <c r="K56" s="89">
        <v>5530742.54</v>
      </c>
      <c r="L56" s="53">
        <v>1162245.83</v>
      </c>
      <c r="M56" s="54">
        <v>4368496.71</v>
      </c>
      <c r="N56" s="44">
        <v>617221239.89999998</v>
      </c>
      <c r="O56" s="45">
        <v>594884978.02999997</v>
      </c>
      <c r="P56" s="146">
        <v>609343205.60000002</v>
      </c>
      <c r="Q56" s="48">
        <f t="shared" si="20"/>
        <v>1.5381153208197591E-3</v>
      </c>
      <c r="R56" s="57">
        <v>610921957.50999999</v>
      </c>
      <c r="S56" s="48">
        <f t="shared" si="21"/>
        <v>1.5551690785769751E-3</v>
      </c>
      <c r="T56" s="49">
        <f>((R56-P56)/P56)</f>
        <v>2.5909075468322027E-3</v>
      </c>
      <c r="U56" s="116">
        <f>(L56/R56)</f>
        <v>1.9024456654612477E-3</v>
      </c>
      <c r="V56" s="50">
        <f>M56/R56</f>
        <v>7.1506624639997383E-3</v>
      </c>
      <c r="W56" s="51">
        <f>R56/AB56</f>
        <v>1.0243457223100665</v>
      </c>
      <c r="X56" s="51">
        <f>M56/AB56</f>
        <v>7.3247505066812921E-3</v>
      </c>
      <c r="Y56" s="44">
        <v>1.03</v>
      </c>
      <c r="Z56" s="44">
        <v>1.03</v>
      </c>
      <c r="AA56" s="88">
        <v>36</v>
      </c>
      <c r="AB56" s="228">
        <v>596402117.17999995</v>
      </c>
      <c r="AC56" s="13"/>
      <c r="AD56" s="4"/>
      <c r="AE56" s="4"/>
      <c r="AF56" s="4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</row>
    <row r="57" spans="1:257" ht="16.5" customHeight="1" x14ac:dyDescent="0.3">
      <c r="A57" s="211">
        <v>50</v>
      </c>
      <c r="B57" s="160" t="s">
        <v>85</v>
      </c>
      <c r="C57" s="164" t="s">
        <v>101</v>
      </c>
      <c r="D57" s="105"/>
      <c r="E57" s="101"/>
      <c r="F57" s="101"/>
      <c r="G57" s="101">
        <v>2934276808.02</v>
      </c>
      <c r="H57" s="101"/>
      <c r="I57" s="101"/>
      <c r="J57" s="101">
        <v>2934276808.02</v>
      </c>
      <c r="K57" s="101">
        <v>23432032025.349998</v>
      </c>
      <c r="L57" s="101">
        <v>4241091.0199999996</v>
      </c>
      <c r="M57" s="46">
        <v>19190934.329999998</v>
      </c>
      <c r="N57" s="44">
        <v>2960035943.4899998</v>
      </c>
      <c r="O57" s="44">
        <v>71335747.530000001</v>
      </c>
      <c r="P57" s="146">
        <v>2945485304.3400002</v>
      </c>
      <c r="Q57" s="48">
        <f t="shared" si="20"/>
        <v>7.435048150563648E-3</v>
      </c>
      <c r="R57" s="57">
        <v>2888700195.96</v>
      </c>
      <c r="S57" s="48">
        <f t="shared" si="21"/>
        <v>7.3535042681171035E-3</v>
      </c>
      <c r="T57" s="49">
        <f>((R57-P57)/P57)</f>
        <v>-1.9278693496223045E-2</v>
      </c>
      <c r="U57" s="116">
        <f t="shared" ref="U57:U78" si="22">(L57/R57)</f>
        <v>1.46816586433282E-3</v>
      </c>
      <c r="V57" s="50">
        <f t="shared" ref="V57:V78" si="23">M57/R57</f>
        <v>6.6434496583756024E-3</v>
      </c>
      <c r="W57" s="51">
        <f t="shared" ref="W57:W78" si="24">R57/AB57</f>
        <v>3426.5752259659962</v>
      </c>
      <c r="X57" s="51">
        <f t="shared" ref="X57:X78" si="25">M57/AB57</f>
        <v>22.764280014342102</v>
      </c>
      <c r="Y57" s="44">
        <v>3426.58</v>
      </c>
      <c r="Z57" s="44">
        <v>3426.58</v>
      </c>
      <c r="AA57" s="52">
        <v>1070</v>
      </c>
      <c r="AB57" s="213">
        <v>843028.39</v>
      </c>
      <c r="AC57" s="13"/>
      <c r="AD57" s="4"/>
      <c r="AE57" s="4"/>
      <c r="AF57" s="4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 x14ac:dyDescent="0.3">
      <c r="A58" s="211">
        <v>51</v>
      </c>
      <c r="B58" s="160" t="s">
        <v>35</v>
      </c>
      <c r="C58" s="110" t="s">
        <v>102</v>
      </c>
      <c r="D58" s="101"/>
      <c r="E58" s="101"/>
      <c r="F58" s="101">
        <v>5028213467</v>
      </c>
      <c r="G58" s="101">
        <v>107671705790</v>
      </c>
      <c r="H58" s="101"/>
      <c r="I58" s="101"/>
      <c r="J58" s="101">
        <v>112699919257</v>
      </c>
      <c r="K58" s="101">
        <v>832528496</v>
      </c>
      <c r="L58" s="103">
        <v>168176939</v>
      </c>
      <c r="M58" s="54">
        <v>664351558</v>
      </c>
      <c r="N58" s="44">
        <v>115599945342.53999</v>
      </c>
      <c r="O58" s="44">
        <v>740806069.39999998</v>
      </c>
      <c r="P58" s="146">
        <v>116516289445</v>
      </c>
      <c r="Q58" s="48">
        <f t="shared" si="20"/>
        <v>0.29411255967637567</v>
      </c>
      <c r="R58" s="57">
        <v>114859139273</v>
      </c>
      <c r="S58" s="48">
        <f t="shared" si="21"/>
        <v>0.29238657997721745</v>
      </c>
      <c r="T58" s="49">
        <f>((R58-P58)/P58)</f>
        <v>-1.4222476358399965E-2</v>
      </c>
      <c r="U58" s="116">
        <f t="shared" si="22"/>
        <v>1.4642016304882188E-3</v>
      </c>
      <c r="V58" s="50">
        <f t="shared" si="23"/>
        <v>5.784054818841651E-3</v>
      </c>
      <c r="W58" s="51">
        <f t="shared" si="24"/>
        <v>1.9384446928069377</v>
      </c>
      <c r="X58" s="51">
        <f t="shared" si="25"/>
        <v>1.1212070366487992E-2</v>
      </c>
      <c r="Y58" s="44">
        <v>1.94</v>
      </c>
      <c r="Z58" s="44">
        <v>1.94</v>
      </c>
      <c r="AA58" s="52">
        <v>2736</v>
      </c>
      <c r="AB58" s="213">
        <v>59253245501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 x14ac:dyDescent="0.3">
      <c r="A59" s="211">
        <v>52</v>
      </c>
      <c r="B59" s="160" t="s">
        <v>46</v>
      </c>
      <c r="C59" s="110" t="s">
        <v>103</v>
      </c>
      <c r="D59" s="102">
        <v>48248750</v>
      </c>
      <c r="E59" s="101"/>
      <c r="F59" s="102">
        <v>138700000</v>
      </c>
      <c r="G59" s="102">
        <v>11370603433.889999</v>
      </c>
      <c r="H59" s="101"/>
      <c r="I59" s="101"/>
      <c r="J59" s="102">
        <v>11557552183.889999</v>
      </c>
      <c r="K59" s="102">
        <v>25752539.129999999</v>
      </c>
      <c r="L59" s="102">
        <v>885054.46</v>
      </c>
      <c r="M59" s="54">
        <v>28388734.670000002</v>
      </c>
      <c r="N59" s="61">
        <v>11581760281.370001</v>
      </c>
      <c r="O59" s="61">
        <v>443294997.18000001</v>
      </c>
      <c r="P59" s="146">
        <v>11360134174.16</v>
      </c>
      <c r="Q59" s="48">
        <f t="shared" si="20"/>
        <v>2.8675459509946186E-2</v>
      </c>
      <c r="R59" s="57">
        <v>11138465284.190001</v>
      </c>
      <c r="S59" s="48">
        <f t="shared" si="21"/>
        <v>2.8354189237815776E-2</v>
      </c>
      <c r="T59" s="49">
        <f t="shared" ref="T59:T99" si="26">((R59-P59)/P59)</f>
        <v>-1.951287604280344E-2</v>
      </c>
      <c r="U59" s="116">
        <f t="shared" si="22"/>
        <v>7.945928253295821E-5</v>
      </c>
      <c r="V59" s="50">
        <f t="shared" si="23"/>
        <v>2.548711509681242E-3</v>
      </c>
      <c r="W59" s="51">
        <f t="shared" si="24"/>
        <v>1.0000000000170581</v>
      </c>
      <c r="X59" s="51">
        <f t="shared" si="25"/>
        <v>2.5487115097247181E-3</v>
      </c>
      <c r="Y59" s="44">
        <v>1</v>
      </c>
      <c r="Z59" s="44">
        <v>1</v>
      </c>
      <c r="AA59" s="52">
        <v>4630</v>
      </c>
      <c r="AB59" s="229">
        <v>11138465284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 x14ac:dyDescent="0.3">
      <c r="A60" s="211">
        <v>53</v>
      </c>
      <c r="B60" s="164" t="s">
        <v>77</v>
      </c>
      <c r="C60" s="107" t="s">
        <v>116</v>
      </c>
      <c r="D60" s="101"/>
      <c r="E60" s="101"/>
      <c r="F60" s="101">
        <v>1514648750.25</v>
      </c>
      <c r="G60" s="101">
        <v>10492724952.84</v>
      </c>
      <c r="H60" s="101"/>
      <c r="I60" s="101"/>
      <c r="J60" s="101">
        <v>12007373703.09</v>
      </c>
      <c r="K60" s="101">
        <v>98084608.299999997</v>
      </c>
      <c r="L60" s="102">
        <v>17561894.32</v>
      </c>
      <c r="M60" s="54">
        <v>80522713.980000004</v>
      </c>
      <c r="N60" s="44">
        <v>12007373703.09</v>
      </c>
      <c r="O60" s="44">
        <v>17496065.149999999</v>
      </c>
      <c r="P60" s="146">
        <v>13401877691.370001</v>
      </c>
      <c r="Q60" s="48">
        <f t="shared" si="20"/>
        <v>3.3829266028413622E-2</v>
      </c>
      <c r="R60" s="57">
        <v>11989877637.940001</v>
      </c>
      <c r="S60" s="48">
        <f t="shared" si="21"/>
        <v>3.0521553087475357E-2</v>
      </c>
      <c r="T60" s="49">
        <f>((R60-P60)/P60)</f>
        <v>-0.10535837484468635</v>
      </c>
      <c r="U60" s="116">
        <f>(L60/R60)</f>
        <v>1.4647267345271537E-3</v>
      </c>
      <c r="V60" s="50">
        <f>M60/R60</f>
        <v>6.7158912218752828E-3</v>
      </c>
      <c r="W60" s="51">
        <f>R60/AB60</f>
        <v>24.593803826943361</v>
      </c>
      <c r="X60" s="51">
        <f>M60/AB60</f>
        <v>0.16516931123389167</v>
      </c>
      <c r="Y60" s="44">
        <v>24.593900000000001</v>
      </c>
      <c r="Z60" s="44">
        <v>24.593900000000001</v>
      </c>
      <c r="AA60" s="52">
        <v>1438</v>
      </c>
      <c r="AB60" s="213">
        <v>487516194.00999999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</row>
    <row r="61" spans="1:257" ht="16.5" customHeight="1" x14ac:dyDescent="0.3">
      <c r="A61" s="211">
        <v>54</v>
      </c>
      <c r="B61" s="160" t="s">
        <v>104</v>
      </c>
      <c r="C61" s="110" t="s">
        <v>105</v>
      </c>
      <c r="D61" s="101"/>
      <c r="E61" s="105"/>
      <c r="F61" s="101">
        <v>98825243.780000001</v>
      </c>
      <c r="G61" s="101">
        <v>378159639.33999997</v>
      </c>
      <c r="H61" s="101"/>
      <c r="I61" s="101"/>
      <c r="J61" s="101">
        <v>476984883.12</v>
      </c>
      <c r="K61" s="101">
        <v>3331898.66</v>
      </c>
      <c r="L61" s="101">
        <v>953582.56</v>
      </c>
      <c r="M61" s="54">
        <v>2378316.1</v>
      </c>
      <c r="N61" s="44">
        <v>487239738.37</v>
      </c>
      <c r="O61" s="44">
        <v>6754062.2199999997</v>
      </c>
      <c r="P61" s="146">
        <v>508030372.31</v>
      </c>
      <c r="Q61" s="48">
        <f t="shared" si="20"/>
        <v>1.2823796046471864E-3</v>
      </c>
      <c r="R61" s="57">
        <v>480485676.14999998</v>
      </c>
      <c r="S61" s="48">
        <f t="shared" si="21"/>
        <v>1.2231291690565878E-3</v>
      </c>
      <c r="T61" s="49">
        <f t="shared" si="26"/>
        <v>-5.4218601212276063E-2</v>
      </c>
      <c r="U61" s="116">
        <f t="shared" si="22"/>
        <v>1.984622242312811E-3</v>
      </c>
      <c r="V61" s="50">
        <f t="shared" si="23"/>
        <v>4.9498168583438223E-3</v>
      </c>
      <c r="W61" s="51">
        <f t="shared" si="24"/>
        <v>2.0900282637612766</v>
      </c>
      <c r="X61" s="51">
        <f t="shared" si="25"/>
        <v>1.0345257134380635E-2</v>
      </c>
      <c r="Y61" s="44">
        <v>2.0737999999999999</v>
      </c>
      <c r="Z61" s="44">
        <v>2.0737999999999999</v>
      </c>
      <c r="AA61" s="52">
        <v>1441</v>
      </c>
      <c r="AB61" s="213">
        <v>229894343.76609999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</row>
    <row r="62" spans="1:257" ht="18" customHeight="1" x14ac:dyDescent="0.3">
      <c r="A62" s="211">
        <v>55</v>
      </c>
      <c r="B62" s="160" t="s">
        <v>25</v>
      </c>
      <c r="C62" s="110" t="s">
        <v>106</v>
      </c>
      <c r="D62" s="102"/>
      <c r="E62" s="101"/>
      <c r="F62" s="102">
        <v>3226820425.0100002</v>
      </c>
      <c r="G62" s="102">
        <v>22301932664.380001</v>
      </c>
      <c r="H62" s="101"/>
      <c r="I62" s="101"/>
      <c r="J62" s="102">
        <v>25553809253.779999</v>
      </c>
      <c r="K62" s="102">
        <v>195701610.71000001</v>
      </c>
      <c r="L62" s="102">
        <v>39802009.670000002</v>
      </c>
      <c r="M62" s="54">
        <v>155899601.03999999</v>
      </c>
      <c r="N62" s="45">
        <v>26126558052.630001</v>
      </c>
      <c r="O62" s="45">
        <v>47696566.950000003</v>
      </c>
      <c r="P62" s="146">
        <v>27818694466.970001</v>
      </c>
      <c r="Q62" s="48">
        <f t="shared" si="20"/>
        <v>7.0220459950346273E-2</v>
      </c>
      <c r="R62" s="57">
        <v>26078861485.68</v>
      </c>
      <c r="S62" s="48">
        <f t="shared" si="21"/>
        <v>6.6386612051601804E-2</v>
      </c>
      <c r="T62" s="49">
        <f t="shared" si="26"/>
        <v>-6.2541863111360549E-2</v>
      </c>
      <c r="U62" s="116">
        <f t="shared" si="22"/>
        <v>1.5262173040742379E-3</v>
      </c>
      <c r="V62" s="50">
        <f t="shared" si="23"/>
        <v>5.9780064066679078E-3</v>
      </c>
      <c r="W62" s="51">
        <f t="shared" si="24"/>
        <v>309.78233488605497</v>
      </c>
      <c r="X62" s="51">
        <f t="shared" si="25"/>
        <v>1.8518807826213799</v>
      </c>
      <c r="Y62" s="44">
        <v>309.77999999999997</v>
      </c>
      <c r="Z62" s="53">
        <v>309.77999999999997</v>
      </c>
      <c r="AA62" s="52">
        <v>9694</v>
      </c>
      <c r="AB62" s="212">
        <v>84184469.379999995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</row>
    <row r="63" spans="1:257" ht="16.5" customHeight="1" x14ac:dyDescent="0.3">
      <c r="A63" s="211">
        <v>56</v>
      </c>
      <c r="B63" s="160" t="s">
        <v>107</v>
      </c>
      <c r="C63" s="110" t="s">
        <v>108</v>
      </c>
      <c r="D63" s="101"/>
      <c r="E63" s="101"/>
      <c r="F63" s="101"/>
      <c r="G63" s="101">
        <v>4837989154.1999998</v>
      </c>
      <c r="H63" s="101"/>
      <c r="I63" s="107"/>
      <c r="J63" s="101">
        <v>4837989154.1999998</v>
      </c>
      <c r="K63" s="101">
        <v>55970589.350000001</v>
      </c>
      <c r="L63" s="101">
        <v>7492324.0899999999</v>
      </c>
      <c r="M63" s="54">
        <v>48478265.259999998</v>
      </c>
      <c r="N63" s="44">
        <v>6600961891</v>
      </c>
      <c r="O63" s="44">
        <v>57934398</v>
      </c>
      <c r="P63" s="146">
        <v>6557526763</v>
      </c>
      <c r="Q63" s="48">
        <f t="shared" si="20"/>
        <v>1.6552629598822428E-2</v>
      </c>
      <c r="R63" s="57">
        <v>6543027493</v>
      </c>
      <c r="S63" s="48">
        <f t="shared" si="21"/>
        <v>1.6655996584025327E-2</v>
      </c>
      <c r="T63" s="49">
        <f t="shared" si="26"/>
        <v>-2.2110881928550049E-3</v>
      </c>
      <c r="U63" s="116">
        <f t="shared" si="22"/>
        <v>1.1450852220956731E-3</v>
      </c>
      <c r="V63" s="50">
        <f t="shared" si="23"/>
        <v>7.4091489470071827E-3</v>
      </c>
      <c r="W63" s="51">
        <f t="shared" si="24"/>
        <v>1</v>
      </c>
      <c r="X63" s="51">
        <f t="shared" si="25"/>
        <v>7.4091489470071827E-3</v>
      </c>
      <c r="Y63" s="44">
        <v>1.06</v>
      </c>
      <c r="Z63" s="44">
        <v>1.06</v>
      </c>
      <c r="AA63" s="52">
        <v>1967</v>
      </c>
      <c r="AB63" s="217">
        <v>6543027493</v>
      </c>
      <c r="AC63" s="13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5.75" customHeight="1" x14ac:dyDescent="0.3">
      <c r="A64" s="211">
        <v>57</v>
      </c>
      <c r="B64" s="164" t="s">
        <v>27</v>
      </c>
      <c r="C64" s="110" t="s">
        <v>216</v>
      </c>
      <c r="D64" s="101"/>
      <c r="E64" s="101"/>
      <c r="F64" s="101">
        <v>1290556987.1700001</v>
      </c>
      <c r="G64" s="61">
        <v>6115973305.9700003</v>
      </c>
      <c r="H64" s="101"/>
      <c r="I64" s="101"/>
      <c r="J64" s="101">
        <v>7417429027.5299997</v>
      </c>
      <c r="K64" s="101">
        <v>58279547.460000001</v>
      </c>
      <c r="L64" s="101">
        <v>8094505.6200000001</v>
      </c>
      <c r="M64" s="54">
        <v>50185041.840000004</v>
      </c>
      <c r="N64" s="44">
        <v>7415528778.9200001</v>
      </c>
      <c r="O64" s="44">
        <v>8384828.1699999999</v>
      </c>
      <c r="P64" s="146">
        <v>8493131725.3599997</v>
      </c>
      <c r="Q64" s="48">
        <f t="shared" si="20"/>
        <v>2.1438519226046768E-2</v>
      </c>
      <c r="R64" s="57">
        <v>7407143950.75</v>
      </c>
      <c r="S64" s="48">
        <f t="shared" si="21"/>
        <v>1.885570012858203E-2</v>
      </c>
      <c r="T64" s="49">
        <f t="shared" si="26"/>
        <v>-0.12786658793567313</v>
      </c>
      <c r="U64" s="116">
        <f>(L65/R64)</f>
        <v>5.2515443818344238E-3</v>
      </c>
      <c r="V64" s="50">
        <f t="shared" si="23"/>
        <v>6.7752216203275737E-3</v>
      </c>
      <c r="W64" s="51">
        <f t="shared" si="24"/>
        <v>28.712363814288242</v>
      </c>
      <c r="X64" s="51">
        <f t="shared" si="25"/>
        <v>0.19453262808527677</v>
      </c>
      <c r="Y64" s="44">
        <v>3.99</v>
      </c>
      <c r="Z64" s="44">
        <v>3.99</v>
      </c>
      <c r="AA64" s="52">
        <v>1005</v>
      </c>
      <c r="AB64" s="217">
        <v>257977504</v>
      </c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257" ht="16.5" customHeight="1" x14ac:dyDescent="0.3">
      <c r="A65" s="211">
        <v>58</v>
      </c>
      <c r="B65" s="160" t="s">
        <v>25</v>
      </c>
      <c r="C65" s="107" t="s">
        <v>109</v>
      </c>
      <c r="D65" s="101"/>
      <c r="E65" s="101"/>
      <c r="F65" s="101">
        <v>14367604953.049999</v>
      </c>
      <c r="G65" s="101">
        <v>24941986614.200001</v>
      </c>
      <c r="H65" s="101"/>
      <c r="I65" s="101"/>
      <c r="J65" s="101">
        <v>39521241361.779999</v>
      </c>
      <c r="K65" s="101">
        <v>345372266.72000003</v>
      </c>
      <c r="L65" s="101">
        <v>38898945.200000003</v>
      </c>
      <c r="M65" s="46">
        <v>306473321.51999998</v>
      </c>
      <c r="N65" s="45">
        <v>40791289402.43</v>
      </c>
      <c r="O65" s="45">
        <v>43952406.350000001</v>
      </c>
      <c r="P65" s="146">
        <v>37761253913.68</v>
      </c>
      <c r="Q65" s="48">
        <f t="shared" si="20"/>
        <v>9.5317651274712575E-2</v>
      </c>
      <c r="R65" s="57">
        <v>40747336996.080002</v>
      </c>
      <c r="S65" s="48">
        <f t="shared" si="21"/>
        <v>0.10372683081966645</v>
      </c>
      <c r="T65" s="49">
        <f t="shared" si="26"/>
        <v>7.9077964127621692E-2</v>
      </c>
      <c r="U65" s="116">
        <f>(L66/R65)</f>
        <v>5.7953460866097273E-6</v>
      </c>
      <c r="V65" s="50">
        <f t="shared" si="23"/>
        <v>7.5213092219862977E-3</v>
      </c>
      <c r="W65" s="51">
        <f t="shared" si="24"/>
        <v>4189.9698323618222</v>
      </c>
      <c r="X65" s="51">
        <f t="shared" si="25"/>
        <v>31.514058739987355</v>
      </c>
      <c r="Y65" s="89">
        <v>4189.97</v>
      </c>
      <c r="Z65" s="44">
        <v>4189.97</v>
      </c>
      <c r="AA65" s="52">
        <v>332</v>
      </c>
      <c r="AB65" s="213">
        <v>9724971.4499999993</v>
      </c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257" ht="16.5" customHeight="1" x14ac:dyDescent="0.3">
      <c r="A66" s="211">
        <v>59</v>
      </c>
      <c r="B66" s="160" t="s">
        <v>25</v>
      </c>
      <c r="C66" s="107" t="s">
        <v>110</v>
      </c>
      <c r="D66" s="101">
        <v>70508164.620000005</v>
      </c>
      <c r="E66" s="101"/>
      <c r="F66" s="101">
        <v>135473265.21000001</v>
      </c>
      <c r="G66" s="101">
        <v>30294458.57</v>
      </c>
      <c r="H66" s="101"/>
      <c r="I66" s="101"/>
      <c r="J66" s="101">
        <v>237403970.59</v>
      </c>
      <c r="K66" s="101">
        <v>1516026.56</v>
      </c>
      <c r="L66" s="101">
        <v>236144.92</v>
      </c>
      <c r="M66" s="54">
        <v>7002709.9400000004</v>
      </c>
      <c r="N66" s="44">
        <v>243707290.13</v>
      </c>
      <c r="O66" s="44">
        <v>2090138.13</v>
      </c>
      <c r="P66" s="146">
        <v>233994050.69999999</v>
      </c>
      <c r="Q66" s="48">
        <f t="shared" si="20"/>
        <v>5.9065208416979743E-4</v>
      </c>
      <c r="R66" s="57">
        <v>241617152</v>
      </c>
      <c r="S66" s="48">
        <f t="shared" si="21"/>
        <v>6.1506305187611842E-4</v>
      </c>
      <c r="T66" s="49">
        <f t="shared" si="26"/>
        <v>3.2578184262357451E-2</v>
      </c>
      <c r="U66" s="116">
        <f t="shared" si="22"/>
        <v>9.7735164099608304E-4</v>
      </c>
      <c r="V66" s="50">
        <f t="shared" si="23"/>
        <v>2.8982668995287224E-2</v>
      </c>
      <c r="W66" s="51">
        <f t="shared" si="24"/>
        <v>3820.7903287733793</v>
      </c>
      <c r="X66" s="51">
        <f t="shared" si="25"/>
        <v>110.7367013992335</v>
      </c>
      <c r="Y66" s="44">
        <v>3806.79</v>
      </c>
      <c r="Z66" s="44">
        <v>3828.55</v>
      </c>
      <c r="AA66" s="52">
        <v>15</v>
      </c>
      <c r="AB66" s="213">
        <v>63237.48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257" ht="16.5" customHeight="1" x14ac:dyDescent="0.3">
      <c r="A67" s="211">
        <v>60</v>
      </c>
      <c r="B67" s="164" t="s">
        <v>48</v>
      </c>
      <c r="C67" s="107" t="s">
        <v>113</v>
      </c>
      <c r="D67" s="101"/>
      <c r="E67" s="101"/>
      <c r="F67" s="101"/>
      <c r="G67" s="101">
        <v>45220505.780000001</v>
      </c>
      <c r="H67" s="105"/>
      <c r="I67" s="101"/>
      <c r="J67" s="101">
        <v>51024440.030000001</v>
      </c>
      <c r="K67" s="101">
        <v>441092.21</v>
      </c>
      <c r="L67" s="101">
        <v>175783.55</v>
      </c>
      <c r="M67" s="54">
        <v>265308.65999999997</v>
      </c>
      <c r="N67" s="44">
        <v>52058092.039999999</v>
      </c>
      <c r="O67" s="44">
        <v>60493.01</v>
      </c>
      <c r="P67" s="146">
        <v>52681457.869999997</v>
      </c>
      <c r="Q67" s="48">
        <f t="shared" si="20"/>
        <v>1.3297950437172752E-4</v>
      </c>
      <c r="R67" s="57">
        <v>51997599.030000001</v>
      </c>
      <c r="S67" s="48">
        <f t="shared" si="21"/>
        <v>1.3236561098784285E-4</v>
      </c>
      <c r="T67" s="49">
        <f>((R67-P67)/P67)</f>
        <v>-1.2981015857372971E-2</v>
      </c>
      <c r="U67" s="116">
        <f>(L67/R67)</f>
        <v>3.3806089757833185E-3</v>
      </c>
      <c r="V67" s="50">
        <f>M67/R67</f>
        <v>5.1023252024950273E-3</v>
      </c>
      <c r="W67" s="51">
        <f>R67/AB67</f>
        <v>11.013666171950183</v>
      </c>
      <c r="X67" s="51">
        <f>M67/AB67</f>
        <v>5.6195306481008338E-2</v>
      </c>
      <c r="Y67" s="44">
        <v>11.0137</v>
      </c>
      <c r="Z67" s="44">
        <v>11.0265</v>
      </c>
      <c r="AA67" s="52">
        <v>47</v>
      </c>
      <c r="AB67" s="213">
        <v>4721188.95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</row>
    <row r="68" spans="1:257" ht="16.5" customHeight="1" x14ac:dyDescent="0.3">
      <c r="A68" s="211">
        <v>61</v>
      </c>
      <c r="B68" s="160" t="s">
        <v>111</v>
      </c>
      <c r="C68" s="107" t="s">
        <v>112</v>
      </c>
      <c r="D68" s="101"/>
      <c r="E68" s="101"/>
      <c r="F68" s="101"/>
      <c r="G68" s="102">
        <v>7111948695.4799995</v>
      </c>
      <c r="H68" s="101"/>
      <c r="I68" s="101">
        <v>5506926793.4899998</v>
      </c>
      <c r="J68" s="101">
        <v>12623991684.639999</v>
      </c>
      <c r="K68" s="101">
        <v>128304621.19</v>
      </c>
      <c r="L68" s="102">
        <v>20561165.899999999</v>
      </c>
      <c r="M68" s="46">
        <v>107743455.29000001</v>
      </c>
      <c r="N68" s="44">
        <v>15163246628.440001</v>
      </c>
      <c r="O68" s="44">
        <v>189193481.91999999</v>
      </c>
      <c r="P68" s="146">
        <v>15310683971.41</v>
      </c>
      <c r="Q68" s="48">
        <f t="shared" si="20"/>
        <v>3.8647509929099357E-2</v>
      </c>
      <c r="R68" s="57">
        <v>14974053146.52</v>
      </c>
      <c r="S68" s="48">
        <f t="shared" si="21"/>
        <v>3.8118100271514604E-2</v>
      </c>
      <c r="T68" s="49">
        <f t="shared" si="26"/>
        <v>-2.1986661439723925E-2</v>
      </c>
      <c r="U68" s="116">
        <f t="shared" si="22"/>
        <v>1.3731196022086015E-3</v>
      </c>
      <c r="V68" s="50">
        <f t="shared" si="23"/>
        <v>7.1953434541562177E-3</v>
      </c>
      <c r="W68" s="51">
        <f t="shared" si="24"/>
        <v>1143.1782850306977</v>
      </c>
      <c r="X68" s="51">
        <f t="shared" si="25"/>
        <v>8.2255603901291607</v>
      </c>
      <c r="Y68" s="44">
        <v>1143.18</v>
      </c>
      <c r="Z68" s="44">
        <v>1143.18</v>
      </c>
      <c r="AA68" s="52">
        <v>5064</v>
      </c>
      <c r="AB68" s="213">
        <v>13098615.800000001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257" ht="18.75" customHeight="1" x14ac:dyDescent="0.35">
      <c r="A69" s="211">
        <v>62</v>
      </c>
      <c r="B69" s="160" t="s">
        <v>81</v>
      </c>
      <c r="C69" s="110" t="s">
        <v>155</v>
      </c>
      <c r="D69" s="105"/>
      <c r="E69" s="101"/>
      <c r="F69" s="102"/>
      <c r="G69" s="102">
        <v>15000000</v>
      </c>
      <c r="H69" s="101"/>
      <c r="I69" s="101">
        <v>7030290.9900000002</v>
      </c>
      <c r="J69" s="102">
        <v>22030290.989999998</v>
      </c>
      <c r="K69" s="102">
        <v>58713.32</v>
      </c>
      <c r="L69" s="102">
        <v>185029</v>
      </c>
      <c r="M69" s="82">
        <f>K69-L69</f>
        <v>-126315.68</v>
      </c>
      <c r="N69" s="45">
        <v>22030290.989999998</v>
      </c>
      <c r="O69" s="45">
        <v>987592</v>
      </c>
      <c r="P69" s="146">
        <v>21071161</v>
      </c>
      <c r="Q69" s="48">
        <f t="shared" si="20"/>
        <v>5.3188211936566793E-5</v>
      </c>
      <c r="R69" s="57">
        <v>21042698.989999998</v>
      </c>
      <c r="S69" s="48">
        <f t="shared" si="21"/>
        <v>5.3566506158055839E-5</v>
      </c>
      <c r="T69" s="49">
        <f t="shared" si="26"/>
        <v>-1.3507566099467247E-3</v>
      </c>
      <c r="U69" s="116">
        <f t="shared" si="22"/>
        <v>8.7930260318759626E-3</v>
      </c>
      <c r="V69" s="50">
        <f t="shared" si="23"/>
        <v>-6.0028269215858798E-3</v>
      </c>
      <c r="W69" s="51">
        <f t="shared" si="24"/>
        <v>0.78047808054019951</v>
      </c>
      <c r="X69" s="51">
        <f t="shared" si="25"/>
        <v>-4.6850748335743823E-3</v>
      </c>
      <c r="Y69" s="58">
        <v>0.77</v>
      </c>
      <c r="Z69" s="58">
        <v>0.79</v>
      </c>
      <c r="AA69" s="52">
        <v>756</v>
      </c>
      <c r="AB69" s="230">
        <v>26961294</v>
      </c>
      <c r="AC69" s="37"/>
      <c r="AD69" s="33"/>
      <c r="AE69" s="3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257" ht="16.5" customHeight="1" x14ac:dyDescent="0.3">
      <c r="A70" s="211">
        <v>63</v>
      </c>
      <c r="B70" s="160" t="s">
        <v>73</v>
      </c>
      <c r="C70" s="110" t="s">
        <v>217</v>
      </c>
      <c r="D70" s="101"/>
      <c r="E70" s="105"/>
      <c r="F70" s="101">
        <v>309380420.31</v>
      </c>
      <c r="G70" s="101">
        <v>452717298.49000001</v>
      </c>
      <c r="H70" s="101"/>
      <c r="I70" s="101"/>
      <c r="J70" s="101">
        <v>871238846.13</v>
      </c>
      <c r="K70" s="101">
        <v>9368705.5600000005</v>
      </c>
      <c r="L70" s="101">
        <v>1284245.26</v>
      </c>
      <c r="M70" s="54">
        <v>8084460.2999999998</v>
      </c>
      <c r="N70" s="44">
        <v>871238846.13</v>
      </c>
      <c r="O70" s="44">
        <v>15362141.619999999</v>
      </c>
      <c r="P70" s="146">
        <v>892640052.39999998</v>
      </c>
      <c r="Q70" s="48">
        <f t="shared" si="20"/>
        <v>2.25321842921324E-3</v>
      </c>
      <c r="R70" s="57">
        <v>855876704.50999999</v>
      </c>
      <c r="S70" s="48">
        <f t="shared" si="21"/>
        <v>2.1787283458485408E-3</v>
      </c>
      <c r="T70" s="49">
        <f t="shared" si="26"/>
        <v>-4.1184963402836422E-2</v>
      </c>
      <c r="U70" s="116">
        <f t="shared" si="22"/>
        <v>1.5005026462722177E-3</v>
      </c>
      <c r="V70" s="50">
        <f t="shared" si="23"/>
        <v>9.4458235133627732E-3</v>
      </c>
      <c r="W70" s="51">
        <f t="shared" si="24"/>
        <v>1138.6366115226404</v>
      </c>
      <c r="X70" s="51">
        <f t="shared" si="25"/>
        <v>10.75536047829627</v>
      </c>
      <c r="Y70" s="44">
        <v>1159.3</v>
      </c>
      <c r="Z70" s="44">
        <v>1180.1300000000001</v>
      </c>
      <c r="AA70" s="79">
        <v>120</v>
      </c>
      <c r="AB70" s="228">
        <v>751668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257" ht="16.5" customHeight="1" x14ac:dyDescent="0.3">
      <c r="A71" s="211">
        <v>64</v>
      </c>
      <c r="B71" s="160" t="s">
        <v>46</v>
      </c>
      <c r="C71" s="110" t="s">
        <v>115</v>
      </c>
      <c r="D71" s="101"/>
      <c r="E71" s="101"/>
      <c r="F71" s="102">
        <v>7500000</v>
      </c>
      <c r="G71" s="101">
        <v>167756106.77000001</v>
      </c>
      <c r="H71" s="101"/>
      <c r="I71" s="101"/>
      <c r="J71" s="102">
        <v>175256106.77000001</v>
      </c>
      <c r="K71" s="102">
        <v>1253899.3799999999</v>
      </c>
      <c r="L71" s="103">
        <v>220481.24</v>
      </c>
      <c r="M71" s="54">
        <v>1033418.14</v>
      </c>
      <c r="N71" s="61">
        <v>177739739.05000001</v>
      </c>
      <c r="O71" s="44">
        <v>6791831.8799999999</v>
      </c>
      <c r="P71" s="146">
        <v>171470355.77000001</v>
      </c>
      <c r="Q71" s="48">
        <f t="shared" si="20"/>
        <v>4.3282862408641217E-4</v>
      </c>
      <c r="R71" s="57">
        <v>170947907.16999999</v>
      </c>
      <c r="S71" s="48">
        <f t="shared" si="21"/>
        <v>4.3516671157441497E-4</v>
      </c>
      <c r="T71" s="49">
        <f t="shared" si="26"/>
        <v>-3.0468741821519569E-3</v>
      </c>
      <c r="U71" s="116">
        <f t="shared" si="22"/>
        <v>1.289756883544303E-3</v>
      </c>
      <c r="V71" s="50">
        <f t="shared" si="23"/>
        <v>6.0452225306994387E-3</v>
      </c>
      <c r="W71" s="51">
        <f t="shared" si="24"/>
        <v>141.6795642673913</v>
      </c>
      <c r="X71" s="51">
        <f t="shared" si="25"/>
        <v>0.85648449404891303</v>
      </c>
      <c r="Y71" s="44">
        <v>154.44999999999999</v>
      </c>
      <c r="Z71" s="44">
        <v>154.72</v>
      </c>
      <c r="AA71" s="52">
        <v>16</v>
      </c>
      <c r="AB71" s="213">
        <v>1206581.26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257" ht="16.5" customHeight="1" x14ac:dyDescent="0.3">
      <c r="A72" s="211">
        <v>65</v>
      </c>
      <c r="B72" s="164" t="s">
        <v>118</v>
      </c>
      <c r="C72" s="107" t="s">
        <v>119</v>
      </c>
      <c r="D72" s="137"/>
      <c r="E72" s="137"/>
      <c r="F72" s="155">
        <v>143967492.59999999</v>
      </c>
      <c r="G72" s="137">
        <v>371265731.93000001</v>
      </c>
      <c r="H72" s="137"/>
      <c r="I72" s="103"/>
      <c r="J72" s="102">
        <v>695484335.15999997</v>
      </c>
      <c r="K72" s="102">
        <v>36381883.189999998</v>
      </c>
      <c r="L72" s="102">
        <v>11523581.539999999</v>
      </c>
      <c r="M72" s="82">
        <v>24858301.649999999</v>
      </c>
      <c r="N72" s="132" t="s">
        <v>195</v>
      </c>
      <c r="O72" s="45">
        <v>4978602.72</v>
      </c>
      <c r="P72" s="145">
        <v>696670573.05999994</v>
      </c>
      <c r="Q72" s="48">
        <f t="shared" si="20"/>
        <v>1.7585486670565857E-3</v>
      </c>
      <c r="R72" s="47">
        <v>690505732.45000005</v>
      </c>
      <c r="S72" s="48">
        <f t="shared" si="21"/>
        <v>1.75775833637279E-3</v>
      </c>
      <c r="T72" s="49">
        <f t="shared" si="26"/>
        <v>-8.8490038884833956E-3</v>
      </c>
      <c r="U72" s="116">
        <f t="shared" si="22"/>
        <v>1.6688610967953738E-2</v>
      </c>
      <c r="V72" s="50">
        <f t="shared" si="23"/>
        <v>3.6000137988427203E-2</v>
      </c>
      <c r="W72" s="51">
        <f t="shared" si="24"/>
        <v>183.0014602547212</v>
      </c>
      <c r="X72" s="51">
        <f t="shared" si="25"/>
        <v>6.5880778212536404</v>
      </c>
      <c r="Y72" s="53">
        <v>183.00149999999999</v>
      </c>
      <c r="Z72" s="53">
        <v>184.32089999999999</v>
      </c>
      <c r="AA72" s="55">
        <v>437</v>
      </c>
      <c r="AB72" s="216">
        <v>3773225.26</v>
      </c>
      <c r="AC72" s="10"/>
      <c r="AD72" s="10"/>
      <c r="AE72" s="10"/>
      <c r="AF72" s="11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257" ht="16.5" customHeight="1" x14ac:dyDescent="0.3">
      <c r="A73" s="211">
        <v>66</v>
      </c>
      <c r="B73" s="164" t="s">
        <v>75</v>
      </c>
      <c r="C73" s="107" t="s">
        <v>120</v>
      </c>
      <c r="D73" s="137"/>
      <c r="E73" s="137"/>
      <c r="F73" s="137">
        <v>43705410.140000001</v>
      </c>
      <c r="G73" s="137">
        <v>1017806560.48</v>
      </c>
      <c r="H73" s="137"/>
      <c r="I73" s="101"/>
      <c r="J73" s="101">
        <f>SUM(F73,G73)</f>
        <v>1061511970.62</v>
      </c>
      <c r="K73" s="101">
        <v>7565731.4699999997</v>
      </c>
      <c r="L73" s="101">
        <v>1756274.13</v>
      </c>
      <c r="M73" s="54">
        <v>-20352937.289999999</v>
      </c>
      <c r="N73" s="44">
        <v>1097962201.74</v>
      </c>
      <c r="O73" s="44">
        <v>4655614.58</v>
      </c>
      <c r="P73" s="146">
        <v>1128739127.1300001</v>
      </c>
      <c r="Q73" s="48">
        <f t="shared" si="20"/>
        <v>2.8491840537351429E-3</v>
      </c>
      <c r="R73" s="57">
        <v>1093306587.1600001</v>
      </c>
      <c r="S73" s="48">
        <f t="shared" si="21"/>
        <v>2.7831322427593762E-3</v>
      </c>
      <c r="T73" s="49">
        <f t="shared" si="26"/>
        <v>-3.1391256950658683E-2</v>
      </c>
      <c r="U73" s="116">
        <f t="shared" si="22"/>
        <v>1.6063875866349077E-3</v>
      </c>
      <c r="V73" s="50">
        <f t="shared" si="23"/>
        <v>-1.8615946825006596E-2</v>
      </c>
      <c r="W73" s="51">
        <f t="shared" si="24"/>
        <v>1.4082888334233468</v>
      </c>
      <c r="X73" s="51">
        <f t="shared" si="25"/>
        <v>-2.6216630037259592E-2</v>
      </c>
      <c r="Y73" s="44">
        <v>1.4083000000000001</v>
      </c>
      <c r="Z73" s="44">
        <v>1.4083000000000001</v>
      </c>
      <c r="AA73" s="52">
        <v>133</v>
      </c>
      <c r="AB73" s="213">
        <v>776336899.94000006</v>
      </c>
      <c r="AC73" s="25"/>
      <c r="AD73" s="12"/>
      <c r="AE73" s="12"/>
      <c r="AF73" s="12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257" ht="16.5" customHeight="1" x14ac:dyDescent="0.3">
      <c r="A74" s="211">
        <v>67</v>
      </c>
      <c r="B74" s="160" t="s">
        <v>52</v>
      </c>
      <c r="C74" s="110" t="s">
        <v>122</v>
      </c>
      <c r="D74" s="137"/>
      <c r="E74" s="137"/>
      <c r="F74" s="137">
        <v>38761333.079999998</v>
      </c>
      <c r="G74" s="137">
        <v>458859977.26999998</v>
      </c>
      <c r="H74" s="137"/>
      <c r="I74" s="101"/>
      <c r="J74" s="101">
        <v>497621310.35000002</v>
      </c>
      <c r="K74" s="101">
        <v>5432829.5099999998</v>
      </c>
      <c r="L74" s="101">
        <v>656824.76</v>
      </c>
      <c r="M74" s="54">
        <v>4776004.75</v>
      </c>
      <c r="N74" s="44">
        <v>501627261.38999999</v>
      </c>
      <c r="O74" s="44">
        <v>656824.76</v>
      </c>
      <c r="P74" s="146">
        <v>558171004.75999999</v>
      </c>
      <c r="Q74" s="48">
        <f t="shared" si="20"/>
        <v>1.4089455107870567E-3</v>
      </c>
      <c r="R74" s="57">
        <v>500970436.63</v>
      </c>
      <c r="S74" s="48">
        <f t="shared" si="21"/>
        <v>1.2752753813328591E-3</v>
      </c>
      <c r="T74" s="49">
        <f t="shared" si="26"/>
        <v>-0.10247857312938506</v>
      </c>
      <c r="U74" s="116">
        <f t="shared" si="22"/>
        <v>1.311104831691114E-3</v>
      </c>
      <c r="V74" s="50">
        <f t="shared" si="23"/>
        <v>9.5335061727951764E-3</v>
      </c>
      <c r="W74" s="51">
        <f t="shared" si="24"/>
        <v>1.142552104563497</v>
      </c>
      <c r="X74" s="51">
        <f t="shared" si="25"/>
        <v>1.0892527541596218E-2</v>
      </c>
      <c r="Y74" s="44">
        <v>1.1399999999999999</v>
      </c>
      <c r="Z74" s="44">
        <v>1.1399999999999999</v>
      </c>
      <c r="AA74" s="52">
        <v>203</v>
      </c>
      <c r="AB74" s="213">
        <v>438466162.39999998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257" ht="16.5" customHeight="1" x14ac:dyDescent="0.3">
      <c r="A75" s="211">
        <v>68</v>
      </c>
      <c r="B75" s="164" t="s">
        <v>37</v>
      </c>
      <c r="C75" s="110" t="s">
        <v>124</v>
      </c>
      <c r="D75" s="137"/>
      <c r="E75" s="137"/>
      <c r="F75" s="137">
        <v>389215272.45999998</v>
      </c>
      <c r="G75" s="137">
        <v>365695880.69</v>
      </c>
      <c r="H75" s="137"/>
      <c r="I75" s="101"/>
      <c r="J75" s="101">
        <v>754911153.14999998</v>
      </c>
      <c r="K75" s="101">
        <v>10249020.32</v>
      </c>
      <c r="L75" s="101">
        <v>5399471.8899999997</v>
      </c>
      <c r="M75" s="54">
        <v>4849548.43</v>
      </c>
      <c r="N75" s="44">
        <v>1601640908</v>
      </c>
      <c r="O75" s="44">
        <v>44149994</v>
      </c>
      <c r="P75" s="146">
        <v>1609086432</v>
      </c>
      <c r="Q75" s="48">
        <f t="shared" si="20"/>
        <v>4.0616855506666232E-3</v>
      </c>
      <c r="R75" s="57">
        <v>1557490914</v>
      </c>
      <c r="S75" s="48">
        <f t="shared" si="21"/>
        <v>3.9647645330831687E-3</v>
      </c>
      <c r="T75" s="49">
        <f t="shared" si="26"/>
        <v>-3.2065100403506477E-2</v>
      </c>
      <c r="U75" s="116">
        <f t="shared" si="22"/>
        <v>3.4667758517658996E-3</v>
      </c>
      <c r="V75" s="50">
        <f t="shared" si="23"/>
        <v>3.1136929187889949E-3</v>
      </c>
      <c r="W75" s="51">
        <f t="shared" si="24"/>
        <v>0.93325415600828032</v>
      </c>
      <c r="X75" s="51">
        <f t="shared" si="25"/>
        <v>2.9058668569933825E-3</v>
      </c>
      <c r="Y75" s="44">
        <v>0.98340000000000005</v>
      </c>
      <c r="Z75" s="44">
        <v>0.98829999999999996</v>
      </c>
      <c r="AA75" s="52">
        <v>529</v>
      </c>
      <c r="AB75" s="213">
        <v>1668881841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257" ht="16.5" customHeight="1" x14ac:dyDescent="0.3">
      <c r="A76" s="211">
        <v>69</v>
      </c>
      <c r="B76" s="160" t="s">
        <v>25</v>
      </c>
      <c r="C76" s="110" t="s">
        <v>168</v>
      </c>
      <c r="D76" s="137"/>
      <c r="E76" s="137"/>
      <c r="F76" s="137">
        <v>6781301127.3199997</v>
      </c>
      <c r="G76" s="137">
        <v>7399912200.0900002</v>
      </c>
      <c r="H76" s="137"/>
      <c r="I76" s="101"/>
      <c r="J76" s="103">
        <v>14181213327.41</v>
      </c>
      <c r="K76" s="103">
        <v>109964090.86</v>
      </c>
      <c r="L76" s="103">
        <v>15904072.25</v>
      </c>
      <c r="M76" s="82">
        <v>94060018.609999999</v>
      </c>
      <c r="N76" s="44">
        <v>14509858193.92</v>
      </c>
      <c r="O76" s="44">
        <v>19461899.73</v>
      </c>
      <c r="P76" s="146">
        <v>11492498307.959999</v>
      </c>
      <c r="Q76" s="48">
        <f t="shared" si="20"/>
        <v>2.9009575489666262E-2</v>
      </c>
      <c r="R76" s="57">
        <v>14490396294.190001</v>
      </c>
      <c r="S76" s="48">
        <f t="shared" si="21"/>
        <v>3.6886898524484298E-2</v>
      </c>
      <c r="T76" s="49">
        <f>((R76-P76)/P76)</f>
        <v>0.26085694388604613</v>
      </c>
      <c r="U76" s="116">
        <f>(L76/R76)</f>
        <v>1.0975595095612961E-3</v>
      </c>
      <c r="V76" s="50">
        <f>M76/R76</f>
        <v>6.4911971143062422E-3</v>
      </c>
      <c r="W76" s="51">
        <f>R76/AB76</f>
        <v>104.91545016073339</v>
      </c>
      <c r="X76" s="51">
        <f>M76/AB76</f>
        <v>0.68102686732949291</v>
      </c>
      <c r="Y76" s="44">
        <v>104.92</v>
      </c>
      <c r="Z76" s="44">
        <v>104.92</v>
      </c>
      <c r="AA76" s="52">
        <v>854</v>
      </c>
      <c r="AB76" s="212">
        <v>138114989.47</v>
      </c>
      <c r="AC76" s="41"/>
      <c r="AD76" s="6"/>
      <c r="AE76" s="6"/>
      <c r="AF76" s="6"/>
      <c r="AG76" s="32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</row>
    <row r="77" spans="1:257" ht="16.5" customHeight="1" x14ac:dyDescent="0.3">
      <c r="A77" s="211">
        <v>70</v>
      </c>
      <c r="B77" s="164" t="s">
        <v>125</v>
      </c>
      <c r="C77" s="110" t="s">
        <v>157</v>
      </c>
      <c r="D77" s="137"/>
      <c r="E77" s="137"/>
      <c r="F77" s="137"/>
      <c r="G77" s="137">
        <v>288551061.5</v>
      </c>
      <c r="H77" s="137"/>
      <c r="I77" s="101"/>
      <c r="J77" s="103">
        <v>288551061.5</v>
      </c>
      <c r="K77" s="103">
        <v>3173104.76</v>
      </c>
      <c r="L77" s="103">
        <v>433232.51</v>
      </c>
      <c r="M77" s="82">
        <v>2739872.25</v>
      </c>
      <c r="N77" s="44">
        <v>295038657.73000002</v>
      </c>
      <c r="O77" s="44">
        <v>4592884.8499999996</v>
      </c>
      <c r="P77" s="146">
        <v>300771761.37</v>
      </c>
      <c r="Q77" s="48">
        <f t="shared" si="20"/>
        <v>7.5921360898348474E-4</v>
      </c>
      <c r="R77" s="57">
        <v>290445772.88</v>
      </c>
      <c r="S77" s="48">
        <f t="shared" si="21"/>
        <v>7.3936168021751514E-4</v>
      </c>
      <c r="T77" s="49">
        <f>((R77-P77)/P77)</f>
        <v>-3.4331642182649259E-2</v>
      </c>
      <c r="U77" s="116">
        <f>(L77/R77)</f>
        <v>1.4916123781184914E-3</v>
      </c>
      <c r="V77" s="50">
        <f>M77/R77</f>
        <v>9.4333349142319937E-3</v>
      </c>
      <c r="W77" s="51">
        <f>R77/AB77</f>
        <v>1048.5785511390302</v>
      </c>
      <c r="X77" s="51">
        <f>M77/AB77</f>
        <v>9.8915926567746126</v>
      </c>
      <c r="Y77" s="44">
        <v>1048.54</v>
      </c>
      <c r="Z77" s="44">
        <v>1048.54</v>
      </c>
      <c r="AA77" s="52">
        <v>133</v>
      </c>
      <c r="AB77" s="230">
        <v>276990</v>
      </c>
      <c r="AC77" s="41"/>
      <c r="AD77" s="6"/>
      <c r="AE77" s="6"/>
      <c r="AF77" s="6"/>
      <c r="AG77" s="32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</row>
    <row r="78" spans="1:257" ht="16.5" customHeight="1" x14ac:dyDescent="0.3">
      <c r="A78" s="211">
        <v>71</v>
      </c>
      <c r="B78" s="164" t="s">
        <v>153</v>
      </c>
      <c r="C78" s="110" t="s">
        <v>154</v>
      </c>
      <c r="D78" s="137"/>
      <c r="E78" s="137"/>
      <c r="F78" s="137">
        <v>1023606791.4299999</v>
      </c>
      <c r="G78" s="137">
        <v>462767865.14999998</v>
      </c>
      <c r="H78" s="137"/>
      <c r="I78" s="101"/>
      <c r="J78" s="103">
        <v>1486374656.5799999</v>
      </c>
      <c r="K78" s="103">
        <v>15004212.41</v>
      </c>
      <c r="L78" s="103">
        <v>1341517.1000000001</v>
      </c>
      <c r="M78" s="82">
        <v>13662695.310000001</v>
      </c>
      <c r="N78" s="44">
        <v>1826863018.3499999</v>
      </c>
      <c r="O78" s="44">
        <v>7215480.21</v>
      </c>
      <c r="P78" s="146">
        <v>1859713502.9000001</v>
      </c>
      <c r="Q78" s="48">
        <f t="shared" si="20"/>
        <v>4.6943230101815572E-3</v>
      </c>
      <c r="R78" s="57">
        <v>1819647538.1400001</v>
      </c>
      <c r="S78" s="48">
        <f t="shared" si="21"/>
        <v>4.6321130717874451E-3</v>
      </c>
      <c r="T78" s="49">
        <f t="shared" si="26"/>
        <v>-2.154415973079828E-2</v>
      </c>
      <c r="U78" s="116">
        <f t="shared" si="22"/>
        <v>7.3724008187391423E-4</v>
      </c>
      <c r="V78" s="50">
        <f t="shared" si="23"/>
        <v>7.508429530240608E-3</v>
      </c>
      <c r="W78" s="51">
        <f t="shared" si="24"/>
        <v>0.99764444604133817</v>
      </c>
      <c r="X78" s="51">
        <f t="shared" si="25"/>
        <v>7.4907430193373167E-3</v>
      </c>
      <c r="Y78" s="44">
        <v>1.0270999999999999</v>
      </c>
      <c r="Z78" s="44">
        <v>1.0270999999999999</v>
      </c>
      <c r="AA78" s="52">
        <v>556</v>
      </c>
      <c r="AB78" s="212">
        <v>1823943936.5</v>
      </c>
      <c r="AC78" s="42"/>
      <c r="AD78" s="17"/>
      <c r="AE78" s="17"/>
      <c r="AF78" s="18"/>
      <c r="AG78" s="8"/>
      <c r="AH78" s="19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</row>
    <row r="79" spans="1:257" ht="16.5" customHeight="1" x14ac:dyDescent="0.3">
      <c r="A79" s="226" t="s">
        <v>94</v>
      </c>
      <c r="B79" s="171"/>
      <c r="C79" s="68" t="s">
        <v>54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260">
        <f t="shared" ref="P79" si="27">SUM(P53:P78)</f>
        <v>396162236570.95001</v>
      </c>
      <c r="Q79" s="167">
        <f>(P79/$P$146)</f>
        <v>0.31151302184108015</v>
      </c>
      <c r="R79" s="70">
        <f>SUM(R53:R78)</f>
        <v>392833143306.20007</v>
      </c>
      <c r="S79" s="167">
        <f>(R79/$R$146)</f>
        <v>0.30508616631004531</v>
      </c>
      <c r="T79" s="71">
        <f t="shared" si="26"/>
        <v>-8.4033584158991915E-3</v>
      </c>
      <c r="U79" s="98"/>
      <c r="V79" s="72"/>
      <c r="W79" s="73"/>
      <c r="X79" s="73"/>
      <c r="Y79" s="69"/>
      <c r="Z79" s="69"/>
      <c r="AA79" s="74">
        <f>SUM(AA53:AA78)</f>
        <v>42624</v>
      </c>
      <c r="AB79" s="223"/>
      <c r="AC79" s="41"/>
      <c r="AD79" s="173"/>
      <c r="AE79" s="173"/>
      <c r="AF79" s="174"/>
      <c r="AG79" s="175"/>
      <c r="AH79" s="6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</row>
    <row r="80" spans="1:257" ht="16.5" customHeight="1" x14ac:dyDescent="0.3">
      <c r="A80" s="282" t="s">
        <v>200</v>
      </c>
      <c r="B80" s="280"/>
      <c r="C80" s="2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163"/>
      <c r="Q80" s="49"/>
      <c r="R80" s="84">
        <v>0</v>
      </c>
      <c r="S80" s="49"/>
      <c r="T80" s="49"/>
      <c r="U80" s="49"/>
      <c r="V80" s="85"/>
      <c r="W80" s="86"/>
      <c r="X80" s="86"/>
      <c r="Y80" s="84"/>
      <c r="Z80" s="84"/>
      <c r="AA80" s="84"/>
      <c r="AB80" s="227"/>
      <c r="AC80" s="41"/>
      <c r="AD80" s="173"/>
      <c r="AE80" s="173"/>
      <c r="AF80" s="174"/>
      <c r="AG80" s="175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</row>
    <row r="81" spans="1:257" ht="16.5" customHeight="1" x14ac:dyDescent="0.3">
      <c r="A81" s="286" t="s">
        <v>199</v>
      </c>
      <c r="B81" s="287"/>
      <c r="C81" s="287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9"/>
      <c r="Q81" s="180"/>
      <c r="R81" s="178"/>
      <c r="S81" s="180"/>
      <c r="T81" s="180"/>
      <c r="U81" s="181"/>
      <c r="V81" s="182"/>
      <c r="W81" s="183"/>
      <c r="X81" s="183"/>
      <c r="Y81" s="178"/>
      <c r="Z81" s="178"/>
      <c r="AA81" s="178"/>
      <c r="AB81" s="231"/>
      <c r="AC81" s="41"/>
      <c r="AD81" s="173"/>
      <c r="AE81" s="173"/>
      <c r="AF81" s="174"/>
      <c r="AG81" s="175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</row>
    <row r="82" spans="1:257" ht="16.5" customHeight="1" x14ac:dyDescent="0.3">
      <c r="A82" s="232" t="s">
        <v>222</v>
      </c>
      <c r="B82" s="160" t="s">
        <v>204</v>
      </c>
      <c r="C82" s="110" t="s">
        <v>202</v>
      </c>
      <c r="D82" s="44"/>
      <c r="E82" s="44"/>
      <c r="F82" s="87"/>
      <c r="G82" s="44"/>
      <c r="H82" s="55"/>
      <c r="I82" s="87"/>
      <c r="J82" s="53"/>
      <c r="K82" s="53"/>
      <c r="L82" s="53"/>
      <c r="M82" s="82"/>
      <c r="N82" s="44"/>
      <c r="O82" s="140"/>
      <c r="P82" s="145">
        <v>0</v>
      </c>
      <c r="Q82" s="48">
        <f t="shared" ref="Q82:Q89" si="28">(P82/$P$99)</f>
        <v>0</v>
      </c>
      <c r="R82" s="47"/>
      <c r="S82" s="48">
        <f t="shared" ref="S82:S89" si="29">(R82/$R$99)</f>
        <v>0</v>
      </c>
      <c r="T82" s="49" t="e">
        <f t="shared" ref="T82:T87" si="30">((R82-P82)/P82)</f>
        <v>#DIV/0!</v>
      </c>
      <c r="U82" s="116" t="e">
        <f t="shared" ref="U82:U87" si="31">(L82/R82)</f>
        <v>#DIV/0!</v>
      </c>
      <c r="V82" s="50" t="e">
        <f t="shared" ref="V82:V87" si="32">M82/R82</f>
        <v>#DIV/0!</v>
      </c>
      <c r="W82" s="51" t="e">
        <f t="shared" ref="W82:W87" si="33">R82/AB82</f>
        <v>#DIV/0!</v>
      </c>
      <c r="X82" s="51" t="e">
        <f>M82/AB82</f>
        <v>#DIV/0!</v>
      </c>
      <c r="Y82" s="44"/>
      <c r="Z82" s="53"/>
      <c r="AA82" s="52">
        <v>0</v>
      </c>
      <c r="AB82" s="213">
        <v>0</v>
      </c>
      <c r="AC82" s="10"/>
      <c r="AD82" s="10"/>
      <c r="AE82" s="10"/>
      <c r="AF82" s="11"/>
      <c r="AG82" s="5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</row>
    <row r="83" spans="1:257" ht="16.5" customHeight="1" x14ac:dyDescent="0.3">
      <c r="A83" s="232" t="s">
        <v>223</v>
      </c>
      <c r="B83" s="160" t="s">
        <v>204</v>
      </c>
      <c r="C83" s="110" t="s">
        <v>203</v>
      </c>
      <c r="D83" s="55"/>
      <c r="E83" s="44"/>
      <c r="F83" s="53">
        <v>2351656394.9000001</v>
      </c>
      <c r="G83" s="44">
        <v>5867947640.7700005</v>
      </c>
      <c r="H83" s="44"/>
      <c r="I83" s="53"/>
      <c r="J83" s="53">
        <v>8270501135.75</v>
      </c>
      <c r="K83" s="53">
        <v>148319588.41</v>
      </c>
      <c r="L83" s="53">
        <v>11292905.57</v>
      </c>
      <c r="M83" s="82">
        <v>137026682.84</v>
      </c>
      <c r="N83" s="44">
        <v>8291080284.0500002</v>
      </c>
      <c r="O83" s="53">
        <v>20579148.309999999</v>
      </c>
      <c r="P83" s="145">
        <v>7738448521.0699997</v>
      </c>
      <c r="Q83" s="48">
        <f t="shared" si="28"/>
        <v>3.1692708014849046E-2</v>
      </c>
      <c r="R83" s="47">
        <v>8270501135.75</v>
      </c>
      <c r="S83" s="48">
        <f t="shared" si="29"/>
        <v>3.3065788495517126E-2</v>
      </c>
      <c r="T83" s="49">
        <f t="shared" si="30"/>
        <v>6.8754429680748602E-2</v>
      </c>
      <c r="U83" s="116">
        <f t="shared" si="31"/>
        <v>1.3654439295323205E-3</v>
      </c>
      <c r="V83" s="50">
        <f t="shared" si="32"/>
        <v>1.6568123332658717E-2</v>
      </c>
      <c r="W83" s="51">
        <f t="shared" si="33"/>
        <v>52745.933169849981</v>
      </c>
      <c r="X83" s="51">
        <f t="shared" ref="X83:X87" si="34">M83/AB83</f>
        <v>873.90112605424895</v>
      </c>
      <c r="Y83" s="53">
        <v>127.44</v>
      </c>
      <c r="Z83" s="44">
        <v>127.44</v>
      </c>
      <c r="AA83" s="52">
        <v>1632</v>
      </c>
      <c r="AB83" s="213">
        <v>156798.84</v>
      </c>
      <c r="AC83" s="25"/>
      <c r="AD83" s="20"/>
      <c r="AE83" s="12"/>
      <c r="AF83" s="12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 x14ac:dyDescent="0.3">
      <c r="A84" s="211">
        <v>73</v>
      </c>
      <c r="B84" s="160" t="s">
        <v>35</v>
      </c>
      <c r="C84" s="110" t="s">
        <v>218</v>
      </c>
      <c r="D84" s="111"/>
      <c r="E84" s="111"/>
      <c r="F84" s="112"/>
      <c r="G84" s="108">
        <f>411.09*125199214</f>
        <v>51468144883.259995</v>
      </c>
      <c r="H84" s="111"/>
      <c r="I84" s="103"/>
      <c r="J84" s="108">
        <f>411.09*125199214</f>
        <v>51468144883.259995</v>
      </c>
      <c r="K84" s="101">
        <f>411.09*925410</f>
        <v>380426796.89999998</v>
      </c>
      <c r="L84" s="103">
        <f>411.09*212760</f>
        <v>87463508.399999991</v>
      </c>
      <c r="M84" s="82">
        <f>411.09*712650</f>
        <v>292963288.5</v>
      </c>
      <c r="N84" s="44">
        <f>411.09*143268350</f>
        <v>58896186001.5</v>
      </c>
      <c r="O84" s="53">
        <f>411.09*1406869</f>
        <v>578349777.20999992</v>
      </c>
      <c r="P84" s="146">
        <f>410.8*139039440</f>
        <v>57117401952</v>
      </c>
      <c r="Q84" s="48">
        <f t="shared" si="28"/>
        <v>0.23392352326215474</v>
      </c>
      <c r="R84" s="130">
        <f>411.09*141861481</f>
        <v>58317836224.289993</v>
      </c>
      <c r="S84" s="48">
        <f t="shared" si="29"/>
        <v>0.23315700058043848</v>
      </c>
      <c r="T84" s="49">
        <f>((R84-P84)/P84)</f>
        <v>2.101696210375268E-2</v>
      </c>
      <c r="U84" s="116">
        <f>(L84/R84)</f>
        <v>1.4997728664626023E-3</v>
      </c>
      <c r="V84" s="50">
        <f>M84/R84</f>
        <v>5.0235623861843099E-3</v>
      </c>
      <c r="W84" s="51">
        <f>R84/AB84</f>
        <v>50148.582058395332</v>
      </c>
      <c r="X84" s="51">
        <f>M84/AB84</f>
        <v>251.92453054903211</v>
      </c>
      <c r="Y84" s="44">
        <v>121.99</v>
      </c>
      <c r="Z84" s="44">
        <v>121.99</v>
      </c>
      <c r="AA84" s="60">
        <v>1074</v>
      </c>
      <c r="AB84" s="216">
        <v>1162901</v>
      </c>
      <c r="AC84" s="25"/>
      <c r="AD84" s="20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</row>
    <row r="85" spans="1:257" ht="16.5" customHeight="1" x14ac:dyDescent="0.3">
      <c r="A85" s="211">
        <v>74</v>
      </c>
      <c r="B85" s="160" t="s">
        <v>205</v>
      </c>
      <c r="C85" s="110" t="s">
        <v>97</v>
      </c>
      <c r="D85" s="44"/>
      <c r="E85" s="44"/>
      <c r="F85" s="45">
        <f>411.09*1430913.34</f>
        <v>588234164.94060004</v>
      </c>
      <c r="G85" s="44">
        <f>411.09*10924872.09</f>
        <v>4491105667.4780998</v>
      </c>
      <c r="H85" s="44"/>
      <c r="I85" s="44"/>
      <c r="J85" s="44">
        <f>411.09*12803612.01</f>
        <v>5263436861.1908998</v>
      </c>
      <c r="K85" s="44">
        <f>411.09*65187.82</f>
        <v>26798060.923799999</v>
      </c>
      <c r="L85" s="44">
        <f>411.09*17225.43</f>
        <v>7081202.0186999999</v>
      </c>
      <c r="M85" s="54">
        <f>411.09*47962.39</f>
        <v>19716858.905099999</v>
      </c>
      <c r="N85" s="45">
        <f>411.09*12803612.01</f>
        <v>5263436861.1908998</v>
      </c>
      <c r="O85" s="53">
        <f>411.09*17225</f>
        <v>7081025.25</v>
      </c>
      <c r="P85" s="146">
        <f>410.8*12309557.63</f>
        <v>5056766274.4040003</v>
      </c>
      <c r="Q85" s="48">
        <f t="shared" si="28"/>
        <v>2.0709915766405126E-2</v>
      </c>
      <c r="R85" s="57">
        <f>411.09*12786386.64</f>
        <v>5256355683.8375998</v>
      </c>
      <c r="S85" s="48">
        <f t="shared" si="29"/>
        <v>2.1015116550518676E-2</v>
      </c>
      <c r="T85" s="49">
        <f t="shared" si="30"/>
        <v>3.946977151067229E-2</v>
      </c>
      <c r="U85" s="116">
        <f t="shared" si="31"/>
        <v>1.3471694924438794E-3</v>
      </c>
      <c r="V85" s="50">
        <f t="shared" si="32"/>
        <v>3.7510511257307015E-3</v>
      </c>
      <c r="W85" s="51">
        <f t="shared" si="33"/>
        <v>547.08354093945866</v>
      </c>
      <c r="X85" s="51">
        <f t="shared" si="34"/>
        <v>2.0521383321096947</v>
      </c>
      <c r="Y85" s="44">
        <f>1.19*411.09</f>
        <v>489.19709999999992</v>
      </c>
      <c r="Z85" s="44">
        <f>1.19*411.09</f>
        <v>489.19709999999992</v>
      </c>
      <c r="AA85" s="52">
        <v>121</v>
      </c>
      <c r="AB85" s="213">
        <v>9607958</v>
      </c>
      <c r="AC85" s="13"/>
      <c r="AD85" s="21"/>
      <c r="AE85" s="4"/>
      <c r="AF85" s="4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</row>
    <row r="86" spans="1:257" ht="16.5" customHeight="1" x14ac:dyDescent="0.3">
      <c r="A86" s="211">
        <v>75</v>
      </c>
      <c r="B86" s="160" t="s">
        <v>48</v>
      </c>
      <c r="C86" s="110" t="s">
        <v>98</v>
      </c>
      <c r="D86" s="44"/>
      <c r="E86" s="44"/>
      <c r="F86" s="44"/>
      <c r="G86" s="44">
        <v>648138964.95000005</v>
      </c>
      <c r="H86" s="44"/>
      <c r="I86" s="44"/>
      <c r="J86" s="44">
        <v>648138964.95000005</v>
      </c>
      <c r="K86" s="44">
        <v>2665207.59</v>
      </c>
      <c r="L86" s="44">
        <v>731912.91</v>
      </c>
      <c r="M86" s="54">
        <v>1933294.68</v>
      </c>
      <c r="N86" s="44">
        <v>653796273.09000003</v>
      </c>
      <c r="O86" s="45">
        <v>12072434.52</v>
      </c>
      <c r="P86" s="146">
        <v>638681813.89999998</v>
      </c>
      <c r="Q86" s="48">
        <f t="shared" si="28"/>
        <v>2.615712463191271E-3</v>
      </c>
      <c r="R86" s="57">
        <v>641723842.67999995</v>
      </c>
      <c r="S86" s="48">
        <f t="shared" si="29"/>
        <v>2.565637136891966E-3</v>
      </c>
      <c r="T86" s="49">
        <f t="shared" si="30"/>
        <v>4.7629801159114723E-3</v>
      </c>
      <c r="U86" s="116">
        <f t="shared" si="31"/>
        <v>1.1405418675786579E-3</v>
      </c>
      <c r="V86" s="50">
        <f t="shared" si="32"/>
        <v>3.0126583296735177E-3</v>
      </c>
      <c r="W86" s="51">
        <f t="shared" si="33"/>
        <v>46094.228033328538</v>
      </c>
      <c r="X86" s="51">
        <f t="shared" si="34"/>
        <v>138.86616003447779</v>
      </c>
      <c r="Y86" s="44">
        <v>112.14190000000001</v>
      </c>
      <c r="Z86" s="44">
        <v>114.2576</v>
      </c>
      <c r="AA86" s="88">
        <v>30</v>
      </c>
      <c r="AB86" s="228">
        <v>13922</v>
      </c>
      <c r="AC86" s="13"/>
      <c r="AD86" s="4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 x14ac:dyDescent="0.3">
      <c r="A87" s="211">
        <v>76</v>
      </c>
      <c r="B87" s="160" t="s">
        <v>33</v>
      </c>
      <c r="C87" s="110" t="s">
        <v>99</v>
      </c>
      <c r="D87" s="44"/>
      <c r="E87" s="44"/>
      <c r="F87" s="44"/>
      <c r="G87" s="89">
        <v>767931416.39999998</v>
      </c>
      <c r="H87" s="44"/>
      <c r="I87" s="44"/>
      <c r="J87" s="89">
        <v>767931416.39999998</v>
      </c>
      <c r="K87" s="89">
        <v>5229602.7</v>
      </c>
      <c r="L87" s="53">
        <v>1393127.76</v>
      </c>
      <c r="M87" s="54">
        <v>3836474.95</v>
      </c>
      <c r="N87" s="44">
        <v>774436143.30999994</v>
      </c>
      <c r="O87" s="45">
        <v>8520218.7799999993</v>
      </c>
      <c r="P87" s="146">
        <v>765199353.66999996</v>
      </c>
      <c r="Q87" s="48">
        <f t="shared" si="28"/>
        <v>3.1338632831870651E-3</v>
      </c>
      <c r="R87" s="57">
        <v>765915924.51999998</v>
      </c>
      <c r="S87" s="48">
        <f t="shared" si="29"/>
        <v>3.0621619596972773E-3</v>
      </c>
      <c r="T87" s="49">
        <f t="shared" si="30"/>
        <v>9.3644988925206587E-4</v>
      </c>
      <c r="U87" s="116">
        <f t="shared" si="31"/>
        <v>1.8189042888396322E-3</v>
      </c>
      <c r="V87" s="50">
        <f t="shared" si="32"/>
        <v>5.009002721028841E-3</v>
      </c>
      <c r="W87" s="51">
        <f t="shared" si="33"/>
        <v>43243.086388958363</v>
      </c>
      <c r="X87" s="51">
        <f t="shared" si="34"/>
        <v>216.60473738797768</v>
      </c>
      <c r="Y87" s="44">
        <v>105.3194</v>
      </c>
      <c r="Z87" s="44">
        <v>105.3194</v>
      </c>
      <c r="AA87" s="88">
        <v>200</v>
      </c>
      <c r="AB87" s="228">
        <v>17711.87</v>
      </c>
      <c r="AC87" s="3"/>
      <c r="AD87" s="9"/>
      <c r="AE87" s="9"/>
      <c r="AF87" s="9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 x14ac:dyDescent="0.3">
      <c r="A88" s="211">
        <v>77</v>
      </c>
      <c r="B88" s="164" t="s">
        <v>37</v>
      </c>
      <c r="C88" s="110" t="s">
        <v>100</v>
      </c>
      <c r="D88" s="62"/>
      <c r="E88" s="62"/>
      <c r="F88" s="53"/>
      <c r="G88" s="53">
        <f>411.09*11477908.13</f>
        <v>4718453253.1617002</v>
      </c>
      <c r="H88" s="62"/>
      <c r="I88" s="53"/>
      <c r="J88" s="53">
        <f>411.09*11477908.13</f>
        <v>4718453253.1617002</v>
      </c>
      <c r="K88" s="53">
        <f>411.09*122077.92</f>
        <v>50185012.132799998</v>
      </c>
      <c r="L88" s="53">
        <f>411.09*34170.71</f>
        <v>14047237.173899999</v>
      </c>
      <c r="M88" s="82">
        <f>411.09*91757.6</f>
        <v>37720631.784000002</v>
      </c>
      <c r="N88" s="53">
        <f>411.09*16172893</f>
        <v>6648514583.3699999</v>
      </c>
      <c r="O88" s="53">
        <f>411.09*200518</f>
        <v>82430944.61999999</v>
      </c>
      <c r="P88" s="146">
        <f>410.8*15279191</f>
        <v>6276691662.8000002</v>
      </c>
      <c r="Q88" s="48">
        <f t="shared" si="28"/>
        <v>2.5706103184214533E-2</v>
      </c>
      <c r="R88" s="57">
        <f>411.09*15972376</f>
        <v>6566084049.8399992</v>
      </c>
      <c r="S88" s="48">
        <f t="shared" si="29"/>
        <v>2.6251462018100469E-2</v>
      </c>
      <c r="T88" s="49">
        <f>((R88-P88)/P88)</f>
        <v>4.6105879113855108E-2</v>
      </c>
      <c r="U88" s="116">
        <f>(L88/R88)</f>
        <v>2.1393629851939374E-3</v>
      </c>
      <c r="V88" s="50">
        <f>M88/R88</f>
        <v>5.7447683425434024E-3</v>
      </c>
      <c r="W88" s="51">
        <f>R88/AB88</f>
        <v>476.13120501493307</v>
      </c>
      <c r="X88" s="51">
        <f>M88/AB88</f>
        <v>2.73526347346683</v>
      </c>
      <c r="Y88" s="53">
        <v>1.0900000000000001</v>
      </c>
      <c r="Z88" s="44">
        <v>1.0954999999999999</v>
      </c>
      <c r="AA88" s="88">
        <v>436</v>
      </c>
      <c r="AB88" s="228">
        <v>13790493</v>
      </c>
      <c r="AC88" s="10"/>
      <c r="AD88" s="10"/>
      <c r="AE88" s="10"/>
      <c r="AF88" s="11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 x14ac:dyDescent="0.3">
      <c r="A89" s="211">
        <v>78</v>
      </c>
      <c r="B89" s="164" t="s">
        <v>164</v>
      </c>
      <c r="C89" s="110" t="s">
        <v>167</v>
      </c>
      <c r="D89" s="62"/>
      <c r="E89" s="62"/>
      <c r="F89" s="53"/>
      <c r="G89" s="53">
        <v>718523890.82000005</v>
      </c>
      <c r="H89" s="62"/>
      <c r="I89" s="53"/>
      <c r="J89" s="53">
        <v>718523890.82000005</v>
      </c>
      <c r="K89" s="53">
        <v>2496286.4700000002</v>
      </c>
      <c r="L89" s="53">
        <v>1316955.5900000001</v>
      </c>
      <c r="M89" s="82">
        <v>1179330.8799999999</v>
      </c>
      <c r="N89" s="53">
        <v>737898920.16999996</v>
      </c>
      <c r="O89" s="53">
        <v>718440768.41999996</v>
      </c>
      <c r="P89" s="146">
        <v>775391761.76999998</v>
      </c>
      <c r="Q89" s="48">
        <f t="shared" si="28"/>
        <v>3.1756061484399596E-3</v>
      </c>
      <c r="R89" s="57">
        <v>733920859.78999996</v>
      </c>
      <c r="S89" s="48">
        <f t="shared" si="29"/>
        <v>2.9342444337943415E-3</v>
      </c>
      <c r="T89" s="49">
        <f t="shared" ref="T89" si="35">((R89-P89)/P89)</f>
        <v>-5.3483805251339896E-2</v>
      </c>
      <c r="U89" s="116">
        <f t="shared" ref="U89" si="36">(L89/R89)</f>
        <v>1.7944108992580296E-3</v>
      </c>
      <c r="V89" s="50">
        <f t="shared" ref="V89" si="37">M89/R89</f>
        <v>1.6068910758817335E-3</v>
      </c>
      <c r="W89" s="51">
        <f t="shared" ref="W89" si="38">R89/AB89</f>
        <v>42660.293271153416</v>
      </c>
      <c r="X89" s="51">
        <f t="shared" ref="X89" si="39">M89/AB89</f>
        <v>68.550444551913984</v>
      </c>
      <c r="Y89" s="53">
        <v>103.77</v>
      </c>
      <c r="Z89" s="44">
        <v>103.77</v>
      </c>
      <c r="AA89" s="88">
        <v>32</v>
      </c>
      <c r="AB89" s="228">
        <v>17203.84</v>
      </c>
      <c r="AC89" s="13"/>
      <c r="AD89" s="4"/>
      <c r="AE89" s="4"/>
      <c r="AF89" s="4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6" customHeight="1" x14ac:dyDescent="0.3">
      <c r="A90" s="211"/>
      <c r="B90" s="164"/>
      <c r="C90" s="110"/>
      <c r="D90" s="137"/>
      <c r="E90" s="137"/>
      <c r="F90" s="137"/>
      <c r="G90" s="137"/>
      <c r="H90" s="137"/>
      <c r="I90" s="101"/>
      <c r="J90" s="103"/>
      <c r="K90" s="103"/>
      <c r="L90" s="103"/>
      <c r="M90" s="82"/>
      <c r="N90" s="44"/>
      <c r="O90" s="44"/>
      <c r="P90" s="146"/>
      <c r="Q90" s="48"/>
      <c r="R90" s="57"/>
      <c r="S90" s="48"/>
      <c r="T90" s="49"/>
      <c r="U90" s="116"/>
      <c r="V90" s="50"/>
      <c r="W90" s="51"/>
      <c r="X90" s="51"/>
      <c r="Y90" s="44"/>
      <c r="Z90" s="44"/>
      <c r="AA90" s="52"/>
      <c r="AB90" s="212"/>
      <c r="AC90" s="13"/>
      <c r="AD90" s="4"/>
      <c r="AE90" s="4"/>
      <c r="AF90" s="4"/>
      <c r="AG90" s="5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16.5" customHeight="1" x14ac:dyDescent="0.3">
      <c r="A91" s="286" t="s">
        <v>201</v>
      </c>
      <c r="B91" s="287"/>
      <c r="C91" s="287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9"/>
      <c r="Q91" s="180"/>
      <c r="R91" s="178"/>
      <c r="S91" s="180"/>
      <c r="T91" s="180"/>
      <c r="U91" s="181"/>
      <c r="V91" s="182"/>
      <c r="W91" s="183"/>
      <c r="X91" s="183"/>
      <c r="Y91" s="178"/>
      <c r="Z91" s="178"/>
      <c r="AA91" s="178"/>
      <c r="AB91" s="231"/>
      <c r="AC91" s="13"/>
      <c r="AD91" s="4"/>
      <c r="AE91" s="4"/>
      <c r="AF91" s="4"/>
      <c r="AG91" s="5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</row>
    <row r="92" spans="1:257" ht="16.5" customHeight="1" x14ac:dyDescent="0.3">
      <c r="A92" s="211">
        <v>79</v>
      </c>
      <c r="B92" s="160" t="s">
        <v>25</v>
      </c>
      <c r="C92" s="160" t="s">
        <v>114</v>
      </c>
      <c r="D92" s="101"/>
      <c r="E92" s="101"/>
      <c r="F92" s="101">
        <f>411.09*127449075.63</f>
        <v>52393040500.736694</v>
      </c>
      <c r="G92" s="101">
        <f>411.09*255137371.93</f>
        <v>104884422226.70369</v>
      </c>
      <c r="H92" s="101"/>
      <c r="I92" s="101"/>
      <c r="J92" s="101">
        <f>411.09*382724847.83</f>
        <v>157334357694.43469</v>
      </c>
      <c r="K92" s="101">
        <f>411.09*2171708.34</f>
        <v>892767581.49059987</v>
      </c>
      <c r="L92" s="101">
        <f>411.09*555594.88</f>
        <v>228399499.21919999</v>
      </c>
      <c r="M92" s="54">
        <f>411.09*1616113.46</f>
        <v>664368082.27139997</v>
      </c>
      <c r="N92" s="44">
        <f>411.09*390570198.19</f>
        <v>160559502773.92709</v>
      </c>
      <c r="O92" s="44">
        <f>411.09*602789.52</f>
        <v>247800743.77680001</v>
      </c>
      <c r="P92" s="146">
        <f>410.8*384559941.66</f>
        <v>157977224033.92801</v>
      </c>
      <c r="Q92" s="48">
        <f t="shared" ref="Q92:Q98" si="40">(P92/$P$99)</f>
        <v>0.64699351823191953</v>
      </c>
      <c r="R92" s="57">
        <f>411.09*389967408.67</f>
        <v>160311702030.1503</v>
      </c>
      <c r="S92" s="48">
        <f t="shared" ref="S92:S98" si="41">(R92/$R$99)</f>
        <v>0.64093248349510246</v>
      </c>
      <c r="T92" s="49">
        <f>((R92-P92)/P92)</f>
        <v>1.4777307365021969E-2</v>
      </c>
      <c r="U92" s="116">
        <f>(L92/R92)</f>
        <v>1.424721316827166E-3</v>
      </c>
      <c r="V92" s="50">
        <f>M92/R92</f>
        <v>4.1442269894087355E-3</v>
      </c>
      <c r="W92" s="51">
        <f>R92/AB92</f>
        <v>526.74763683868446</v>
      </c>
      <c r="X92" s="51">
        <f>M92/AB92</f>
        <v>2.1829617731941471</v>
      </c>
      <c r="Y92" s="44">
        <v>1.2813000000000001</v>
      </c>
      <c r="Z92" s="44">
        <v>1.2813000000000001</v>
      </c>
      <c r="AA92" s="79">
        <v>3561</v>
      </c>
      <c r="AB92" s="228">
        <v>304342517.77999997</v>
      </c>
      <c r="AC92" s="13"/>
      <c r="AD92" s="4"/>
      <c r="AE92" s="4"/>
      <c r="AF92" s="4"/>
      <c r="AG92" s="5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</row>
    <row r="93" spans="1:257" ht="16.5" customHeight="1" x14ac:dyDescent="0.3">
      <c r="A93" s="211">
        <v>80</v>
      </c>
      <c r="B93" s="164" t="s">
        <v>46</v>
      </c>
      <c r="C93" s="107" t="s">
        <v>117</v>
      </c>
      <c r="D93" s="137"/>
      <c r="E93" s="137"/>
      <c r="F93" s="137">
        <f>411.09*304970.25</f>
        <v>125370220.07249999</v>
      </c>
      <c r="G93" s="137">
        <f>411.09*3527287.68</f>
        <v>1450032692.3712001</v>
      </c>
      <c r="H93" s="137"/>
      <c r="I93" s="101"/>
      <c r="J93" s="101">
        <f>411.09*3832257.93</f>
        <v>1575402912.4437001</v>
      </c>
      <c r="K93" s="102">
        <f>411.09*20325.72</f>
        <v>8355700.2347999997</v>
      </c>
      <c r="L93" s="102">
        <f>411.09*7209.13</f>
        <v>2963601.2516999999</v>
      </c>
      <c r="M93" s="82">
        <f>411.09*13116.6</f>
        <v>5392103.0939999996</v>
      </c>
      <c r="N93" s="103">
        <f>411.09*3892020.73</f>
        <v>1599970801.8957</v>
      </c>
      <c r="O93" s="45">
        <f>411.09*48145.64</f>
        <v>19792191.147599999</v>
      </c>
      <c r="P93" s="146">
        <f>410.8*3652916.4</f>
        <v>1500618057.1199999</v>
      </c>
      <c r="Q93" s="48">
        <f t="shared" si="40"/>
        <v>6.1457603286528377E-3</v>
      </c>
      <c r="R93" s="57">
        <f>411.09*3843875.09</f>
        <v>1580178610.7480998</v>
      </c>
      <c r="S93" s="48">
        <f t="shared" si="41"/>
        <v>6.3176161722875495E-3</v>
      </c>
      <c r="T93" s="49">
        <f>((R93-P93)/P93)</f>
        <v>5.3018523434799437E-2</v>
      </c>
      <c r="U93" s="116">
        <f>(L93/R93)</f>
        <v>1.8754849809648733E-3</v>
      </c>
      <c r="V93" s="50">
        <f>M93/R93</f>
        <v>3.4123377302564743E-3</v>
      </c>
      <c r="W93" s="51">
        <f>R93/AB93</f>
        <v>437.35922433911611</v>
      </c>
      <c r="X93" s="51">
        <f>M93/AB93</f>
        <v>1.4924173828880716</v>
      </c>
      <c r="Y93" s="58">
        <f>411.09*1.06</f>
        <v>435.75540000000001</v>
      </c>
      <c r="Z93" s="58">
        <f>411.09*1.06</f>
        <v>435.75540000000001</v>
      </c>
      <c r="AA93" s="55">
        <v>246</v>
      </c>
      <c r="AB93" s="216">
        <v>3612999.39</v>
      </c>
      <c r="AC93" s="13"/>
      <c r="AD93" s="4"/>
      <c r="AE93" s="4"/>
      <c r="AF93" s="4"/>
      <c r="AG93" s="5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</row>
    <row r="94" spans="1:257" ht="16.5" customHeight="1" x14ac:dyDescent="0.3">
      <c r="A94" s="211">
        <v>81</v>
      </c>
      <c r="B94" s="160" t="s">
        <v>68</v>
      </c>
      <c r="C94" s="110" t="s">
        <v>123</v>
      </c>
      <c r="D94" s="137"/>
      <c r="E94" s="137"/>
      <c r="F94" s="137"/>
      <c r="G94" s="137">
        <f>411.09*9452167.29</f>
        <v>3885691451.2460995</v>
      </c>
      <c r="H94" s="205"/>
      <c r="I94" s="102"/>
      <c r="J94" s="102">
        <v>3885691451.25</v>
      </c>
      <c r="K94" s="102">
        <f>411.09*55909.1</f>
        <v>22983671.919</v>
      </c>
      <c r="L94" s="103">
        <f>411.09*14093.47</f>
        <v>5793684.582299999</v>
      </c>
      <c r="M94" s="82">
        <f>SUM(K94-L94)</f>
        <v>17189987.3367</v>
      </c>
      <c r="N94" s="53">
        <f>10326550.66*411.09</f>
        <v>4245141710.8193998</v>
      </c>
      <c r="O94" s="53">
        <f>411.09*1069567.09</f>
        <v>439688335.02810001</v>
      </c>
      <c r="P94" s="145">
        <f>410.8*9027401.43</f>
        <v>3708456507.4439998</v>
      </c>
      <c r="Q94" s="48">
        <f t="shared" si="40"/>
        <v>1.5187931916349878E-2</v>
      </c>
      <c r="R94" s="47">
        <f>411.09*9256983.57</f>
        <v>3805453375.7912998</v>
      </c>
      <c r="S94" s="48">
        <f t="shared" si="41"/>
        <v>1.5214352115805132E-2</v>
      </c>
      <c r="T94" s="49">
        <f t="shared" ref="T94:T96" si="42">((R94-P94)/P94)</f>
        <v>2.6155590109415559E-2</v>
      </c>
      <c r="U94" s="116">
        <f t="shared" ref="U94:U96" si="43">(L94/R94)</f>
        <v>1.5224689439521171E-3</v>
      </c>
      <c r="V94" s="50">
        <f t="shared" ref="V94:V96" si="44">M94/R94</f>
        <v>4.5171982518707231E-3</v>
      </c>
      <c r="W94" s="51">
        <f t="shared" ref="W94:W96" si="45">R94/AB94</f>
        <v>7180100.7090401882</v>
      </c>
      <c r="X94" s="51">
        <f t="shared" ref="X94:X96" si="46">M94/AB94</f>
        <v>32433.938371132077</v>
      </c>
      <c r="Y94" s="53">
        <f>411.09*109.49</f>
        <v>45010.244099999996</v>
      </c>
      <c r="Z94" s="53">
        <f>411.09*109.49</f>
        <v>45010.244099999996</v>
      </c>
      <c r="AA94" s="52">
        <v>85324</v>
      </c>
      <c r="AB94" s="229">
        <f>SUM(460,42,28)</f>
        <v>530</v>
      </c>
      <c r="AC94" s="13"/>
      <c r="AD94" s="4"/>
      <c r="AE94" s="4"/>
      <c r="AF94" s="4"/>
      <c r="AG94" s="5"/>
      <c r="AH94" s="6"/>
      <c r="AI94" s="6"/>
      <c r="AJ94" s="6"/>
      <c r="AK94" s="7"/>
      <c r="AL94" s="5"/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 x14ac:dyDescent="0.3">
      <c r="A95" s="211">
        <v>82</v>
      </c>
      <c r="B95" s="164" t="s">
        <v>125</v>
      </c>
      <c r="C95" s="110" t="s">
        <v>126</v>
      </c>
      <c r="D95" s="137"/>
      <c r="E95" s="137"/>
      <c r="F95" s="137"/>
      <c r="G95" s="137">
        <v>969989.33</v>
      </c>
      <c r="H95" s="137"/>
      <c r="I95" s="101"/>
      <c r="J95" s="101">
        <f>411.09*969989.33</f>
        <v>398752913.66969997</v>
      </c>
      <c r="K95" s="101">
        <f>411.09*7793.83</f>
        <v>3203965.5746999998</v>
      </c>
      <c r="L95" s="101">
        <f>411.09*1745.81</f>
        <v>717685.03289999999</v>
      </c>
      <c r="M95" s="54">
        <f>411.09*6048.02</f>
        <v>2486280.5418000002</v>
      </c>
      <c r="N95" s="44">
        <f>411.09*1224249.75</f>
        <v>503276829.72749996</v>
      </c>
      <c r="O95" s="44">
        <f>411.09*30813.72</f>
        <v>12667212.1548</v>
      </c>
      <c r="P95" s="146">
        <f>410.8*1189350.85</f>
        <v>488585329.18000007</v>
      </c>
      <c r="Q95" s="48">
        <f t="shared" si="40"/>
        <v>2.0009944029322799E-3</v>
      </c>
      <c r="R95" s="57">
        <f>411.09*1193436.03</f>
        <v>490609617.57269996</v>
      </c>
      <c r="S95" s="48">
        <f t="shared" si="41"/>
        <v>1.9614765275108486E-3</v>
      </c>
      <c r="T95" s="49">
        <f t="shared" si="42"/>
        <v>4.1431624565913391E-3</v>
      </c>
      <c r="U95" s="116">
        <f t="shared" si="43"/>
        <v>1.4628433834027955E-3</v>
      </c>
      <c r="V95" s="50">
        <f t="shared" si="44"/>
        <v>5.0677370617007444E-3</v>
      </c>
      <c r="W95" s="51">
        <f t="shared" si="45"/>
        <v>44000.862562573988</v>
      </c>
      <c r="X95" s="51">
        <f t="shared" si="46"/>
        <v>222.98480195515697</v>
      </c>
      <c r="Y95" s="44">
        <f>411.09*107.04</f>
        <v>44003.073600000003</v>
      </c>
      <c r="Z95" s="44">
        <f>411.09*107.04</f>
        <v>44003.073600000003</v>
      </c>
      <c r="AA95" s="52">
        <v>30</v>
      </c>
      <c r="AB95" s="213">
        <v>11150</v>
      </c>
      <c r="AC95" s="3"/>
      <c r="AD95" s="9"/>
      <c r="AE95" s="4"/>
      <c r="AF95" s="4"/>
      <c r="AG95" s="5"/>
      <c r="AH95" s="6"/>
      <c r="AI95" s="6"/>
      <c r="AJ95" s="6"/>
      <c r="AK95" s="7"/>
      <c r="AL95" s="5"/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5.75" customHeight="1" x14ac:dyDescent="0.35">
      <c r="A96" s="211">
        <v>83</v>
      </c>
      <c r="B96" s="164" t="s">
        <v>85</v>
      </c>
      <c r="C96" s="110" t="s">
        <v>127</v>
      </c>
      <c r="D96" s="137"/>
      <c r="E96" s="137"/>
      <c r="F96" s="137">
        <f>411.09*1409142.19</f>
        <v>579284262.88709998</v>
      </c>
      <c r="G96" s="137">
        <v>1364050850.99</v>
      </c>
      <c r="H96" s="137"/>
      <c r="I96" s="101"/>
      <c r="J96" s="101">
        <f>411.09*4727274.11</f>
        <v>1943335113.8799</v>
      </c>
      <c r="K96" s="101">
        <f>411.09*21210.41</f>
        <v>8719387.4468999989</v>
      </c>
      <c r="L96" s="101">
        <f>411.09*7511.5</f>
        <v>3087902.5349999997</v>
      </c>
      <c r="M96" s="54">
        <f>411.09*13698.91</f>
        <v>5631484.9118999997</v>
      </c>
      <c r="N96" s="44">
        <f>411.09*4815864.03</f>
        <v>1979753544.0927</v>
      </c>
      <c r="O96" s="44">
        <f>411.09*57878.25</f>
        <v>23793169.792499997</v>
      </c>
      <c r="P96" s="146">
        <f>410.8*4921723.94</f>
        <v>2021844194.5520003</v>
      </c>
      <c r="Q96" s="48">
        <f t="shared" si="40"/>
        <v>8.2804347066450651E-3</v>
      </c>
      <c r="R96" s="57">
        <f>411.09*4757985.77</f>
        <v>1955960370.1892996</v>
      </c>
      <c r="S96" s="48">
        <f t="shared" si="41"/>
        <v>7.8200064113077162E-3</v>
      </c>
      <c r="T96" s="49">
        <f t="shared" si="42"/>
        <v>-3.2586004668524529E-2</v>
      </c>
      <c r="U96" s="116">
        <f t="shared" si="43"/>
        <v>1.578714263367795E-3</v>
      </c>
      <c r="V96" s="50">
        <f t="shared" si="44"/>
        <v>2.8791405990270546E-3</v>
      </c>
      <c r="W96" s="51">
        <f t="shared" si="45"/>
        <v>439.37700141891986</v>
      </c>
      <c r="X96" s="51">
        <f t="shared" si="46"/>
        <v>1.2650281630639799</v>
      </c>
      <c r="Y96" s="44">
        <f>411.09*1.07</f>
        <v>439.86630000000002</v>
      </c>
      <c r="Z96" s="44">
        <f>411.09*1.07</f>
        <v>439.86630000000002</v>
      </c>
      <c r="AA96" s="52">
        <v>128</v>
      </c>
      <c r="AB96" s="213">
        <v>4451667.62</v>
      </c>
      <c r="AC96" s="37"/>
      <c r="AD96" s="10"/>
      <c r="AE96" s="13"/>
      <c r="AF96" s="4"/>
      <c r="AG96" s="5"/>
      <c r="AH96" s="6"/>
      <c r="AI96" s="6"/>
      <c r="AJ96" s="6"/>
      <c r="AK96" s="7"/>
      <c r="AL96" s="5"/>
      <c r="AM96" s="6"/>
      <c r="AN96" s="6"/>
      <c r="AO96" s="6"/>
      <c r="AP96" s="7"/>
      <c r="AQ96" s="5"/>
      <c r="AR96" s="6"/>
      <c r="AS96" s="6"/>
      <c r="AT96" s="6"/>
      <c r="AU96" s="7"/>
    </row>
    <row r="97" spans="1:257" ht="16.5" customHeight="1" x14ac:dyDescent="0.3">
      <c r="A97" s="211">
        <v>84</v>
      </c>
      <c r="B97" s="164" t="s">
        <v>92</v>
      </c>
      <c r="C97" s="110" t="s">
        <v>128</v>
      </c>
      <c r="D97" s="137"/>
      <c r="E97" s="137"/>
      <c r="F97" s="137"/>
      <c r="G97" s="137">
        <v>95343563.230000004</v>
      </c>
      <c r="H97" s="137"/>
      <c r="I97" s="101"/>
      <c r="J97" s="137">
        <v>95343563.230000004</v>
      </c>
      <c r="K97" s="103">
        <v>514082</v>
      </c>
      <c r="L97" s="103">
        <v>40569.769999999997</v>
      </c>
      <c r="M97" s="82">
        <v>473512.26</v>
      </c>
      <c r="N97" s="44">
        <v>106766734.59</v>
      </c>
      <c r="O97" s="44">
        <v>813915.03</v>
      </c>
      <c r="P97" s="146">
        <v>105952818.567</v>
      </c>
      <c r="Q97" s="48">
        <f t="shared" si="40"/>
        <v>4.3392829105877478E-4</v>
      </c>
      <c r="R97" s="57">
        <v>105952818.567</v>
      </c>
      <c r="S97" s="48">
        <f t="shared" si="41"/>
        <v>4.2360353160420899E-4</v>
      </c>
      <c r="T97" s="49">
        <f>((R97-P97)/P97)</f>
        <v>0</v>
      </c>
      <c r="U97" s="116">
        <f>(L97/R97)</f>
        <v>3.82904112874972E-4</v>
      </c>
      <c r="V97" s="50">
        <f>M97/R97</f>
        <v>4.4690860177596051E-3</v>
      </c>
      <c r="W97" s="51">
        <f>R97/AB97</f>
        <v>411.49122693360778</v>
      </c>
      <c r="X97" s="51">
        <f>M97/AB97</f>
        <v>1.8389896887197312</v>
      </c>
      <c r="Y97" s="44">
        <v>411.03</v>
      </c>
      <c r="Z97" s="44">
        <v>411.03</v>
      </c>
      <c r="AA97" s="52">
        <v>4</v>
      </c>
      <c r="AB97" s="230">
        <v>257485</v>
      </c>
      <c r="AC97" s="25"/>
      <c r="AD97" s="22"/>
      <c r="AE97" s="4"/>
      <c r="AF97" s="4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257" ht="16.5" customHeight="1" x14ac:dyDescent="0.3">
      <c r="A98" s="211">
        <v>85</v>
      </c>
      <c r="B98" s="164" t="s">
        <v>31</v>
      </c>
      <c r="C98" s="164" t="s">
        <v>206</v>
      </c>
      <c r="D98" s="69"/>
      <c r="E98" s="69">
        <f>SUM(E92:E97)</f>
        <v>0</v>
      </c>
      <c r="F98" s="69">
        <v>0</v>
      </c>
      <c r="G98" s="44">
        <v>1333880988.78</v>
      </c>
      <c r="H98" s="44">
        <f>SUM(H92:H97)</f>
        <v>0</v>
      </c>
      <c r="I98" s="44">
        <f>SUM(I92:I97)</f>
        <v>0</v>
      </c>
      <c r="J98" s="44">
        <v>1335944249.49</v>
      </c>
      <c r="K98" s="44">
        <v>5652898.5899999999</v>
      </c>
      <c r="L98" s="44">
        <v>2366739.6806999999</v>
      </c>
      <c r="M98" s="176">
        <v>3286323.3453000002</v>
      </c>
      <c r="N98" s="44">
        <v>1335944397.4823999</v>
      </c>
      <c r="O98" s="44">
        <v>15534519.684900001</v>
      </c>
      <c r="P98" s="177">
        <v>0</v>
      </c>
      <c r="Q98" s="48">
        <f t="shared" si="40"/>
        <v>0</v>
      </c>
      <c r="R98" s="57">
        <v>1320409877.7974999</v>
      </c>
      <c r="S98" s="48">
        <f t="shared" si="41"/>
        <v>5.2790505714239832E-3</v>
      </c>
      <c r="T98" s="49" t="e">
        <f t="shared" ref="T98" si="47">((R98-P98)/P98)</f>
        <v>#DIV/0!</v>
      </c>
      <c r="U98" s="116"/>
      <c r="V98" s="50"/>
      <c r="W98" s="51"/>
      <c r="X98" s="51"/>
      <c r="Y98" s="44">
        <v>415.20089999999999</v>
      </c>
      <c r="Z98" s="44">
        <v>415.20089999999999</v>
      </c>
      <c r="AA98" s="52">
        <v>102</v>
      </c>
      <c r="AB98" s="229">
        <v>3203133</v>
      </c>
      <c r="AC98" s="13"/>
      <c r="AD98" s="4"/>
      <c r="AE98" s="4"/>
      <c r="AF98" s="4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257" ht="16.5" customHeight="1" x14ac:dyDescent="0.3">
      <c r="A99" s="233"/>
      <c r="B99" s="141"/>
      <c r="C99" s="142" t="s">
        <v>54</v>
      </c>
      <c r="D99" s="156"/>
      <c r="E99" s="156"/>
      <c r="F99" s="156"/>
      <c r="G99" s="156"/>
      <c r="H99" s="156"/>
      <c r="I99" s="156"/>
      <c r="J99" s="156"/>
      <c r="K99" s="156"/>
      <c r="L99" s="156"/>
      <c r="M99" s="176"/>
      <c r="N99" s="156"/>
      <c r="O99" s="156"/>
      <c r="P99" s="165">
        <f t="shared" ref="P99" si="48">SUM(P82:P98)</f>
        <v>244171262280.40497</v>
      </c>
      <c r="Q99" s="167">
        <f>(P99/$P$146)</f>
        <v>0.19199843078959802</v>
      </c>
      <c r="R99" s="70">
        <f>SUM(R82:R98)</f>
        <v>250122604421.52374</v>
      </c>
      <c r="S99" s="167">
        <f>(R99/$R$146)</f>
        <v>0.19425282156237628</v>
      </c>
      <c r="T99" s="71">
        <f t="shared" si="26"/>
        <v>2.4373638754769941E-2</v>
      </c>
      <c r="U99" s="98"/>
      <c r="V99" s="72"/>
      <c r="W99" s="73"/>
      <c r="X99" s="73"/>
      <c r="Y99" s="69"/>
      <c r="Z99" s="69"/>
      <c r="AA99" s="250">
        <f>SUM(AA82:AA98)</f>
        <v>92920</v>
      </c>
      <c r="AB99" s="223"/>
      <c r="AC99" s="13"/>
      <c r="AD99" s="4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</row>
    <row r="100" spans="1:257" s="129" customFormat="1" ht="16.5" customHeight="1" x14ac:dyDescent="0.3">
      <c r="A100" s="288" t="s">
        <v>129</v>
      </c>
      <c r="B100" s="289"/>
      <c r="C100" s="289"/>
      <c r="D100" s="143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163"/>
      <c r="Q100" s="49"/>
      <c r="R100" s="84">
        <v>0</v>
      </c>
      <c r="S100" s="49"/>
      <c r="T100" s="49"/>
      <c r="U100" s="49"/>
      <c r="V100" s="85"/>
      <c r="W100" s="86"/>
      <c r="X100" s="86"/>
      <c r="Y100" s="84"/>
      <c r="Z100" s="84"/>
      <c r="AA100" s="84"/>
      <c r="AB100" s="227"/>
      <c r="AC100" s="123"/>
      <c r="AD100" s="124"/>
      <c r="AE100" s="124"/>
      <c r="AF100" s="124"/>
      <c r="AG100" s="125"/>
      <c r="AH100" s="126"/>
      <c r="AI100" s="126"/>
      <c r="AJ100" s="126"/>
      <c r="AK100" s="127"/>
      <c r="AL100" s="125"/>
      <c r="AM100" s="126"/>
      <c r="AN100" s="126"/>
      <c r="AO100" s="126"/>
      <c r="AP100" s="127"/>
      <c r="AQ100" s="125"/>
      <c r="AR100" s="126"/>
      <c r="AS100" s="126"/>
      <c r="AT100" s="126"/>
      <c r="AU100" s="127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/>
      <c r="HF100" s="128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  <c r="HQ100" s="128"/>
      <c r="HR100" s="128"/>
      <c r="HS100" s="128"/>
      <c r="HT100" s="128"/>
      <c r="HU100" s="128"/>
      <c r="HV100" s="128"/>
      <c r="HW100" s="128"/>
      <c r="HX100" s="128"/>
      <c r="HY100" s="128"/>
      <c r="HZ100" s="128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  <c r="IO100" s="128"/>
      <c r="IP100" s="128"/>
      <c r="IQ100" s="128"/>
      <c r="IR100" s="128"/>
      <c r="IS100" s="128"/>
      <c r="IT100" s="128"/>
      <c r="IU100" s="128"/>
      <c r="IV100" s="128"/>
      <c r="IW100" s="128"/>
    </row>
    <row r="101" spans="1:257" ht="16.5" customHeight="1" x14ac:dyDescent="0.3">
      <c r="A101" s="211">
        <v>86</v>
      </c>
      <c r="B101" s="160" t="s">
        <v>107</v>
      </c>
      <c r="C101" s="160" t="s">
        <v>130</v>
      </c>
      <c r="D101" s="44"/>
      <c r="E101" s="44"/>
      <c r="F101" s="90"/>
      <c r="G101" s="90" t="s">
        <v>182</v>
      </c>
      <c r="H101" s="44">
        <v>1820390000</v>
      </c>
      <c r="I101" s="132">
        <v>745284.35</v>
      </c>
      <c r="J101" s="90" t="s">
        <v>183</v>
      </c>
      <c r="K101" s="90" t="s">
        <v>184</v>
      </c>
      <c r="L101" s="131">
        <v>4015476.58</v>
      </c>
      <c r="M101" s="91">
        <v>14261532.4</v>
      </c>
      <c r="N101" s="44">
        <v>2468025387.0100002</v>
      </c>
      <c r="O101" s="44">
        <v>85907423.439999998</v>
      </c>
      <c r="P101" s="146">
        <v>2367394431.1599998</v>
      </c>
      <c r="Q101" s="48">
        <f>(P101/$P$105)</f>
        <v>5.7664651250401315E-2</v>
      </c>
      <c r="R101" s="57">
        <v>2382117963.5599999</v>
      </c>
      <c r="S101" s="48">
        <f>(R101/$R$105)</f>
        <v>5.9162008570474482E-2</v>
      </c>
      <c r="T101" s="49">
        <f>((R101-P101)/P101)</f>
        <v>6.2192984008945691E-3</v>
      </c>
      <c r="U101" s="116">
        <f>(L101/R101)</f>
        <v>1.6856749503702149E-3</v>
      </c>
      <c r="V101" s="50">
        <f>M101/R101</f>
        <v>5.9869127466242655E-3</v>
      </c>
      <c r="W101" s="51">
        <f>R101/AB101</f>
        <v>119.105898178</v>
      </c>
      <c r="X101" s="51">
        <f>M101/AB101</f>
        <v>0.71307662000000005</v>
      </c>
      <c r="Y101" s="44">
        <v>68.599999999999994</v>
      </c>
      <c r="Z101" s="44">
        <v>68.599999999999994</v>
      </c>
      <c r="AA101" s="52">
        <v>2648</v>
      </c>
      <c r="AB101" s="213">
        <v>20000000</v>
      </c>
      <c r="AC101" s="13"/>
      <c r="AD101" s="4"/>
      <c r="AE101" s="4"/>
      <c r="AF101" s="4"/>
      <c r="AG101" s="5"/>
      <c r="AH101" s="6"/>
      <c r="AI101" s="6"/>
      <c r="AJ101" s="6"/>
      <c r="AK101" s="7"/>
      <c r="AL101" s="5"/>
      <c r="AM101" s="6"/>
      <c r="AN101" s="6"/>
      <c r="AO101" s="6"/>
      <c r="AP101" s="7"/>
      <c r="AQ101" s="5"/>
      <c r="AR101" s="6"/>
      <c r="AS101" s="6"/>
      <c r="AT101" s="6"/>
      <c r="AU101" s="7"/>
    </row>
    <row r="102" spans="1:257" ht="16.5" customHeight="1" x14ac:dyDescent="0.3">
      <c r="A102" s="211">
        <v>87</v>
      </c>
      <c r="B102" s="160" t="s">
        <v>107</v>
      </c>
      <c r="C102" s="110" t="s">
        <v>131</v>
      </c>
      <c r="D102" s="53"/>
      <c r="E102" s="44"/>
      <c r="F102" s="44"/>
      <c r="G102" s="53">
        <v>397046549.95999998</v>
      </c>
      <c r="H102" s="132">
        <v>9932058627.3999996</v>
      </c>
      <c r="I102" s="90" t="s">
        <v>185</v>
      </c>
      <c r="J102" s="90" t="s">
        <v>186</v>
      </c>
      <c r="K102" s="90" t="s">
        <v>187</v>
      </c>
      <c r="L102" s="90" t="s">
        <v>188</v>
      </c>
      <c r="M102" s="91">
        <v>28952003.960000001</v>
      </c>
      <c r="N102" s="92">
        <v>11045537246.33</v>
      </c>
      <c r="O102" s="92">
        <v>1198461214.99</v>
      </c>
      <c r="P102" s="147" t="s">
        <v>197</v>
      </c>
      <c r="Q102" s="48">
        <f t="shared" ref="Q102:Q104" si="49">(P102/$P$105)</f>
        <v>0.23914844543785152</v>
      </c>
      <c r="R102" s="93" t="s">
        <v>189</v>
      </c>
      <c r="S102" s="48">
        <f t="shared" ref="S102:S104" si="50">(R102/$R$105)</f>
        <v>0.24456085107955747</v>
      </c>
      <c r="T102" s="49">
        <f>((R102-P102)/P102)</f>
        <v>2.9488325794603449E-3</v>
      </c>
      <c r="U102" s="116">
        <f>(L102/R102)</f>
        <v>1.3938982929337757E-3</v>
      </c>
      <c r="V102" s="50">
        <f>M102/R102</f>
        <v>2.9401625283337878E-3</v>
      </c>
      <c r="W102" s="51">
        <f>R102/AB102</f>
        <v>52.342686463839286</v>
      </c>
      <c r="X102" s="51">
        <f>M102/AB102</f>
        <v>0.15389600537330445</v>
      </c>
      <c r="Y102" s="158">
        <v>36</v>
      </c>
      <c r="Z102" s="158">
        <v>36</v>
      </c>
      <c r="AA102" s="52">
        <v>5244</v>
      </c>
      <c r="AB102" s="213">
        <v>188127066</v>
      </c>
      <c r="AC102" s="43"/>
      <c r="AD102" s="4"/>
      <c r="AE102" s="4"/>
      <c r="AF102" s="4"/>
      <c r="AG102" s="5"/>
      <c r="AH102" s="6"/>
      <c r="AI102" s="6"/>
      <c r="AJ102" s="6"/>
      <c r="AK102" s="7"/>
      <c r="AL102" s="5"/>
      <c r="AM102" s="6"/>
      <c r="AN102" s="6"/>
      <c r="AO102" s="6"/>
      <c r="AP102" s="7"/>
      <c r="AQ102" s="5"/>
      <c r="AR102" s="6"/>
      <c r="AS102" s="6"/>
      <c r="AT102" s="6"/>
      <c r="AU102" s="7"/>
    </row>
    <row r="103" spans="1:257" ht="16.5" customHeight="1" x14ac:dyDescent="0.3">
      <c r="A103" s="211">
        <v>88</v>
      </c>
      <c r="B103" s="164" t="s">
        <v>85</v>
      </c>
      <c r="C103" s="110" t="s">
        <v>132</v>
      </c>
      <c r="D103" s="44"/>
      <c r="E103" s="44"/>
      <c r="F103" s="89">
        <v>3460396055.5300002</v>
      </c>
      <c r="G103" s="44">
        <v>344975211.01999998</v>
      </c>
      <c r="H103" s="44">
        <v>26522225000</v>
      </c>
      <c r="I103" s="44"/>
      <c r="J103" s="44">
        <v>30350151054.130001</v>
      </c>
      <c r="K103" s="44">
        <v>140466164.49000001</v>
      </c>
      <c r="L103" s="94">
        <v>34017160.670000002</v>
      </c>
      <c r="M103" s="54">
        <v>106449003.81999999</v>
      </c>
      <c r="N103" s="44">
        <v>30575506234.09</v>
      </c>
      <c r="O103" s="44">
        <v>160738309.93000001</v>
      </c>
      <c r="P103" s="146">
        <v>31270996106.48</v>
      </c>
      <c r="Q103" s="48">
        <f t="shared" si="49"/>
        <v>0.76169440165881497</v>
      </c>
      <c r="R103" s="57">
        <v>30414767924.16</v>
      </c>
      <c r="S103" s="48">
        <f t="shared" si="50"/>
        <v>0.75537768831103635</v>
      </c>
      <c r="T103" s="49">
        <f>((R103-P103)/P103)</f>
        <v>-2.7380905277352884E-2</v>
      </c>
      <c r="U103" s="116">
        <f>(L103/R103)</f>
        <v>1.1184422236862916E-3</v>
      </c>
      <c r="V103" s="50">
        <f>M103/R103</f>
        <v>3.4999117562045288E-3</v>
      </c>
      <c r="W103" s="51">
        <f>R103/AB103</f>
        <v>11.398686648466356</v>
      </c>
      <c r="X103" s="51">
        <f>M103/AB103</f>
        <v>3.9894397406258997E-2</v>
      </c>
      <c r="Y103" s="44">
        <v>11.4</v>
      </c>
      <c r="Z103" s="44">
        <v>11.4</v>
      </c>
      <c r="AA103" s="52">
        <v>28836</v>
      </c>
      <c r="AB103" s="213">
        <v>2668269500</v>
      </c>
      <c r="AC103" s="43"/>
      <c r="AD103" s="4"/>
      <c r="AE103" s="4"/>
      <c r="AF103" s="4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257" ht="16.5" customHeight="1" x14ac:dyDescent="0.3">
      <c r="A104" s="211">
        <v>89</v>
      </c>
      <c r="B104" s="160" t="s">
        <v>31</v>
      </c>
      <c r="C104" s="110" t="s">
        <v>133</v>
      </c>
      <c r="D104" s="101"/>
      <c r="E104" s="101"/>
      <c r="F104" s="102">
        <v>7637452117</v>
      </c>
      <c r="G104" s="101"/>
      <c r="H104" s="101"/>
      <c r="I104" s="101"/>
      <c r="J104" s="102">
        <v>7637452117</v>
      </c>
      <c r="K104" s="102">
        <v>55127133</v>
      </c>
      <c r="L104" s="108">
        <v>3821311</v>
      </c>
      <c r="M104" s="91">
        <v>51305822</v>
      </c>
      <c r="N104" s="77">
        <v>7637560713</v>
      </c>
      <c r="O104" s="61">
        <v>170127976</v>
      </c>
      <c r="P104" s="146">
        <v>7416126915</v>
      </c>
      <c r="Q104" s="48">
        <f t="shared" si="49"/>
        <v>0.18064094709078374</v>
      </c>
      <c r="R104" s="57">
        <v>7467432737</v>
      </c>
      <c r="S104" s="48">
        <f t="shared" si="50"/>
        <v>0.18546030311848916</v>
      </c>
      <c r="T104" s="49">
        <f>((R104-P104)/P104)</f>
        <v>6.9181423926588772E-3</v>
      </c>
      <c r="U104" s="116">
        <f>(L104/R104)</f>
        <v>5.1173022035618508E-4</v>
      </c>
      <c r="V104" s="50">
        <f>M104/R104</f>
        <v>6.8706105306831104E-3</v>
      </c>
      <c r="W104" s="51">
        <f>R104/AB104</f>
        <v>100.70711715441672</v>
      </c>
      <c r="X104" s="51">
        <f>M104/AB104</f>
        <v>0.69191937963587324</v>
      </c>
      <c r="Y104" s="44">
        <v>100.71</v>
      </c>
      <c r="Z104" s="44">
        <v>100.71</v>
      </c>
      <c r="AA104" s="52">
        <v>59</v>
      </c>
      <c r="AB104" s="229">
        <v>74150000</v>
      </c>
      <c r="AC104" s="13"/>
      <c r="AD104" s="4"/>
      <c r="AE104" s="4"/>
      <c r="AF104" s="4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257" ht="16.5" customHeight="1" x14ac:dyDescent="0.3">
      <c r="A105" s="234"/>
      <c r="B105" s="83"/>
      <c r="C105" s="68" t="s">
        <v>54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166"/>
      <c r="N105" s="69"/>
      <c r="O105" s="69"/>
      <c r="P105" s="165">
        <f t="shared" ref="P105" si="51">SUM(P101:P104)</f>
        <v>41054517452.639999</v>
      </c>
      <c r="Q105" s="167">
        <f>(P105/$P$146)</f>
        <v>3.228227128006135E-2</v>
      </c>
      <c r="R105" s="70">
        <f>SUM(R101:R104)</f>
        <v>40264318624.720001</v>
      </c>
      <c r="S105" s="167">
        <f>(R105/$R$146)</f>
        <v>3.1270494401046386E-2</v>
      </c>
      <c r="T105" s="71">
        <f>((R105-P105)/P105)</f>
        <v>-1.9247548794881393E-2</v>
      </c>
      <c r="U105" s="98"/>
      <c r="V105" s="72"/>
      <c r="W105" s="73"/>
      <c r="X105" s="73"/>
      <c r="Y105" s="69"/>
      <c r="Z105" s="69"/>
      <c r="AA105" s="74">
        <f>SUM(AA101:AA104)</f>
        <v>36787</v>
      </c>
      <c r="AB105" s="223"/>
      <c r="AC105" s="1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257" ht="16.5" customHeight="1" x14ac:dyDescent="0.3">
      <c r="A106" s="282" t="s">
        <v>207</v>
      </c>
      <c r="B106" s="280"/>
      <c r="C106" s="2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163"/>
      <c r="Q106" s="49"/>
      <c r="R106" s="84"/>
      <c r="S106" s="49"/>
      <c r="T106" s="49"/>
      <c r="U106" s="49"/>
      <c r="V106" s="85"/>
      <c r="W106" s="86"/>
      <c r="X106" s="86"/>
      <c r="Y106" s="84"/>
      <c r="Z106" s="84"/>
      <c r="AA106" s="84"/>
      <c r="AB106" s="227"/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257" ht="16.5" customHeight="1" x14ac:dyDescent="0.3">
      <c r="A107" s="211">
        <v>90</v>
      </c>
      <c r="B107" s="160" t="s">
        <v>25</v>
      </c>
      <c r="C107" s="110" t="s">
        <v>134</v>
      </c>
      <c r="D107" s="44">
        <v>779993084.60000002</v>
      </c>
      <c r="E107" s="44"/>
      <c r="F107" s="44">
        <v>433299279.27999997</v>
      </c>
      <c r="G107" s="44">
        <v>349793987.29000002</v>
      </c>
      <c r="H107" s="55"/>
      <c r="I107" s="53"/>
      <c r="J107" s="53">
        <v>1563286856.3199999</v>
      </c>
      <c r="K107" s="53">
        <v>22719663.59</v>
      </c>
      <c r="L107" s="44">
        <v>3090401.09</v>
      </c>
      <c r="M107" s="54">
        <v>13602715.43</v>
      </c>
      <c r="N107" s="44">
        <v>1815747704.6900001</v>
      </c>
      <c r="O107" s="44">
        <v>5830344.3799999999</v>
      </c>
      <c r="P107" s="146">
        <v>1667682575.21</v>
      </c>
      <c r="Q107" s="48">
        <f>(P107/$P$146)</f>
        <v>1.3113436630710804E-3</v>
      </c>
      <c r="R107" s="144">
        <v>1809917360.3099999</v>
      </c>
      <c r="S107" s="48">
        <f t="shared" ref="S107:S128" si="52">(R107/$R$129)</f>
        <v>6.0898175197072905E-2</v>
      </c>
      <c r="T107" s="49">
        <f t="shared" ref="T107:T129" si="53">((R107-P107)/P107)</f>
        <v>8.5288883636677221E-2</v>
      </c>
      <c r="U107" s="116">
        <f t="shared" ref="U107:U125" si="54">(L107/R107)</f>
        <v>1.707481876117637E-3</v>
      </c>
      <c r="V107" s="50">
        <f t="shared" ref="V107:V128" si="55">M107/R107</f>
        <v>7.515655536709227E-3</v>
      </c>
      <c r="W107" s="51">
        <f t="shared" ref="W107:W128" si="56">R107/AB107</f>
        <v>3434.7537042189047</v>
      </c>
      <c r="X107" s="51">
        <f>M107/AB107</f>
        <v>25.814425694345339</v>
      </c>
      <c r="Y107" s="44">
        <v>3415.14</v>
      </c>
      <c r="Z107" s="44">
        <v>3445.49</v>
      </c>
      <c r="AA107" s="52">
        <v>1279</v>
      </c>
      <c r="AB107" s="213">
        <v>526942.4</v>
      </c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257" ht="16.5" customHeight="1" x14ac:dyDescent="0.3">
      <c r="A108" s="211">
        <v>91</v>
      </c>
      <c r="B108" s="160" t="s">
        <v>31</v>
      </c>
      <c r="C108" s="110" t="s">
        <v>196</v>
      </c>
      <c r="D108" s="101">
        <v>192449028.90000001</v>
      </c>
      <c r="E108" s="101"/>
      <c r="F108" s="101">
        <v>27712787.710000001</v>
      </c>
      <c r="G108" s="113">
        <v>52000000</v>
      </c>
      <c r="H108" s="101"/>
      <c r="I108" s="206"/>
      <c r="J108" s="101">
        <v>193340969.31999999</v>
      </c>
      <c r="K108" s="101">
        <v>805218.03</v>
      </c>
      <c r="L108" s="101">
        <v>355783.75</v>
      </c>
      <c r="M108" s="54">
        <v>449434.28</v>
      </c>
      <c r="N108" s="95">
        <v>192449028.90000001</v>
      </c>
      <c r="O108" s="44">
        <v>891940.41500000004</v>
      </c>
      <c r="P108" s="146">
        <v>188440268.49000001</v>
      </c>
      <c r="Q108" s="48">
        <f t="shared" ref="Q108:Q128" si="57">(P108/$P$146)</f>
        <v>1.4817565142494676E-4</v>
      </c>
      <c r="R108" s="144">
        <v>192444198.75</v>
      </c>
      <c r="S108" s="48">
        <f t="shared" si="52"/>
        <v>6.4751578100397467E-3</v>
      </c>
      <c r="T108" s="49">
        <f t="shared" si="53"/>
        <v>2.1247742279737133E-2</v>
      </c>
      <c r="U108" s="116">
        <f t="shared" si="54"/>
        <v>1.848763185957041E-3</v>
      </c>
      <c r="V108" s="50">
        <f t="shared" si="55"/>
        <v>2.3354005104817433E-3</v>
      </c>
      <c r="W108" s="51">
        <f t="shared" si="56"/>
        <v>143.25</v>
      </c>
      <c r="X108" s="51">
        <f t="shared" ref="X108:X128" si="58">M108/AB108</f>
        <v>0.33454612312650972</v>
      </c>
      <c r="Y108" s="44">
        <v>141.69</v>
      </c>
      <c r="Z108" s="44">
        <v>143.35</v>
      </c>
      <c r="AA108" s="55">
        <v>724</v>
      </c>
      <c r="AB108" s="213">
        <v>1343415</v>
      </c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</row>
    <row r="109" spans="1:257" ht="16.5" customHeight="1" x14ac:dyDescent="0.3">
      <c r="A109" s="211">
        <v>92</v>
      </c>
      <c r="B109" s="160" t="s">
        <v>35</v>
      </c>
      <c r="C109" s="110" t="s">
        <v>135</v>
      </c>
      <c r="D109" s="101">
        <v>463240804.85000002</v>
      </c>
      <c r="E109" s="101"/>
      <c r="F109" s="101"/>
      <c r="G109" s="101">
        <v>300548975</v>
      </c>
      <c r="H109" s="101"/>
      <c r="I109" s="101"/>
      <c r="J109" s="101">
        <v>838075715</v>
      </c>
      <c r="K109" s="101">
        <v>5325479</v>
      </c>
      <c r="L109" s="101">
        <v>1721769</v>
      </c>
      <c r="M109" s="96">
        <v>21004468</v>
      </c>
      <c r="N109" s="44">
        <v>1034990110</v>
      </c>
      <c r="O109" s="44">
        <v>80180097</v>
      </c>
      <c r="P109" s="146">
        <v>933953795.86000001</v>
      </c>
      <c r="Q109" s="48">
        <f t="shared" si="57"/>
        <v>7.3439298941404955E-4</v>
      </c>
      <c r="R109" s="144">
        <v>954810013.44000006</v>
      </c>
      <c r="S109" s="48">
        <f t="shared" si="52"/>
        <v>3.2126432263420837E-2</v>
      </c>
      <c r="T109" s="49">
        <f t="shared" si="53"/>
        <v>2.2331102108531283E-2</v>
      </c>
      <c r="U109" s="116">
        <f t="shared" si="54"/>
        <v>1.8032582144763979E-3</v>
      </c>
      <c r="V109" s="50">
        <f t="shared" si="55"/>
        <v>2.1998583701824483E-2</v>
      </c>
      <c r="W109" s="51">
        <f t="shared" si="56"/>
        <v>1.3543096201245894</v>
      </c>
      <c r="X109" s="51">
        <f t="shared" si="58"/>
        <v>2.97928935364969E-2</v>
      </c>
      <c r="Y109" s="44">
        <v>1.35</v>
      </c>
      <c r="Z109" s="44">
        <v>1.37</v>
      </c>
      <c r="AA109" s="52">
        <v>1323</v>
      </c>
      <c r="AB109" s="213">
        <v>705016046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</row>
    <row r="110" spans="1:257" ht="16.5" customHeight="1" x14ac:dyDescent="0.3">
      <c r="A110" s="211">
        <v>93</v>
      </c>
      <c r="B110" s="164" t="s">
        <v>37</v>
      </c>
      <c r="C110" s="110" t="s">
        <v>173</v>
      </c>
      <c r="D110" s="101">
        <v>2565822202.1999998</v>
      </c>
      <c r="E110" s="105"/>
      <c r="F110" s="101">
        <v>311571305.06</v>
      </c>
      <c r="G110" s="101">
        <v>679780509.59000003</v>
      </c>
      <c r="H110" s="101">
        <v>58000000</v>
      </c>
      <c r="I110" s="101"/>
      <c r="J110" s="102">
        <v>3615174016.8499999</v>
      </c>
      <c r="K110" s="102">
        <v>19794532.699999999</v>
      </c>
      <c r="L110" s="103">
        <v>10976075.08</v>
      </c>
      <c r="M110" s="82">
        <v>134612860.41999999</v>
      </c>
      <c r="N110" s="44">
        <v>4679680100</v>
      </c>
      <c r="O110" s="44">
        <v>86967200</v>
      </c>
      <c r="P110" s="146">
        <v>4470757845</v>
      </c>
      <c r="Q110" s="48">
        <f t="shared" si="57"/>
        <v>3.5154771395436686E-3</v>
      </c>
      <c r="R110" s="144">
        <v>4592712899</v>
      </c>
      <c r="S110" s="48">
        <f t="shared" si="52"/>
        <v>0.15453072106300703</v>
      </c>
      <c r="T110" s="49">
        <f t="shared" si="53"/>
        <v>2.7278385058674543E-2</v>
      </c>
      <c r="U110" s="116">
        <f t="shared" si="54"/>
        <v>2.3898892269947659E-3</v>
      </c>
      <c r="V110" s="50">
        <f t="shared" si="55"/>
        <v>2.9310096968898292E-2</v>
      </c>
      <c r="W110" s="51">
        <f t="shared" si="56"/>
        <v>452.46909574905658</v>
      </c>
      <c r="X110" s="51">
        <f t="shared" si="58"/>
        <v>13.261913071834574</v>
      </c>
      <c r="Y110" s="44">
        <v>438.42</v>
      </c>
      <c r="Z110" s="44">
        <v>451.64</v>
      </c>
      <c r="AA110" s="79">
        <v>35652</v>
      </c>
      <c r="AB110" s="213">
        <v>10150335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</row>
    <row r="111" spans="1:257" ht="16.5" customHeight="1" x14ac:dyDescent="0.3">
      <c r="A111" s="211">
        <v>94</v>
      </c>
      <c r="B111" s="160" t="s">
        <v>77</v>
      </c>
      <c r="C111" s="110" t="s">
        <v>219</v>
      </c>
      <c r="D111" s="137">
        <v>1052687489.35</v>
      </c>
      <c r="E111" s="137"/>
      <c r="F111" s="137">
        <v>357589107.64999998</v>
      </c>
      <c r="G111" s="137">
        <v>1074491299.6700001</v>
      </c>
      <c r="H111" s="137"/>
      <c r="I111" s="101"/>
      <c r="J111" s="101">
        <v>2484767896.6700001</v>
      </c>
      <c r="K111" s="101">
        <v>11841417.960000001</v>
      </c>
      <c r="L111" s="101">
        <v>25228498.98</v>
      </c>
      <c r="M111" s="54">
        <v>11316375.289999999</v>
      </c>
      <c r="N111" s="44">
        <v>2514984541.2199998</v>
      </c>
      <c r="O111" s="97">
        <v>61377982.369999997</v>
      </c>
      <c r="P111" s="146">
        <v>2431066425.3099999</v>
      </c>
      <c r="Q111" s="48">
        <f t="shared" si="57"/>
        <v>1.9116129164650495E-3</v>
      </c>
      <c r="R111" s="144">
        <v>2453606558.8499999</v>
      </c>
      <c r="S111" s="48">
        <f t="shared" si="52"/>
        <v>8.2556345036627524E-2</v>
      </c>
      <c r="T111" s="49">
        <f t="shared" si="53"/>
        <v>9.2717061555098127E-3</v>
      </c>
      <c r="U111" s="116">
        <f t="shared" si="54"/>
        <v>1.0282210442013386E-2</v>
      </c>
      <c r="V111" s="50">
        <f t="shared" si="55"/>
        <v>4.6121393216783544E-3</v>
      </c>
      <c r="W111" s="51">
        <f t="shared" si="56"/>
        <v>13.153383345611084</v>
      </c>
      <c r="X111" s="51">
        <f t="shared" si="58"/>
        <v>6.0665236541402066E-2</v>
      </c>
      <c r="Y111" s="44">
        <v>13.1534</v>
      </c>
      <c r="Z111" s="44">
        <v>13.271599999999999</v>
      </c>
      <c r="AA111" s="52">
        <v>6456</v>
      </c>
      <c r="AB111" s="213">
        <v>186538055.97999999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</row>
    <row r="112" spans="1:257" ht="16.5" customHeight="1" x14ac:dyDescent="0.3">
      <c r="A112" s="211">
        <v>95</v>
      </c>
      <c r="B112" s="164" t="s">
        <v>57</v>
      </c>
      <c r="C112" s="107" t="s">
        <v>138</v>
      </c>
      <c r="D112" s="101">
        <v>1875325883.3499999</v>
      </c>
      <c r="E112" s="101"/>
      <c r="F112" s="101">
        <v>903065515.51999998</v>
      </c>
      <c r="G112" s="101">
        <v>1313750724.1700001</v>
      </c>
      <c r="H112" s="101"/>
      <c r="I112" s="101"/>
      <c r="J112" s="101">
        <v>4212938814.8499999</v>
      </c>
      <c r="K112" s="101">
        <v>58346908.93</v>
      </c>
      <c r="L112" s="103">
        <v>9512740.0299999993</v>
      </c>
      <c r="M112" s="54">
        <v>135543924.44</v>
      </c>
      <c r="N112" s="44">
        <v>4231818073.5599999</v>
      </c>
      <c r="O112" s="53">
        <v>18879258.710000001</v>
      </c>
      <c r="P112" s="146">
        <v>4150224604.1999998</v>
      </c>
      <c r="Q112" s="48">
        <f t="shared" si="57"/>
        <v>3.2634332312035052E-3</v>
      </c>
      <c r="R112" s="144">
        <v>4212938814.8499999</v>
      </c>
      <c r="S112" s="48">
        <f t="shared" si="52"/>
        <v>0.14175248642144672</v>
      </c>
      <c r="T112" s="49">
        <f t="shared" ref="T112:T121" si="59">((R112-P112)/P112)</f>
        <v>1.5111040155883064E-2</v>
      </c>
      <c r="U112" s="116">
        <f t="shared" ref="U112:U121" si="60">(L112/R112)</f>
        <v>2.2579820045021699E-3</v>
      </c>
      <c r="V112" s="50">
        <f>M112/R112</f>
        <v>3.2173247796105482E-2</v>
      </c>
      <c r="W112" s="51">
        <f t="shared" ref="W112:W121" si="61">R112/AB112</f>
        <v>197.92218632235264</v>
      </c>
      <c r="X112" s="51">
        <f>M112/AB112</f>
        <v>6.3677995448960107</v>
      </c>
      <c r="Y112" s="44">
        <v>197.92</v>
      </c>
      <c r="Z112" s="44">
        <v>199.38</v>
      </c>
      <c r="AA112" s="52">
        <f>54+5378</f>
        <v>5432</v>
      </c>
      <c r="AB112" s="213">
        <v>21285834.059999999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</row>
    <row r="113" spans="1:257" ht="16.5" customHeight="1" x14ac:dyDescent="0.3">
      <c r="A113" s="211">
        <v>96</v>
      </c>
      <c r="B113" s="160" t="s">
        <v>90</v>
      </c>
      <c r="C113" s="118" t="s">
        <v>139</v>
      </c>
      <c r="D113" s="101">
        <v>3065041701.1500001</v>
      </c>
      <c r="E113" s="101"/>
      <c r="F113" s="102">
        <v>425871808.75</v>
      </c>
      <c r="G113" s="101">
        <v>1081941621.3699999</v>
      </c>
      <c r="H113" s="101"/>
      <c r="I113" s="101"/>
      <c r="J113" s="101">
        <v>4733636506.2700005</v>
      </c>
      <c r="K113" s="101">
        <v>24475796.91</v>
      </c>
      <c r="L113" s="101">
        <v>7052241.4900000002</v>
      </c>
      <c r="M113" s="46">
        <v>336347346.26999998</v>
      </c>
      <c r="N113" s="44">
        <v>5446944000.04</v>
      </c>
      <c r="O113" s="44">
        <v>147033893.30000001</v>
      </c>
      <c r="P113" s="146">
        <v>4961459066.96</v>
      </c>
      <c r="Q113" s="48">
        <f t="shared" si="57"/>
        <v>3.9013287083276456E-3</v>
      </c>
      <c r="R113" s="144">
        <v>5299910106.7399998</v>
      </c>
      <c r="S113" s="48">
        <f t="shared" si="52"/>
        <v>0.17832574088007472</v>
      </c>
      <c r="T113" s="49">
        <f t="shared" si="59"/>
        <v>6.8216029843692016E-2</v>
      </c>
      <c r="U113" s="116">
        <f t="shared" si="60"/>
        <v>1.3306341707629203E-3</v>
      </c>
      <c r="V113" s="50">
        <f>M113/R113</f>
        <v>6.3462839839917365E-2</v>
      </c>
      <c r="W113" s="51">
        <f t="shared" si="61"/>
        <v>183.46973697540093</v>
      </c>
      <c r="X113" s="51">
        <f>M113/AB113</f>
        <v>11.643510533141635</v>
      </c>
      <c r="Y113" s="44">
        <v>181.2415</v>
      </c>
      <c r="Z113" s="44">
        <v>184.90209999999999</v>
      </c>
      <c r="AA113" s="52">
        <v>25</v>
      </c>
      <c r="AB113" s="217">
        <v>28887108</v>
      </c>
      <c r="AC113" s="13"/>
      <c r="AD113" s="4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</row>
    <row r="114" spans="1:257" ht="16.5" customHeight="1" x14ac:dyDescent="0.3">
      <c r="A114" s="211">
        <v>97</v>
      </c>
      <c r="B114" s="160" t="s">
        <v>85</v>
      </c>
      <c r="C114" s="160" t="s">
        <v>192</v>
      </c>
      <c r="D114" s="154">
        <v>956724919.74000001</v>
      </c>
      <c r="E114" s="154"/>
      <c r="F114" s="154">
        <v>588302851.40999997</v>
      </c>
      <c r="G114" s="154">
        <v>637550151.63999999</v>
      </c>
      <c r="H114" s="154"/>
      <c r="I114" s="154"/>
      <c r="J114" s="154">
        <v>2182577922.79</v>
      </c>
      <c r="K114" s="154">
        <v>12339449.970000001</v>
      </c>
      <c r="L114" s="154">
        <v>5514875.9800000004</v>
      </c>
      <c r="M114" s="203">
        <v>6824573.9900000002</v>
      </c>
      <c r="N114" s="196">
        <v>2184092914.1399999</v>
      </c>
      <c r="O114" s="196">
        <v>25569568.039999999</v>
      </c>
      <c r="P114" s="146">
        <v>2061820434.52</v>
      </c>
      <c r="Q114" s="48">
        <f t="shared" si="57"/>
        <v>1.6212648626239905E-3</v>
      </c>
      <c r="R114" s="144">
        <v>2158523373.0999999</v>
      </c>
      <c r="S114" s="48">
        <f t="shared" si="52"/>
        <v>7.2627699708624247E-2</v>
      </c>
      <c r="T114" s="49">
        <f t="shared" si="59"/>
        <v>4.6901726726999264E-2</v>
      </c>
      <c r="U114" s="116">
        <f t="shared" si="60"/>
        <v>2.5549299343836699E-3</v>
      </c>
      <c r="V114" s="50">
        <f>M114/R114</f>
        <v>3.1616863986970744E-3</v>
      </c>
      <c r="W114" s="51">
        <f t="shared" si="61"/>
        <v>3944.8422775563895</v>
      </c>
      <c r="X114" s="51">
        <f>M114/AB114</f>
        <v>12.472354173955226</v>
      </c>
      <c r="Y114" s="44">
        <v>3914.24</v>
      </c>
      <c r="Z114" s="44">
        <v>3970.2</v>
      </c>
      <c r="AA114" s="52">
        <v>798</v>
      </c>
      <c r="AB114" s="213">
        <v>547176.09</v>
      </c>
      <c r="AC114" s="13"/>
      <c r="AD114" s="4"/>
      <c r="AE114" s="4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</row>
    <row r="115" spans="1:257" ht="16.5" customHeight="1" x14ac:dyDescent="0.3">
      <c r="A115" s="211">
        <v>98</v>
      </c>
      <c r="B115" s="160" t="s">
        <v>81</v>
      </c>
      <c r="C115" s="76" t="s">
        <v>198</v>
      </c>
      <c r="D115" s="102">
        <v>934670195</v>
      </c>
      <c r="E115" s="102"/>
      <c r="F115" s="102"/>
      <c r="G115" s="102">
        <v>605562044.52999997</v>
      </c>
      <c r="H115" s="102"/>
      <c r="I115" s="101"/>
      <c r="J115" s="102">
        <v>1751730053.53</v>
      </c>
      <c r="K115" s="102">
        <v>78615574.030000001</v>
      </c>
      <c r="L115" s="101">
        <v>5809958.0199999996</v>
      </c>
      <c r="M115" s="54">
        <v>72805616.010000005</v>
      </c>
      <c r="N115" s="44">
        <v>1770620562</v>
      </c>
      <c r="O115" s="45">
        <v>94919620</v>
      </c>
      <c r="P115" s="146">
        <v>1852261500</v>
      </c>
      <c r="Q115" s="48">
        <f t="shared" si="57"/>
        <v>1.4564830360895703E-3</v>
      </c>
      <c r="R115" s="144">
        <v>1675700942</v>
      </c>
      <c r="S115" s="48">
        <f t="shared" si="52"/>
        <v>5.6382203840697802E-2</v>
      </c>
      <c r="T115" s="49">
        <f t="shared" si="59"/>
        <v>-9.5321615225495968E-2</v>
      </c>
      <c r="U115" s="116">
        <f t="shared" si="60"/>
        <v>3.467180732777794E-3</v>
      </c>
      <c r="V115" s="50">
        <f>M115/R115</f>
        <v>4.3447857660749593E-2</v>
      </c>
      <c r="W115" s="51">
        <f t="shared" si="61"/>
        <v>1.0385186090577962</v>
      </c>
      <c r="X115" s="51">
        <f>M115/AB115</f>
        <v>4.5121408704382776E-2</v>
      </c>
      <c r="Y115" s="58">
        <v>1.2</v>
      </c>
      <c r="Z115" s="44">
        <v>1.22</v>
      </c>
      <c r="AA115" s="79">
        <v>10345</v>
      </c>
      <c r="AB115" s="230">
        <v>1613549268.53</v>
      </c>
      <c r="AC115" s="13"/>
      <c r="AD115" s="4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</row>
    <row r="116" spans="1:257" ht="16.5" customHeight="1" x14ac:dyDescent="0.3">
      <c r="A116" s="211">
        <v>99</v>
      </c>
      <c r="B116" s="164" t="s">
        <v>29</v>
      </c>
      <c r="C116" s="110" t="s">
        <v>141</v>
      </c>
      <c r="D116" s="102">
        <v>269936560</v>
      </c>
      <c r="E116" s="102"/>
      <c r="F116" s="102">
        <v>921076753.07000005</v>
      </c>
      <c r="G116" s="102"/>
      <c r="H116" s="101"/>
      <c r="I116" s="101"/>
      <c r="J116" s="102">
        <v>1191013313.0699999</v>
      </c>
      <c r="K116" s="102">
        <v>14120488.23</v>
      </c>
      <c r="L116" s="102">
        <v>1924478.79</v>
      </c>
      <c r="M116" s="46">
        <v>12196009.439999999</v>
      </c>
      <c r="N116" s="132" t="s">
        <v>190</v>
      </c>
      <c r="O116" s="132" t="s">
        <v>191</v>
      </c>
      <c r="P116" s="146">
        <v>1187790270.1500001</v>
      </c>
      <c r="Q116" s="48">
        <f t="shared" si="57"/>
        <v>9.3399143636345254E-4</v>
      </c>
      <c r="R116" s="144">
        <v>1155771966.8699999</v>
      </c>
      <c r="S116" s="48">
        <f t="shared" si="52"/>
        <v>3.8888186427616482E-2</v>
      </c>
      <c r="T116" s="49">
        <f t="shared" si="59"/>
        <v>-2.6956192591101776E-2</v>
      </c>
      <c r="U116" s="116">
        <f t="shared" si="60"/>
        <v>1.6651024987323158E-3</v>
      </c>
      <c r="V116" s="50">
        <f>M116/R116</f>
        <v>1.0552262721018042E-2</v>
      </c>
      <c r="W116" s="51">
        <f t="shared" si="61"/>
        <v>1549.3960277096319</v>
      </c>
      <c r="X116" s="51">
        <f>M116/AB116</f>
        <v>16.349633943293785</v>
      </c>
      <c r="Y116" s="44">
        <v>552.20000000000005</v>
      </c>
      <c r="Z116" s="44">
        <v>552.20000000000005</v>
      </c>
      <c r="AA116" s="52">
        <v>830</v>
      </c>
      <c r="AB116" s="235">
        <v>745950</v>
      </c>
      <c r="AC116" s="13"/>
      <c r="AD116" s="4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</row>
    <row r="117" spans="1:257" ht="16.5" customHeight="1" x14ac:dyDescent="0.3">
      <c r="A117" s="211">
        <v>100</v>
      </c>
      <c r="B117" s="164" t="s">
        <v>46</v>
      </c>
      <c r="C117" s="110" t="s">
        <v>145</v>
      </c>
      <c r="D117" s="102">
        <v>1138735563.0999999</v>
      </c>
      <c r="E117" s="101"/>
      <c r="F117" s="102">
        <v>410028070.85000002</v>
      </c>
      <c r="G117" s="102">
        <v>549016082.64999998</v>
      </c>
      <c r="H117" s="101"/>
      <c r="I117" s="101"/>
      <c r="J117" s="101">
        <v>2221779716.5700002</v>
      </c>
      <c r="K117" s="101">
        <v>13379093.74</v>
      </c>
      <c r="L117" s="101">
        <v>3964437.94</v>
      </c>
      <c r="M117" s="54">
        <v>52800590.149999999</v>
      </c>
      <c r="N117" s="44">
        <v>2233143674.8099999</v>
      </c>
      <c r="O117" s="44">
        <v>87238119.609999999</v>
      </c>
      <c r="P117" s="146">
        <v>2094684268.1500001</v>
      </c>
      <c r="Q117" s="48">
        <f t="shared" si="57"/>
        <v>1.6471065789167307E-3</v>
      </c>
      <c r="R117" s="144">
        <v>2145905555.1900001</v>
      </c>
      <c r="S117" s="48">
        <f t="shared" si="52"/>
        <v>7.2203148785726687E-2</v>
      </c>
      <c r="T117" s="49">
        <f t="shared" si="59"/>
        <v>2.4452986934034686E-2</v>
      </c>
      <c r="U117" s="116">
        <f t="shared" si="60"/>
        <v>1.8474428804248963E-3</v>
      </c>
      <c r="V117" s="50" t="e">
        <f>#REF!/R117</f>
        <v>#REF!</v>
      </c>
      <c r="W117" s="51">
        <f t="shared" si="61"/>
        <v>3.0731983945091015</v>
      </c>
      <c r="X117" s="51" t="e">
        <f>#REF!/AB117</f>
        <v>#REF!</v>
      </c>
      <c r="Y117" s="44">
        <v>2.9</v>
      </c>
      <c r="Z117" s="44">
        <v>2.96</v>
      </c>
      <c r="AA117" s="52">
        <v>2029</v>
      </c>
      <c r="AB117" s="213">
        <v>698264569.90999997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</row>
    <row r="118" spans="1:257" ht="16.5" customHeight="1" x14ac:dyDescent="0.3">
      <c r="A118" s="211">
        <v>101</v>
      </c>
      <c r="B118" s="164" t="s">
        <v>48</v>
      </c>
      <c r="C118" s="107" t="s">
        <v>146</v>
      </c>
      <c r="D118" s="101">
        <v>79999304.25</v>
      </c>
      <c r="E118" s="101"/>
      <c r="F118" s="101">
        <v>31558843.82</v>
      </c>
      <c r="G118" s="101">
        <v>50522380.880000003</v>
      </c>
      <c r="H118" s="101"/>
      <c r="I118" s="101"/>
      <c r="J118" s="101">
        <v>130521685.03</v>
      </c>
      <c r="K118" s="101">
        <v>721032.19</v>
      </c>
      <c r="L118" s="101">
        <v>173625.52</v>
      </c>
      <c r="M118" s="54">
        <v>547406.67000000004</v>
      </c>
      <c r="N118" s="44">
        <v>164658230.55000001</v>
      </c>
      <c r="O118" s="44">
        <v>2743090.84</v>
      </c>
      <c r="P118" s="146">
        <v>153425974.52000001</v>
      </c>
      <c r="Q118" s="48">
        <f t="shared" si="57"/>
        <v>1.2064297032783474E-4</v>
      </c>
      <c r="R118" s="144">
        <v>161915139.71000001</v>
      </c>
      <c r="S118" s="48">
        <f t="shared" si="52"/>
        <v>5.4479484872332808E-3</v>
      </c>
      <c r="T118" s="49">
        <f t="shared" si="59"/>
        <v>5.5330691016033814E-2</v>
      </c>
      <c r="U118" s="116">
        <f t="shared" si="60"/>
        <v>1.0723241835876125E-3</v>
      </c>
      <c r="V118" s="50">
        <f>M117/R118</f>
        <v>0.32610038965206778</v>
      </c>
      <c r="W118" s="51">
        <f t="shared" si="61"/>
        <v>1.5987366807768895</v>
      </c>
      <c r="X118" s="51">
        <f>M117/AB118</f>
        <v>0.52134865455239721</v>
      </c>
      <c r="Y118" s="44">
        <v>1.5987</v>
      </c>
      <c r="Z118" s="44">
        <v>1.6257999999999999</v>
      </c>
      <c r="AA118" s="52">
        <v>99</v>
      </c>
      <c r="AB118" s="217">
        <v>101276928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</row>
    <row r="119" spans="1:257" ht="16.5" customHeight="1" x14ac:dyDescent="0.3">
      <c r="A119" s="211">
        <v>102</v>
      </c>
      <c r="B119" s="160" t="s">
        <v>35</v>
      </c>
      <c r="C119" s="110" t="s">
        <v>140</v>
      </c>
      <c r="D119" s="101">
        <v>261537753</v>
      </c>
      <c r="E119" s="101"/>
      <c r="F119" s="101">
        <v>57607257</v>
      </c>
      <c r="G119" s="101"/>
      <c r="H119" s="101"/>
      <c r="I119" s="101"/>
      <c r="J119" s="101">
        <v>319145010</v>
      </c>
      <c r="K119" s="101">
        <v>2798445</v>
      </c>
      <c r="L119" s="103">
        <v>1041675</v>
      </c>
      <c r="M119" s="54">
        <v>8421099</v>
      </c>
      <c r="N119" s="44">
        <v>585062758</v>
      </c>
      <c r="O119" s="44">
        <v>2956632</v>
      </c>
      <c r="P119" s="146">
        <v>571318670</v>
      </c>
      <c r="Q119" s="48">
        <f t="shared" si="57"/>
        <v>4.4924323647403745E-4</v>
      </c>
      <c r="R119" s="144">
        <v>582106126</v>
      </c>
      <c r="S119" s="48">
        <f t="shared" si="52"/>
        <v>1.9586088084356353E-2</v>
      </c>
      <c r="T119" s="49">
        <f t="shared" si="59"/>
        <v>1.8881679466207536E-2</v>
      </c>
      <c r="U119" s="116">
        <f t="shared" si="60"/>
        <v>1.789493278756527E-3</v>
      </c>
      <c r="V119" s="50">
        <f>M119/R119</f>
        <v>1.4466604324998978E-2</v>
      </c>
      <c r="W119" s="51">
        <f t="shared" si="61"/>
        <v>1.0996740491606216</v>
      </c>
      <c r="X119" s="51">
        <f>M119/AB119</f>
        <v>1.5908549355676187E-2</v>
      </c>
      <c r="Y119" s="44">
        <v>1.1000000000000001</v>
      </c>
      <c r="Z119" s="44">
        <v>1.1200000000000001</v>
      </c>
      <c r="AA119" s="52">
        <v>248</v>
      </c>
      <c r="AB119" s="213">
        <v>529344242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</row>
    <row r="120" spans="1:257" ht="16.5" customHeight="1" x14ac:dyDescent="0.3">
      <c r="A120" s="211">
        <v>103</v>
      </c>
      <c r="B120" s="164" t="s">
        <v>75</v>
      </c>
      <c r="C120" s="160" t="s">
        <v>142</v>
      </c>
      <c r="D120" s="102">
        <v>74830807.299999997</v>
      </c>
      <c r="E120" s="102"/>
      <c r="F120" s="102">
        <v>32073867.75</v>
      </c>
      <c r="G120" s="102">
        <v>3612105.98</v>
      </c>
      <c r="H120" s="101"/>
      <c r="I120" s="101"/>
      <c r="J120" s="102">
        <v>110516781.03</v>
      </c>
      <c r="K120" s="102">
        <v>16326013.939999999</v>
      </c>
      <c r="L120" s="102">
        <v>1151058.81</v>
      </c>
      <c r="M120" s="46">
        <v>1515946.16</v>
      </c>
      <c r="N120" s="45">
        <v>134711500.87</v>
      </c>
      <c r="O120" s="45">
        <v>929964.04</v>
      </c>
      <c r="P120" s="148">
        <v>247695506.59</v>
      </c>
      <c r="Q120" s="48">
        <f t="shared" si="57"/>
        <v>1.9476963887871522E-4</v>
      </c>
      <c r="R120" s="162">
        <v>133781536.83</v>
      </c>
      <c r="S120" s="48">
        <f t="shared" si="52"/>
        <v>4.5013389266632519E-3</v>
      </c>
      <c r="T120" s="49">
        <f t="shared" si="59"/>
        <v>-0.45989518069278917</v>
      </c>
      <c r="U120" s="116">
        <f t="shared" si="60"/>
        <v>8.604018441368955E-3</v>
      </c>
      <c r="V120" s="50">
        <f>M120/R120</f>
        <v>1.1331505048610377E-2</v>
      </c>
      <c r="W120" s="51">
        <f t="shared" si="61"/>
        <v>1.2516214026605348</v>
      </c>
      <c r="X120" s="51">
        <f>M120/AB120</f>
        <v>1.4182754243196651E-2</v>
      </c>
      <c r="Y120" s="44">
        <v>1.2427999999999999</v>
      </c>
      <c r="Z120" s="44">
        <v>1.258</v>
      </c>
      <c r="AA120" s="52">
        <v>87</v>
      </c>
      <c r="AB120" s="235">
        <v>106886584.51000001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</row>
    <row r="121" spans="1:257" ht="16.5" customHeight="1" x14ac:dyDescent="0.3">
      <c r="A121" s="211">
        <v>104</v>
      </c>
      <c r="B121" s="164" t="s">
        <v>66</v>
      </c>
      <c r="C121" s="110" t="s">
        <v>144</v>
      </c>
      <c r="D121" s="102">
        <v>53733906.159999996</v>
      </c>
      <c r="E121" s="102"/>
      <c r="F121" s="102"/>
      <c r="G121" s="102"/>
      <c r="H121" s="101"/>
      <c r="I121" s="101"/>
      <c r="J121" s="102">
        <v>53733906.159999996</v>
      </c>
      <c r="K121" s="102">
        <v>1648772.11</v>
      </c>
      <c r="L121" s="102">
        <v>324167.44</v>
      </c>
      <c r="M121" s="46">
        <v>1324604.67</v>
      </c>
      <c r="N121" s="45">
        <v>224670964.63999999</v>
      </c>
      <c r="O121" s="45">
        <v>3129022.13</v>
      </c>
      <c r="P121" s="146">
        <v>215274046.09</v>
      </c>
      <c r="Q121" s="48">
        <f t="shared" si="57"/>
        <v>1.6927577247621316E-4</v>
      </c>
      <c r="R121" s="144">
        <v>223726580.27000001</v>
      </c>
      <c r="S121" s="48">
        <f t="shared" si="52"/>
        <v>7.527714126788012E-3</v>
      </c>
      <c r="T121" s="49">
        <f t="shared" si="59"/>
        <v>3.926406519282051E-2</v>
      </c>
      <c r="U121" s="116">
        <f t="shared" si="60"/>
        <v>1.4489446877916112E-3</v>
      </c>
      <c r="V121" s="50">
        <f>M121/R121</f>
        <v>5.9206405801287753E-3</v>
      </c>
      <c r="W121" s="51">
        <f t="shared" si="61"/>
        <v>143.74628888222108</v>
      </c>
      <c r="X121" s="51">
        <f>M121/AB121</f>
        <v>0.85107011119899201</v>
      </c>
      <c r="Y121" s="44">
        <v>143.75</v>
      </c>
      <c r="Z121" s="44">
        <v>143.75</v>
      </c>
      <c r="AA121" s="52">
        <v>39</v>
      </c>
      <c r="AB121" s="235">
        <v>1556399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</row>
    <row r="122" spans="1:257" ht="16.5" customHeight="1" x14ac:dyDescent="0.3">
      <c r="A122" s="211">
        <v>105</v>
      </c>
      <c r="B122" s="160" t="s">
        <v>60</v>
      </c>
      <c r="C122" s="160" t="s">
        <v>137</v>
      </c>
      <c r="D122" s="101">
        <v>76982349.379999995</v>
      </c>
      <c r="E122" s="101"/>
      <c r="F122" s="101">
        <v>44894027.25</v>
      </c>
      <c r="G122" s="101">
        <v>34916358.409999996</v>
      </c>
      <c r="H122" s="101"/>
      <c r="I122" s="101"/>
      <c r="J122" s="101">
        <v>158159036.93000001</v>
      </c>
      <c r="K122" s="101">
        <v>1205796.17</v>
      </c>
      <c r="L122" s="101">
        <v>342497.98</v>
      </c>
      <c r="M122" s="54">
        <v>-7861.81</v>
      </c>
      <c r="N122" s="161">
        <f>149152216.86+9006820.07</f>
        <v>158159036.93000001</v>
      </c>
      <c r="O122" s="44">
        <v>9006820.0700000003</v>
      </c>
      <c r="P122" s="146">
        <v>149586022.65000001</v>
      </c>
      <c r="Q122" s="48">
        <f t="shared" si="57"/>
        <v>1.1762351289266404E-4</v>
      </c>
      <c r="R122" s="144">
        <v>149152216.86000001</v>
      </c>
      <c r="S122" s="48">
        <f t="shared" si="52"/>
        <v>5.0185152275772152E-3</v>
      </c>
      <c r="T122" s="49">
        <f t="shared" ref="T122:T123" si="62">((R122-P122)/P122)</f>
        <v>-2.9000422787830013E-3</v>
      </c>
      <c r="U122" s="116">
        <f t="shared" ref="U122:U123" si="63">(L122/R122)</f>
        <v>2.2962982864779121E-3</v>
      </c>
      <c r="V122" s="50">
        <f t="shared" ref="V122:V123" si="64">M122/R122</f>
        <v>-5.2709977535093541E-5</v>
      </c>
      <c r="W122" s="51">
        <f t="shared" ref="W122:W123" si="65">R122/AB122</f>
        <v>3.3883281654365378</v>
      </c>
      <c r="X122" s="51">
        <f t="shared" ref="X122:X123" si="66">M122/AB122</f>
        <v>-1.7859870148168462E-4</v>
      </c>
      <c r="Y122" s="53">
        <v>3.3146</v>
      </c>
      <c r="Z122" s="44">
        <v>3.3748999999999998</v>
      </c>
      <c r="AA122" s="52">
        <v>11820</v>
      </c>
      <c r="AB122" s="213">
        <v>44019412.990000002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</row>
    <row r="123" spans="1:257" ht="16.5" customHeight="1" x14ac:dyDescent="0.3">
      <c r="A123" s="211">
        <v>106</v>
      </c>
      <c r="B123" s="164" t="s">
        <v>68</v>
      </c>
      <c r="C123" s="110" t="s">
        <v>143</v>
      </c>
      <c r="D123" s="102">
        <v>134343538.15000001</v>
      </c>
      <c r="E123" s="102"/>
      <c r="F123" s="104"/>
      <c r="G123" s="104">
        <v>123955066.22</v>
      </c>
      <c r="H123" s="101"/>
      <c r="I123" s="101"/>
      <c r="J123" s="102">
        <v>258298604.37</v>
      </c>
      <c r="K123" s="102">
        <v>3105913.39</v>
      </c>
      <c r="L123" s="102">
        <v>637005.04</v>
      </c>
      <c r="M123" s="46">
        <v>2468908.35</v>
      </c>
      <c r="N123" s="45">
        <v>333710837.08999997</v>
      </c>
      <c r="O123" s="45">
        <v>4255187.58</v>
      </c>
      <c r="P123" s="146">
        <v>331415642.11000001</v>
      </c>
      <c r="Q123" s="48">
        <f t="shared" si="57"/>
        <v>2.6060103318454079E-4</v>
      </c>
      <c r="R123" s="144">
        <v>329455649.50999999</v>
      </c>
      <c r="S123" s="48">
        <f t="shared" si="52"/>
        <v>1.1085173446863354E-2</v>
      </c>
      <c r="T123" s="49">
        <f t="shared" si="62"/>
        <v>-5.9140014862348704E-3</v>
      </c>
      <c r="U123" s="116">
        <f t="shared" si="63"/>
        <v>1.9335077147634859E-3</v>
      </c>
      <c r="V123" s="50">
        <f t="shared" si="64"/>
        <v>7.493901997649796E-3</v>
      </c>
      <c r="W123" s="51">
        <f t="shared" si="65"/>
        <v>133.53417476322358</v>
      </c>
      <c r="X123" s="51">
        <f t="shared" si="66"/>
        <v>1.0006920190126383</v>
      </c>
      <c r="Y123" s="44">
        <v>133.21</v>
      </c>
      <c r="Z123" s="44">
        <v>134.04</v>
      </c>
      <c r="AA123" s="52">
        <f>SUM(561+29+3)</f>
        <v>593</v>
      </c>
      <c r="AB123" s="235">
        <v>2467201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</row>
    <row r="124" spans="1:257" ht="16.5" customHeight="1" x14ac:dyDescent="0.3">
      <c r="A124" s="211">
        <v>107</v>
      </c>
      <c r="B124" s="172" t="s">
        <v>118</v>
      </c>
      <c r="C124" s="119" t="s">
        <v>147</v>
      </c>
      <c r="D124" s="114">
        <v>68599125.530000001</v>
      </c>
      <c r="E124" s="115"/>
      <c r="F124" s="114">
        <v>28996085.75</v>
      </c>
      <c r="G124" s="114">
        <v>25278314.920000002</v>
      </c>
      <c r="H124" s="115"/>
      <c r="I124" s="114"/>
      <c r="J124" s="114">
        <v>127430554.45999999</v>
      </c>
      <c r="K124" s="114">
        <v>1659626.69</v>
      </c>
      <c r="L124" s="114">
        <v>4127732.6</v>
      </c>
      <c r="M124" s="54">
        <v>435741.13</v>
      </c>
      <c r="N124" s="53">
        <v>127430554.45</v>
      </c>
      <c r="O124" s="53">
        <v>4131134.94</v>
      </c>
      <c r="P124" s="145">
        <v>172615225.65000001</v>
      </c>
      <c r="Q124" s="48">
        <f t="shared" si="57"/>
        <v>1.357319946076719E-4</v>
      </c>
      <c r="R124" s="47">
        <v>123299419.51000001</v>
      </c>
      <c r="S124" s="48">
        <f t="shared" si="52"/>
        <v>4.1486477867317042E-3</v>
      </c>
      <c r="T124" s="49">
        <f>((R124-P124)/P124)</f>
        <v>-0.28569789225890341</v>
      </c>
      <c r="U124" s="116">
        <f>(L124/R124)</f>
        <v>3.3477307649978243E-2</v>
      </c>
      <c r="V124" s="50">
        <f>M124/R124</f>
        <v>3.5340079599049524E-3</v>
      </c>
      <c r="W124" s="51">
        <f>R124/AB124</f>
        <v>137.03357990899104</v>
      </c>
      <c r="X124" s="51">
        <f>M124/AB124</f>
        <v>0.48427776217264579</v>
      </c>
      <c r="Y124" s="53">
        <v>137.03360000000001</v>
      </c>
      <c r="Z124" s="89">
        <v>141.6249</v>
      </c>
      <c r="AA124" s="60">
        <v>127</v>
      </c>
      <c r="AB124" s="216">
        <v>899775.22</v>
      </c>
      <c r="AC124" s="13"/>
      <c r="AD124" s="4"/>
      <c r="AE124" s="4"/>
      <c r="AF124" s="4"/>
      <c r="AG124" s="5"/>
      <c r="AH124" s="6"/>
      <c r="AI124" s="6"/>
      <c r="AJ124" s="6"/>
      <c r="AK124" s="7"/>
      <c r="AL124" s="5"/>
      <c r="AM124" s="6"/>
      <c r="AN124" s="6"/>
      <c r="AO124" s="6"/>
      <c r="AP124" s="7"/>
      <c r="AQ124" s="5"/>
      <c r="AR124" s="6"/>
      <c r="AS124" s="6"/>
      <c r="AT124" s="6"/>
      <c r="AU124" s="7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</row>
    <row r="125" spans="1:257" ht="17.25" customHeight="1" x14ac:dyDescent="0.3">
      <c r="A125" s="211">
        <v>108</v>
      </c>
      <c r="B125" s="160" t="s">
        <v>104</v>
      </c>
      <c r="C125" s="110" t="s">
        <v>136</v>
      </c>
      <c r="D125" s="101">
        <v>499287764.75</v>
      </c>
      <c r="E125" s="101"/>
      <c r="F125" s="101">
        <v>215520363.86000001</v>
      </c>
      <c r="G125" s="101">
        <v>429937831.54000002</v>
      </c>
      <c r="H125" s="101">
        <v>32632670.809999999</v>
      </c>
      <c r="I125" s="101"/>
      <c r="J125" s="101">
        <v>1177378630.96</v>
      </c>
      <c r="K125" s="101">
        <v>19990152.390000001</v>
      </c>
      <c r="L125" s="101">
        <v>1627447.43</v>
      </c>
      <c r="M125" s="54">
        <v>49114370.240000002</v>
      </c>
      <c r="N125" s="44">
        <v>1204781327.98</v>
      </c>
      <c r="O125" s="44">
        <v>52832705.159999996</v>
      </c>
      <c r="P125" s="146">
        <v>1125632667.5799999</v>
      </c>
      <c r="Q125" s="48">
        <f t="shared" si="57"/>
        <v>8.8511524166459232E-4</v>
      </c>
      <c r="R125" s="144">
        <v>1151948622.8199999</v>
      </c>
      <c r="S125" s="48">
        <f t="shared" si="52"/>
        <v>3.8759542611660321E-2</v>
      </c>
      <c r="T125" s="49">
        <f t="shared" si="53"/>
        <v>2.3378812642828446E-2</v>
      </c>
      <c r="U125" s="116">
        <f t="shared" si="54"/>
        <v>1.4127777903982963E-3</v>
      </c>
      <c r="V125" s="50">
        <f t="shared" si="55"/>
        <v>4.2635903430976597E-2</v>
      </c>
      <c r="W125" s="51">
        <f t="shared" si="56"/>
        <v>2.3089626453815955</v>
      </c>
      <c r="X125" s="51">
        <f t="shared" si="58"/>
        <v>9.8444708374221979E-2</v>
      </c>
      <c r="Y125" s="44">
        <v>2.2526000000000002</v>
      </c>
      <c r="Z125" s="44">
        <v>2.2995000000000001</v>
      </c>
      <c r="AA125" s="52">
        <v>2776</v>
      </c>
      <c r="AB125" s="213">
        <v>498903100.54350001</v>
      </c>
      <c r="AC125" s="39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</row>
    <row r="126" spans="1:257" ht="15.75" customHeight="1" x14ac:dyDescent="0.3">
      <c r="A126" s="211">
        <v>109</v>
      </c>
      <c r="B126" s="164" t="s">
        <v>92</v>
      </c>
      <c r="C126" s="110" t="s">
        <v>220</v>
      </c>
      <c r="D126" s="101">
        <v>9149106.4299999997</v>
      </c>
      <c r="E126" s="101"/>
      <c r="F126" s="101"/>
      <c r="G126" s="101">
        <v>3671458.56</v>
      </c>
      <c r="H126" s="101"/>
      <c r="I126" s="101"/>
      <c r="J126" s="103">
        <f>SUM(D126:I126)</f>
        <v>12820564.99</v>
      </c>
      <c r="K126" s="103">
        <v>62204.78</v>
      </c>
      <c r="L126" s="103">
        <v>8119.9</v>
      </c>
      <c r="M126" s="82">
        <v>506539.98</v>
      </c>
      <c r="N126" s="44">
        <v>18115184.879999999</v>
      </c>
      <c r="O126" s="44">
        <v>291787.33</v>
      </c>
      <c r="P126" s="146">
        <v>17310806.899999999</v>
      </c>
      <c r="Q126" s="48">
        <f t="shared" si="57"/>
        <v>1.3611953058934864E-5</v>
      </c>
      <c r="R126" s="144">
        <v>17823397.550000001</v>
      </c>
      <c r="S126" s="48">
        <f t="shared" si="52"/>
        <v>5.9970273251651232E-4</v>
      </c>
      <c r="T126" s="49">
        <f>((R126-P126)/P126)</f>
        <v>2.9611020038586549E-2</v>
      </c>
      <c r="U126" s="116">
        <f>(L126/R126)</f>
        <v>4.5557531762511794E-4</v>
      </c>
      <c r="V126" s="50">
        <f>M126/R126</f>
        <v>2.8419945107491584E-2</v>
      </c>
      <c r="W126" s="51">
        <f>R126/AB126</f>
        <v>1.1436384700009576</v>
      </c>
      <c r="X126" s="51">
        <f>M126/AB126</f>
        <v>3.2502142540242876E-2</v>
      </c>
      <c r="Y126" s="55">
        <v>1.1335</v>
      </c>
      <c r="Z126" s="55">
        <v>1.1335</v>
      </c>
      <c r="AA126" s="52">
        <v>6</v>
      </c>
      <c r="AB126" s="236">
        <v>15584818.119999999</v>
      </c>
      <c r="AC126" s="191"/>
    </row>
    <row r="127" spans="1:257" ht="15.75" customHeight="1" x14ac:dyDescent="0.3">
      <c r="A127" s="211">
        <v>110</v>
      </c>
      <c r="B127" s="164" t="s">
        <v>164</v>
      </c>
      <c r="C127" s="110" t="s">
        <v>221</v>
      </c>
      <c r="D127" s="101">
        <v>48155060.810000002</v>
      </c>
      <c r="E127" s="101"/>
      <c r="F127" s="101"/>
      <c r="G127" s="101">
        <v>75683237.079999998</v>
      </c>
      <c r="H127" s="101"/>
      <c r="I127" s="101"/>
      <c r="J127" s="101">
        <v>123838297.89</v>
      </c>
      <c r="K127" s="101">
        <v>10124087.35</v>
      </c>
      <c r="L127" s="103">
        <v>501962.45</v>
      </c>
      <c r="M127" s="82">
        <v>9622124.9000000004</v>
      </c>
      <c r="N127" s="44">
        <v>193670067.97999999</v>
      </c>
      <c r="O127" s="44">
        <v>169238544.94</v>
      </c>
      <c r="P127" s="146">
        <v>177212140.53999999</v>
      </c>
      <c r="Q127" s="48">
        <f t="shared" si="57"/>
        <v>1.3934667242483355E-4</v>
      </c>
      <c r="R127" s="144">
        <v>190111148.90000001</v>
      </c>
      <c r="S127" s="48">
        <f t="shared" si="52"/>
        <v>6.3966578289773686E-3</v>
      </c>
      <c r="T127" s="49">
        <f>((R127-P127)/P127)</f>
        <v>7.2788513928527795E-2</v>
      </c>
      <c r="U127" s="116">
        <f>(L127/R127)</f>
        <v>2.6403630344900828E-3</v>
      </c>
      <c r="V127" s="50">
        <f>M127/R127</f>
        <v>5.0613154229378288E-2</v>
      </c>
      <c r="W127" s="51">
        <f>R127/AB127</f>
        <v>1.1278811786937413</v>
      </c>
      <c r="X127" s="51">
        <f>M127/AB127</f>
        <v>5.7085624049639294E-2</v>
      </c>
      <c r="Y127" s="55">
        <v>1.1299999999999999</v>
      </c>
      <c r="Z127" s="55">
        <v>1.1299999999999999</v>
      </c>
      <c r="AA127" s="52">
        <v>52</v>
      </c>
      <c r="AB127" s="236">
        <v>168556007.93000001</v>
      </c>
      <c r="AC127" s="191"/>
    </row>
    <row r="128" spans="1:257" ht="15.75" customHeight="1" x14ac:dyDescent="0.3">
      <c r="A128" s="211">
        <v>111</v>
      </c>
      <c r="B128" s="164" t="s">
        <v>160</v>
      </c>
      <c r="C128" s="110" t="s">
        <v>162</v>
      </c>
      <c r="D128" s="102">
        <v>617892.55000000005</v>
      </c>
      <c r="E128" s="101"/>
      <c r="F128" s="102"/>
      <c r="G128" s="102">
        <v>908395.62572602695</v>
      </c>
      <c r="H128" s="101"/>
      <c r="I128" s="101"/>
      <c r="J128" s="102">
        <v>4545196.7699999996</v>
      </c>
      <c r="K128" s="159">
        <v>445236.46</v>
      </c>
      <c r="L128" s="103">
        <v>286.14</v>
      </c>
      <c r="M128" s="82">
        <v>-286.14</v>
      </c>
      <c r="N128" s="44">
        <v>4990433.2300000004</v>
      </c>
      <c r="O128" s="61">
        <v>164635.66</v>
      </c>
      <c r="P128" s="146">
        <v>4590605.6500000004</v>
      </c>
      <c r="Q128" s="48">
        <f t="shared" si="57"/>
        <v>3.6097166920555958E-6</v>
      </c>
      <c r="R128" s="144">
        <v>4825797.57</v>
      </c>
      <c r="S128" s="48">
        <f t="shared" si="52"/>
        <v>1.6237330627799106E-4</v>
      </c>
      <c r="T128" s="49">
        <f t="shared" si="53"/>
        <v>5.1233309487169719E-2</v>
      </c>
      <c r="U128" s="116">
        <f>(L128/R128)</f>
        <v>5.9293825704338436E-5</v>
      </c>
      <c r="V128" s="50">
        <f t="shared" si="55"/>
        <v>-5.9293825704338436E-5</v>
      </c>
      <c r="W128" s="51">
        <f t="shared" si="56"/>
        <v>105.38516705974844</v>
      </c>
      <c r="X128" s="51">
        <f t="shared" si="58"/>
        <v>-6.2486897274633118E-3</v>
      </c>
      <c r="Y128" s="78" t="s">
        <v>193</v>
      </c>
      <c r="Z128" s="89" t="s">
        <v>194</v>
      </c>
      <c r="AA128" s="52">
        <v>87</v>
      </c>
      <c r="AB128" s="236">
        <v>45792</v>
      </c>
      <c r="AC128" s="191"/>
    </row>
    <row r="129" spans="1:257" ht="15.75" customHeight="1" x14ac:dyDescent="0.3">
      <c r="A129" s="233"/>
      <c r="B129" s="106"/>
      <c r="C129" s="142" t="s">
        <v>54</v>
      </c>
      <c r="D129" s="69"/>
      <c r="E129" s="69"/>
      <c r="F129" s="69"/>
      <c r="G129" s="69"/>
      <c r="H129" s="69"/>
      <c r="I129" s="69"/>
      <c r="J129" s="69"/>
      <c r="K129" s="69"/>
      <c r="L129" s="69"/>
      <c r="M129" s="168"/>
      <c r="N129" s="69"/>
      <c r="O129" s="69"/>
      <c r="P129" s="165">
        <f t="shared" ref="P129" si="67">SUM(P107:P128)</f>
        <v>29166218362.130013</v>
      </c>
      <c r="Q129" s="167">
        <f>(P129/$P$146)</f>
        <v>2.2934181956125795E-2</v>
      </c>
      <c r="R129" s="70">
        <f>SUM(R107:R128)</f>
        <v>29720387424.629997</v>
      </c>
      <c r="S129" s="167">
        <f>(R129/$R$146)</f>
        <v>2.308175675890466E-2</v>
      </c>
      <c r="T129" s="71">
        <f t="shared" si="53"/>
        <v>1.9000374186991915E-2</v>
      </c>
      <c r="U129" s="98"/>
      <c r="V129" s="72"/>
      <c r="W129" s="73"/>
      <c r="X129" s="73"/>
      <c r="Y129" s="69"/>
      <c r="Z129" s="69"/>
      <c r="AA129" s="74">
        <f>SUM(AA107:AA128)</f>
        <v>80827</v>
      </c>
      <c r="AB129" s="237"/>
      <c r="AC129" s="191"/>
    </row>
    <row r="130" spans="1:257" ht="15.75" customHeight="1" x14ac:dyDescent="0.3">
      <c r="A130" s="282" t="s">
        <v>148</v>
      </c>
      <c r="B130" s="280"/>
      <c r="C130" s="2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163"/>
      <c r="Q130" s="49"/>
      <c r="R130" s="84"/>
      <c r="S130" s="49"/>
      <c r="T130" s="49"/>
      <c r="U130" s="49"/>
      <c r="V130" s="85"/>
      <c r="W130" s="86"/>
      <c r="X130" s="86"/>
      <c r="Y130" s="84"/>
      <c r="Z130" s="84"/>
      <c r="AA130" s="84"/>
      <c r="AB130" s="227"/>
      <c r="AC130" s="191"/>
    </row>
    <row r="131" spans="1:257" ht="15.75" customHeight="1" x14ac:dyDescent="0.3">
      <c r="A131" s="211">
        <v>112</v>
      </c>
      <c r="B131" s="160" t="s">
        <v>77</v>
      </c>
      <c r="C131" s="107" t="s">
        <v>208</v>
      </c>
      <c r="D131" s="44">
        <v>283159841.5</v>
      </c>
      <c r="E131" s="44"/>
      <c r="F131" s="44">
        <v>35532703.329999998</v>
      </c>
      <c r="G131" s="44">
        <v>250483865.66</v>
      </c>
      <c r="H131" s="55"/>
      <c r="I131" s="44"/>
      <c r="J131" s="44">
        <v>569176410.49000001</v>
      </c>
      <c r="K131" s="44">
        <v>2426377.02</v>
      </c>
      <c r="L131" s="45">
        <v>6251603.4000000004</v>
      </c>
      <c r="M131" s="46">
        <v>5353140.17</v>
      </c>
      <c r="N131" s="44">
        <v>569176410.49000001</v>
      </c>
      <c r="O131" s="44">
        <v>15051980.289999999</v>
      </c>
      <c r="P131" s="146">
        <v>544829921.52999997</v>
      </c>
      <c r="Q131" s="48">
        <f>(P131/$P$134)</f>
        <v>0.21749957128977204</v>
      </c>
      <c r="R131" s="57">
        <v>554124430.20000005</v>
      </c>
      <c r="S131" s="48">
        <f>(R131/$R$134)</f>
        <v>0.21795499921490677</v>
      </c>
      <c r="T131" s="49">
        <f t="shared" ref="T131:T145" si="68">((R131-P131)/P131)</f>
        <v>1.7059468106852667E-2</v>
      </c>
      <c r="U131" s="116">
        <f t="shared" ref="U131:U145" si="69">(L131/R131)</f>
        <v>1.1281948709143919E-2</v>
      </c>
      <c r="V131" s="50">
        <f t="shared" ref="V131:V144" si="70">M131/R131</f>
        <v>9.6605380998413867E-3</v>
      </c>
      <c r="W131" s="51">
        <f t="shared" ref="W131:W144" si="71">R131/AB131</f>
        <v>14.708998800932601</v>
      </c>
      <c r="X131" s="51">
        <f t="shared" ref="X131:X144" si="72">M131/AB131</f>
        <v>0.14209684332693068</v>
      </c>
      <c r="Y131" s="44">
        <v>14.709</v>
      </c>
      <c r="Z131" s="44">
        <v>14.8665</v>
      </c>
      <c r="AA131" s="52">
        <v>1544</v>
      </c>
      <c r="AB131" s="213">
        <v>37672477.759999998</v>
      </c>
      <c r="AC131" s="191"/>
    </row>
    <row r="132" spans="1:257" ht="15.75" customHeight="1" x14ac:dyDescent="0.3">
      <c r="A132" s="211">
        <v>113</v>
      </c>
      <c r="B132" s="160" t="s">
        <v>25</v>
      </c>
      <c r="C132" s="107" t="s">
        <v>149</v>
      </c>
      <c r="D132" s="45">
        <v>1170896520.3</v>
      </c>
      <c r="E132" s="44"/>
      <c r="F132" s="45"/>
      <c r="G132" s="44">
        <v>12004307.359999999</v>
      </c>
      <c r="H132" s="44">
        <v>346755370.11000001</v>
      </c>
      <c r="I132" s="44"/>
      <c r="J132" s="45">
        <v>1529656197.77</v>
      </c>
      <c r="K132" s="45">
        <v>7540336.6900000004</v>
      </c>
      <c r="L132" s="45">
        <v>5399454.5899999999</v>
      </c>
      <c r="M132" s="46">
        <v>35453619.520000003</v>
      </c>
      <c r="N132" s="45">
        <v>1596971786.8699999</v>
      </c>
      <c r="O132" s="45">
        <v>11977964.300000001</v>
      </c>
      <c r="P132" s="146">
        <v>1551304737.4300001</v>
      </c>
      <c r="Q132" s="48">
        <f t="shared" ref="Q132:Q133" si="73">(P132/$P$134)</f>
        <v>0.61929072174175492</v>
      </c>
      <c r="R132" s="57">
        <v>1584993822.5699999</v>
      </c>
      <c r="S132" s="48">
        <f t="shared" ref="S132:S133" si="74">(R132/$R$134)</f>
        <v>0.62342915873460147</v>
      </c>
      <c r="T132" s="49">
        <f t="shared" si="68"/>
        <v>2.1716613330151728E-2</v>
      </c>
      <c r="U132" s="116">
        <f t="shared" si="69"/>
        <v>3.4066092328643998E-3</v>
      </c>
      <c r="V132" s="50">
        <f t="shared" si="70"/>
        <v>2.236830138713946E-2</v>
      </c>
      <c r="W132" s="51">
        <f t="shared" si="71"/>
        <v>1.2910075851888614</v>
      </c>
      <c r="X132" s="51">
        <f>M132/AB132</f>
        <v>2.8877646758587571E-2</v>
      </c>
      <c r="Y132" s="44">
        <v>1.28</v>
      </c>
      <c r="Z132" s="44">
        <v>1.3</v>
      </c>
      <c r="AA132" s="52">
        <v>9471</v>
      </c>
      <c r="AB132" s="213">
        <v>1227718443.1400001</v>
      </c>
      <c r="AC132" s="191"/>
    </row>
    <row r="133" spans="1:257" ht="15.75" customHeight="1" x14ac:dyDescent="0.3">
      <c r="A133" s="211">
        <v>114</v>
      </c>
      <c r="B133" s="164" t="s">
        <v>37</v>
      </c>
      <c r="C133" s="107" t="s">
        <v>150</v>
      </c>
      <c r="D133" s="44">
        <v>175411435</v>
      </c>
      <c r="E133" s="44"/>
      <c r="F133" s="44">
        <v>97591879.989999995</v>
      </c>
      <c r="G133" s="44">
        <v>150491509.03</v>
      </c>
      <c r="H133" s="44"/>
      <c r="I133" s="44"/>
      <c r="J133" s="44">
        <v>423494824.01999998</v>
      </c>
      <c r="K133" s="44">
        <v>6900472.5700000003</v>
      </c>
      <c r="L133" s="44">
        <v>1466566.51</v>
      </c>
      <c r="M133" s="54">
        <v>11964358.01</v>
      </c>
      <c r="N133" s="44">
        <v>408043998</v>
      </c>
      <c r="O133" s="79">
        <v>4782254</v>
      </c>
      <c r="P133" s="146">
        <v>408835435</v>
      </c>
      <c r="Q133" s="48">
        <f t="shared" si="73"/>
        <v>0.16320970696847303</v>
      </c>
      <c r="R133" s="57">
        <v>403261744</v>
      </c>
      <c r="S133" s="48">
        <f t="shared" si="74"/>
        <v>0.15861584205049173</v>
      </c>
      <c r="T133" s="49">
        <f t="shared" si="68"/>
        <v>-1.3633091759768817E-2</v>
      </c>
      <c r="U133" s="116">
        <f t="shared" si="69"/>
        <v>3.6367608180556794E-3</v>
      </c>
      <c r="V133" s="50">
        <f t="shared" si="70"/>
        <v>2.966896361485755E-2</v>
      </c>
      <c r="W133" s="51">
        <f t="shared" si="71"/>
        <v>36.089081636808089</v>
      </c>
      <c r="X133" s="51">
        <f t="shared" si="72"/>
        <v>1.0707256499760829</v>
      </c>
      <c r="Y133" s="44">
        <v>39.119999999999997</v>
      </c>
      <c r="Z133" s="44">
        <v>40.299999999999997</v>
      </c>
      <c r="AA133" s="52">
        <v>2078</v>
      </c>
      <c r="AB133" s="213">
        <v>11174065</v>
      </c>
      <c r="AC133" s="191"/>
    </row>
    <row r="134" spans="1:257" ht="15" customHeight="1" x14ac:dyDescent="0.3">
      <c r="A134" s="211"/>
      <c r="B134" s="164"/>
      <c r="C134" s="142" t="s">
        <v>54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260">
        <f>SUM(P131:P133)</f>
        <v>2504970093.96</v>
      </c>
      <c r="Q134" s="167">
        <f>(P134/$P$146)</f>
        <v>1.9697253588461658E-3</v>
      </c>
      <c r="R134" s="70">
        <f>SUM(R131:R133)</f>
        <v>2542379996.77</v>
      </c>
      <c r="S134" s="167">
        <f>(R134/$R$146)</f>
        <v>1.9744896267912806E-3</v>
      </c>
      <c r="T134" s="71">
        <f t="shared" si="68"/>
        <v>1.4934271231502101E-2</v>
      </c>
      <c r="U134" s="98"/>
      <c r="V134" s="72"/>
      <c r="W134" s="73"/>
      <c r="X134" s="73"/>
      <c r="Y134" s="69"/>
      <c r="Z134" s="69"/>
      <c r="AA134" s="74">
        <f>SUM(AA131:AA133)</f>
        <v>13093</v>
      </c>
      <c r="AB134" s="237"/>
      <c r="AC134" s="19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</row>
    <row r="135" spans="1:257" ht="15.75" customHeight="1" x14ac:dyDescent="0.3">
      <c r="A135" s="282" t="s">
        <v>209</v>
      </c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49"/>
      <c r="U135" s="280"/>
      <c r="V135" s="280"/>
      <c r="W135" s="280"/>
      <c r="X135" s="280"/>
      <c r="Y135" s="280"/>
      <c r="Z135" s="280"/>
      <c r="AA135" s="280"/>
      <c r="AB135" s="281"/>
      <c r="AC135" s="19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</row>
    <row r="136" spans="1:257" ht="15.75" customHeight="1" x14ac:dyDescent="0.3">
      <c r="A136" s="278" t="s">
        <v>210</v>
      </c>
      <c r="B136" s="279"/>
      <c r="C136" s="279"/>
      <c r="D136" s="207"/>
      <c r="E136" s="207"/>
      <c r="F136" s="207"/>
      <c r="G136" s="207"/>
      <c r="H136" s="207"/>
      <c r="I136" s="207"/>
      <c r="J136" s="207"/>
      <c r="K136" s="207"/>
      <c r="L136" s="178"/>
      <c r="M136" s="178"/>
      <c r="N136" s="178"/>
      <c r="O136" s="184"/>
      <c r="P136" s="179"/>
      <c r="Q136" s="180"/>
      <c r="R136" s="178"/>
      <c r="S136" s="180"/>
      <c r="T136" s="180"/>
      <c r="U136" s="185"/>
      <c r="V136" s="182"/>
      <c r="W136" s="183"/>
      <c r="X136" s="183"/>
      <c r="Y136" s="178"/>
      <c r="Z136" s="178"/>
      <c r="AA136" s="186"/>
      <c r="AB136" s="231"/>
      <c r="AC136" s="19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</row>
    <row r="137" spans="1:257" ht="15.75" customHeight="1" x14ac:dyDescent="0.3">
      <c r="A137" s="211">
        <v>115</v>
      </c>
      <c r="B137" s="160" t="s">
        <v>111</v>
      </c>
      <c r="C137" s="107" t="s">
        <v>172</v>
      </c>
      <c r="D137" s="45">
        <v>1274743301.0699999</v>
      </c>
      <c r="E137" s="259"/>
      <c r="F137" s="45"/>
      <c r="G137" s="44">
        <v>527068866.33999997</v>
      </c>
      <c r="H137" s="44"/>
      <c r="I137" s="45">
        <v>262830286.02000001</v>
      </c>
      <c r="J137" s="53">
        <v>2064643887.79</v>
      </c>
      <c r="K137" s="53">
        <v>23046561.41</v>
      </c>
      <c r="L137" s="45">
        <v>7758562.5099999998</v>
      </c>
      <c r="M137" s="46">
        <v>30175053.620000001</v>
      </c>
      <c r="N137" s="45">
        <v>3131604945.0799999</v>
      </c>
      <c r="O137" s="45">
        <v>198718178.11000001</v>
      </c>
      <c r="P137" s="146">
        <v>2908396404.75</v>
      </c>
      <c r="Q137" s="48">
        <f>(P137/$P$145)</f>
        <v>0.15683460043749167</v>
      </c>
      <c r="R137" s="47">
        <v>2932886766.9699998</v>
      </c>
      <c r="S137" s="48">
        <f>(R137/$R$145)</f>
        <v>0.15919754675536527</v>
      </c>
      <c r="T137" s="49">
        <f>((R137-P137)/P137)</f>
        <v>8.4205723057565584E-3</v>
      </c>
      <c r="U137" s="116">
        <f>(L137/R137)</f>
        <v>2.6453672188699816E-3</v>
      </c>
      <c r="V137" s="50">
        <f>M137/R137</f>
        <v>1.0288516406371259E-2</v>
      </c>
      <c r="W137" s="51">
        <f>R137/AB137</f>
        <v>1.4797109707109917</v>
      </c>
      <c r="X137" s="51">
        <f>M137/AB137</f>
        <v>1.522403059884758E-2</v>
      </c>
      <c r="Y137" s="53">
        <v>1.47</v>
      </c>
      <c r="Z137" s="53">
        <v>1.49</v>
      </c>
      <c r="AA137" s="60">
        <f>SUM(14872,221,22)</f>
        <v>15115</v>
      </c>
      <c r="AB137" s="230">
        <v>1982067326</v>
      </c>
      <c r="AC137" s="19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</row>
    <row r="138" spans="1:257" ht="15.75" customHeight="1" x14ac:dyDescent="0.3">
      <c r="A138" s="211">
        <v>116</v>
      </c>
      <c r="B138" s="160" t="s">
        <v>25</v>
      </c>
      <c r="C138" s="110" t="s">
        <v>151</v>
      </c>
      <c r="D138" s="101">
        <v>197740366.80000001</v>
      </c>
      <c r="E138" s="101"/>
      <c r="F138" s="101">
        <v>43527807.509999998</v>
      </c>
      <c r="G138" s="101">
        <v>23580480.66</v>
      </c>
      <c r="H138" s="101"/>
      <c r="I138" s="101"/>
      <c r="J138" s="101">
        <v>264848654.97</v>
      </c>
      <c r="K138" s="101">
        <v>477785.21</v>
      </c>
      <c r="L138" s="101">
        <v>671315.7</v>
      </c>
      <c r="M138" s="46">
        <v>4802117.01</v>
      </c>
      <c r="N138" s="44">
        <v>272857928.75999999</v>
      </c>
      <c r="O138" s="44">
        <v>3456756.95</v>
      </c>
      <c r="P138" s="146">
        <v>279435850.24000001</v>
      </c>
      <c r="Q138" s="48">
        <f>(P138/$P$145)</f>
        <v>1.5068513304694548E-2</v>
      </c>
      <c r="R138" s="57">
        <v>269401171.81</v>
      </c>
      <c r="S138" s="48">
        <f>(R138/$R$145)</f>
        <v>1.4623137220357395E-2</v>
      </c>
      <c r="T138" s="49">
        <f t="shared" si="68"/>
        <v>-3.5910490444878457E-2</v>
      </c>
      <c r="U138" s="116">
        <f t="shared" si="69"/>
        <v>2.4918811432396342E-3</v>
      </c>
      <c r="V138" s="50">
        <f t="shared" si="70"/>
        <v>1.7825152644053006E-2</v>
      </c>
      <c r="W138" s="51">
        <f t="shared" si="71"/>
        <v>238.58111962780796</v>
      </c>
      <c r="X138" s="51">
        <f t="shared" si="72"/>
        <v>4.2527448753547477</v>
      </c>
      <c r="Y138" s="44">
        <v>236.26</v>
      </c>
      <c r="Z138" s="44">
        <v>239.85</v>
      </c>
      <c r="AA138" s="52">
        <v>438</v>
      </c>
      <c r="AB138" s="213">
        <v>1129180.6000000001</v>
      </c>
      <c r="AC138" s="191"/>
    </row>
    <row r="139" spans="1:257" ht="4.5" customHeight="1" x14ac:dyDescent="0.3">
      <c r="A139" s="211"/>
      <c r="B139" s="160"/>
      <c r="C139" s="110"/>
      <c r="D139" s="101"/>
      <c r="E139" s="101"/>
      <c r="F139" s="101"/>
      <c r="G139" s="101"/>
      <c r="H139" s="101"/>
      <c r="I139" s="101"/>
      <c r="J139" s="101"/>
      <c r="K139" s="101"/>
      <c r="L139" s="101"/>
      <c r="M139" s="46"/>
      <c r="N139" s="44"/>
      <c r="O139" s="44"/>
      <c r="P139" s="146"/>
      <c r="Q139" s="48"/>
      <c r="R139" s="57"/>
      <c r="S139" s="48"/>
      <c r="T139" s="49"/>
      <c r="U139" s="116"/>
      <c r="V139" s="50"/>
      <c r="W139" s="51"/>
      <c r="X139" s="51"/>
      <c r="Y139" s="44"/>
      <c r="Z139" s="44"/>
      <c r="AA139" s="52"/>
      <c r="AB139" s="213"/>
      <c r="AC139" s="19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</row>
    <row r="140" spans="1:257" ht="15.75" customHeight="1" x14ac:dyDescent="0.3">
      <c r="A140" s="278" t="s">
        <v>211</v>
      </c>
      <c r="B140" s="279"/>
      <c r="C140" s="279"/>
      <c r="D140" s="207"/>
      <c r="E140" s="207"/>
      <c r="F140" s="207"/>
      <c r="G140" s="207"/>
      <c r="H140" s="207"/>
      <c r="I140" s="207"/>
      <c r="J140" s="207"/>
      <c r="K140" s="207"/>
      <c r="L140" s="178"/>
      <c r="M140" s="187"/>
      <c r="N140" s="178"/>
      <c r="O140" s="178"/>
      <c r="P140" s="179"/>
      <c r="Q140" s="180"/>
      <c r="R140" s="178"/>
      <c r="S140" s="180"/>
      <c r="T140" s="180"/>
      <c r="U140" s="185"/>
      <c r="V140" s="182"/>
      <c r="W140" s="183"/>
      <c r="X140" s="183"/>
      <c r="Y140" s="178"/>
      <c r="Z140" s="178"/>
      <c r="AA140" s="186"/>
      <c r="AB140" s="231"/>
      <c r="AC140" s="19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</row>
    <row r="141" spans="1:257" ht="15.75" customHeight="1" x14ac:dyDescent="0.3">
      <c r="A141" s="211">
        <v>117</v>
      </c>
      <c r="B141" s="164" t="s">
        <v>25</v>
      </c>
      <c r="C141" s="107" t="s">
        <v>121</v>
      </c>
      <c r="D141" s="137"/>
      <c r="E141" s="137"/>
      <c r="F141" s="137">
        <v>366236170.38999999</v>
      </c>
      <c r="G141" s="137">
        <v>7603387241.3199997</v>
      </c>
      <c r="H141" s="137"/>
      <c r="I141" s="101">
        <v>45217.74</v>
      </c>
      <c r="J141" s="101">
        <v>7969668629.4499998</v>
      </c>
      <c r="K141" s="101">
        <v>38952474.229999997</v>
      </c>
      <c r="L141" s="101">
        <v>11775776.619999999</v>
      </c>
      <c r="M141" s="54">
        <v>27176697.609999999</v>
      </c>
      <c r="N141" s="44">
        <v>8069040542.04</v>
      </c>
      <c r="O141" s="44">
        <v>51321200.590000004</v>
      </c>
      <c r="P141" s="146">
        <v>8155827377.8999996</v>
      </c>
      <c r="Q141" s="48">
        <f>(P141/$P$145)</f>
        <v>0.43980109656340061</v>
      </c>
      <c r="R141" s="57">
        <v>8017719341.4499998</v>
      </c>
      <c r="S141" s="48">
        <f>(R141/$R$145)</f>
        <v>0.4352030443543336</v>
      </c>
      <c r="T141" s="49">
        <f>((R141-P141)/P141)</f>
        <v>-1.693366350840551E-2</v>
      </c>
      <c r="U141" s="116">
        <f>(L141/R141)</f>
        <v>1.4687189858494543E-3</v>
      </c>
      <c r="V141" s="50">
        <f>M141/R141</f>
        <v>3.3895795615471258E-3</v>
      </c>
      <c r="W141" s="51">
        <f>R141/AB141</f>
        <v>116.19786839510854</v>
      </c>
      <c r="X141" s="51">
        <f>M141/AB141</f>
        <v>0.39386191980740265</v>
      </c>
      <c r="Y141" s="44">
        <v>116.2</v>
      </c>
      <c r="Z141" s="44">
        <v>116.2</v>
      </c>
      <c r="AA141" s="52">
        <v>965</v>
      </c>
      <c r="AB141" s="213">
        <v>69000571.629999995</v>
      </c>
      <c r="AC141" s="19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</row>
    <row r="142" spans="1:257" ht="15.75" customHeight="1" x14ac:dyDescent="0.3">
      <c r="A142" s="211">
        <v>118</v>
      </c>
      <c r="B142" s="160" t="s">
        <v>57</v>
      </c>
      <c r="C142" s="110" t="s">
        <v>212</v>
      </c>
      <c r="D142" s="101"/>
      <c r="E142" s="101"/>
      <c r="F142" s="101"/>
      <c r="G142" s="101">
        <v>4874673703.4200001</v>
      </c>
      <c r="H142" s="101"/>
      <c r="I142" s="101"/>
      <c r="J142" s="101">
        <v>5029245237.0900002</v>
      </c>
      <c r="K142" s="101">
        <v>122971249.62</v>
      </c>
      <c r="L142" s="103">
        <v>7761872.9199999999</v>
      </c>
      <c r="M142" s="54">
        <v>115209376.7</v>
      </c>
      <c r="N142" s="44">
        <v>5403231445.1499996</v>
      </c>
      <c r="O142" s="53">
        <v>373986208.06</v>
      </c>
      <c r="P142" s="146">
        <v>5087414719.4499998</v>
      </c>
      <c r="Q142" s="48">
        <f t="shared" ref="Q142:Q144" si="75">(P142/$P$145)</f>
        <v>0.27433765682066263</v>
      </c>
      <c r="R142" s="57">
        <v>5029245237.0900002</v>
      </c>
      <c r="S142" s="48">
        <f t="shared" ref="S142:S144" si="76">(R142/$R$145)</f>
        <v>0.27298820833884008</v>
      </c>
      <c r="T142" s="49">
        <f>((R142-P142)/P142)</f>
        <v>-1.1433996551845562E-2</v>
      </c>
      <c r="U142" s="116">
        <f t="shared" si="69"/>
        <v>1.5433474714569976E-3</v>
      </c>
      <c r="V142" s="50">
        <f>M142/R142</f>
        <v>2.2907886028373903E-2</v>
      </c>
      <c r="W142" s="51">
        <f>R142/AB142</f>
        <v>110.67275271305567</v>
      </c>
      <c r="X142" s="51">
        <f>M142/AB142</f>
        <v>2.5352788055970881</v>
      </c>
      <c r="Y142" s="44">
        <v>113.97</v>
      </c>
      <c r="Z142" s="44">
        <v>113.97</v>
      </c>
      <c r="AA142" s="52">
        <v>393</v>
      </c>
      <c r="AB142" s="213">
        <v>45442488</v>
      </c>
      <c r="AC142" s="191"/>
    </row>
    <row r="143" spans="1:257" ht="15.75" customHeight="1" x14ac:dyDescent="0.3">
      <c r="A143" s="211">
        <v>119</v>
      </c>
      <c r="B143" s="160" t="s">
        <v>35</v>
      </c>
      <c r="C143" s="110" t="s">
        <v>163</v>
      </c>
      <c r="D143" s="101"/>
      <c r="E143" s="101"/>
      <c r="F143" s="101"/>
      <c r="G143" s="101"/>
      <c r="H143" s="101"/>
      <c r="I143" s="101"/>
      <c r="J143" s="61">
        <v>1488560963</v>
      </c>
      <c r="K143" s="61">
        <v>10414904</v>
      </c>
      <c r="L143" s="61">
        <v>2969704</v>
      </c>
      <c r="M143" s="54">
        <v>7445200</v>
      </c>
      <c r="N143" s="61">
        <v>1887769731</v>
      </c>
      <c r="O143" s="61">
        <v>8645868.9199999999</v>
      </c>
      <c r="P143" s="146">
        <v>1864392540</v>
      </c>
      <c r="Q143" s="48">
        <f t="shared" si="75"/>
        <v>0.10053693457741517</v>
      </c>
      <c r="R143" s="57">
        <v>1879123862</v>
      </c>
      <c r="S143" s="48">
        <f t="shared" si="76"/>
        <v>0.10199913349840128</v>
      </c>
      <c r="T143" s="49">
        <f>((R143-P143)/P143)</f>
        <v>7.9014057844277799E-3</v>
      </c>
      <c r="U143" s="116">
        <f t="shared" si="69"/>
        <v>1.5803662866796164E-3</v>
      </c>
      <c r="V143" s="50">
        <f>M143/R143</f>
        <v>3.9620592077820151E-3</v>
      </c>
      <c r="W143" s="51">
        <f>R143/AB143</f>
        <v>1.0693660037049639</v>
      </c>
      <c r="X143" s="51">
        <f>M143/AB143</f>
        <v>4.2368914214683077E-3</v>
      </c>
      <c r="Y143" s="44">
        <v>1.07</v>
      </c>
      <c r="Z143" s="44">
        <v>1.07</v>
      </c>
      <c r="AA143" s="52">
        <v>218</v>
      </c>
      <c r="AB143" s="213">
        <v>1757231720</v>
      </c>
      <c r="AC143" s="191"/>
    </row>
    <row r="144" spans="1:257" ht="15.75" customHeight="1" x14ac:dyDescent="0.3">
      <c r="A144" s="211">
        <v>120</v>
      </c>
      <c r="B144" s="160" t="s">
        <v>213</v>
      </c>
      <c r="C144" s="110" t="s">
        <v>159</v>
      </c>
      <c r="D144" s="44"/>
      <c r="E144" s="44"/>
      <c r="F144" s="44"/>
      <c r="G144" s="44">
        <v>207785000</v>
      </c>
      <c r="H144" s="44"/>
      <c r="I144" s="61">
        <v>62680352.130000003</v>
      </c>
      <c r="J144" s="61">
        <v>270465352.13</v>
      </c>
      <c r="K144" s="61">
        <v>2863974.05</v>
      </c>
      <c r="L144" s="61">
        <v>644588.66</v>
      </c>
      <c r="M144" s="54">
        <v>1992126.45</v>
      </c>
      <c r="N144" s="61">
        <v>296710716.02999997</v>
      </c>
      <c r="O144" s="61">
        <v>3824205.12</v>
      </c>
      <c r="P144" s="146">
        <v>248887457</v>
      </c>
      <c r="Q144" s="48">
        <f t="shared" si="75"/>
        <v>1.3421198296335294E-2</v>
      </c>
      <c r="R144" s="57">
        <v>294563086.43000001</v>
      </c>
      <c r="S144" s="48">
        <f t="shared" si="76"/>
        <v>1.5988929832702368E-2</v>
      </c>
      <c r="T144" s="49">
        <f>((R144-P144)/P144)</f>
        <v>0.18351920976877517</v>
      </c>
      <c r="U144" s="116">
        <f t="shared" si="69"/>
        <v>2.1882872963214285E-3</v>
      </c>
      <c r="V144" s="50">
        <f t="shared" si="70"/>
        <v>6.7629874270529449E-3</v>
      </c>
      <c r="W144" s="51">
        <f t="shared" si="71"/>
        <v>100.61657971088749</v>
      </c>
      <c r="X144" s="51">
        <f t="shared" si="72"/>
        <v>0.68046866353780255</v>
      </c>
      <c r="Y144" s="44">
        <v>100.61660000000001</v>
      </c>
      <c r="Z144" s="44">
        <v>100.6241</v>
      </c>
      <c r="AA144" s="52">
        <v>150</v>
      </c>
      <c r="AB144" s="229">
        <v>2927580</v>
      </c>
      <c r="AC144" s="191"/>
    </row>
    <row r="145" spans="1:29" ht="15.75" customHeight="1" x14ac:dyDescent="0.3">
      <c r="A145" s="238"/>
      <c r="B145" s="101"/>
      <c r="C145" s="142" t="s">
        <v>54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146">
        <f t="shared" ref="P145" si="77">SUM(P137:P144)</f>
        <v>18544354349.34</v>
      </c>
      <c r="Q145" s="167">
        <f>(P145/$P$146)</f>
        <v>1.45819245959858E-2</v>
      </c>
      <c r="R145" s="70">
        <f>SUM(R137:R144)</f>
        <v>18422939465.75</v>
      </c>
      <c r="S145" s="167">
        <f>(R145/$R$146)</f>
        <v>1.4307815085212013E-2</v>
      </c>
      <c r="T145" s="71">
        <f t="shared" si="68"/>
        <v>-6.5472693900675682E-3</v>
      </c>
      <c r="U145" s="116">
        <f t="shared" si="69"/>
        <v>0</v>
      </c>
      <c r="V145" s="72"/>
      <c r="W145" s="73"/>
      <c r="X145" s="73"/>
      <c r="Y145" s="69"/>
      <c r="Z145" s="69"/>
      <c r="AA145" s="74">
        <f>SUM(AA137:AA144)</f>
        <v>17279</v>
      </c>
      <c r="AB145" s="223"/>
      <c r="AC145" s="191"/>
    </row>
    <row r="146" spans="1:29" ht="15.75" customHeight="1" thickBot="1" x14ac:dyDescent="0.35">
      <c r="A146" s="239"/>
      <c r="B146" s="240"/>
      <c r="C146" s="241" t="s">
        <v>152</v>
      </c>
      <c r="D146" s="242"/>
      <c r="E146" s="242">
        <f>SUM(E20,E51,E79,E99,E105,E129,E134,E145)</f>
        <v>0</v>
      </c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>
        <f>SUM(P20,P51,P79,P99,P105,P129,P134,P145)</f>
        <v>1271735718236.0552</v>
      </c>
      <c r="Q146" s="243"/>
      <c r="R146" s="242">
        <f>SUM(R20,R51,R79,R99,R105,R129,R134,R145)</f>
        <v>1287613752066.9536</v>
      </c>
      <c r="S146" s="243"/>
      <c r="T146" s="244"/>
      <c r="U146" s="245"/>
      <c r="V146" s="246"/>
      <c r="W146" s="247"/>
      <c r="X146" s="247"/>
      <c r="Y146" s="242"/>
      <c r="Z146" s="242"/>
      <c r="AA146" s="249">
        <f>SUM(AA20,AA51,AA79,AA99,AA105,AA129,AA134,AA145)</f>
        <v>576448</v>
      </c>
      <c r="AB146" s="248"/>
      <c r="AC146" s="191"/>
    </row>
    <row r="147" spans="1:29" ht="15.75" customHeight="1" x14ac:dyDescent="0.3">
      <c r="A147" s="267"/>
      <c r="B147" s="267"/>
      <c r="C147" s="267"/>
      <c r="D147" s="6"/>
      <c r="E147" s="6"/>
      <c r="F147" s="6"/>
      <c r="G147" s="6"/>
      <c r="H147" s="6"/>
      <c r="I147" s="277"/>
      <c r="J147" s="6"/>
      <c r="K147" s="6"/>
      <c r="L147" s="6"/>
      <c r="M147" s="6"/>
      <c r="N147" s="6"/>
      <c r="O147" s="6"/>
      <c r="P147" s="189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9" ht="15.75" customHeight="1" x14ac:dyDescent="0.3">
      <c r="A148" s="261" t="s">
        <v>169</v>
      </c>
      <c r="B148" s="262" t="s">
        <v>170</v>
      </c>
      <c r="C148" s="263"/>
      <c r="D148" s="6"/>
      <c r="E148" s="6"/>
      <c r="F148" s="6"/>
      <c r="G148" s="6"/>
      <c r="H148" s="264"/>
      <c r="I148" s="6"/>
      <c r="J148" s="6"/>
      <c r="K148" s="6"/>
      <c r="L148" s="6"/>
      <c r="M148" s="6"/>
      <c r="N148" s="6"/>
      <c r="O148" s="6"/>
      <c r="P148" s="190"/>
      <c r="Q148" s="6"/>
      <c r="R148" s="265"/>
      <c r="S148" s="6"/>
      <c r="T148" s="6"/>
      <c r="U148" s="6"/>
      <c r="V148" s="6"/>
      <c r="W148" s="6"/>
      <c r="X148" s="6"/>
      <c r="Y148" s="6"/>
      <c r="Z148" s="6"/>
      <c r="AA148" s="6"/>
      <c r="AB148" s="266"/>
    </row>
    <row r="149" spans="1:29" ht="15.75" customHeight="1" x14ac:dyDescent="0.3">
      <c r="A149" s="267"/>
      <c r="B149" s="268"/>
      <c r="C149" s="269"/>
      <c r="D149" s="6"/>
      <c r="E149" s="6"/>
      <c r="F149" s="6"/>
      <c r="G149" s="6"/>
      <c r="H149" s="6"/>
      <c r="I149" s="270"/>
      <c r="J149" s="271"/>
      <c r="K149" s="271"/>
      <c r="L149" s="271"/>
      <c r="M149" s="271"/>
      <c r="N149" s="6"/>
      <c r="O149" s="6"/>
      <c r="P149" s="190"/>
      <c r="Q149" s="6"/>
      <c r="R149" s="265"/>
      <c r="S149" s="266"/>
      <c r="T149" s="266"/>
      <c r="U149" s="6"/>
      <c r="V149" s="6"/>
      <c r="W149" s="6"/>
      <c r="X149" s="6"/>
      <c r="Y149" s="6"/>
      <c r="Z149" s="6"/>
      <c r="AA149" s="6"/>
      <c r="AB149" s="6"/>
    </row>
    <row r="150" spans="1:29" ht="15.75" customHeight="1" x14ac:dyDescent="0.25">
      <c r="A150" s="267"/>
      <c r="B150" s="268"/>
      <c r="C150" s="269"/>
      <c r="D150" s="6"/>
      <c r="E150" s="6"/>
      <c r="F150" s="6"/>
      <c r="G150" s="6"/>
      <c r="H150" s="6"/>
      <c r="I150" s="271"/>
      <c r="J150" s="271"/>
      <c r="K150" s="271"/>
      <c r="L150" s="271"/>
      <c r="M150" s="271"/>
      <c r="N150" s="6"/>
      <c r="O150" s="6"/>
      <c r="P150" s="6"/>
      <c r="Q150" s="6"/>
      <c r="R150" s="265"/>
      <c r="S150" s="266"/>
      <c r="T150" s="266"/>
      <c r="U150" s="6"/>
      <c r="V150" s="6"/>
      <c r="W150" s="6"/>
      <c r="X150" s="6"/>
      <c r="Y150" s="6"/>
      <c r="Z150" s="6"/>
      <c r="AA150" s="6"/>
      <c r="AB150" s="6"/>
    </row>
    <row r="151" spans="1:29" ht="15.75" customHeight="1" x14ac:dyDescent="0.3">
      <c r="A151" s="267"/>
      <c r="B151" s="268"/>
      <c r="C151" s="269"/>
      <c r="D151" s="272"/>
      <c r="E151" s="272"/>
      <c r="F151" s="272"/>
      <c r="G151" s="272"/>
      <c r="H151" s="272"/>
      <c r="I151" s="273"/>
      <c r="J151" s="273"/>
      <c r="K151" s="273"/>
      <c r="L151" s="273"/>
      <c r="M151" s="274"/>
      <c r="N151" s="274"/>
      <c r="O151" s="274"/>
      <c r="P151" s="274"/>
      <c r="Q151" s="275"/>
      <c r="R151" s="274"/>
      <c r="S151" s="276"/>
      <c r="T151" s="266"/>
      <c r="U151" s="6"/>
      <c r="V151" s="6"/>
      <c r="W151" s="6"/>
      <c r="X151" s="6"/>
      <c r="Y151" s="6"/>
      <c r="Z151" s="6"/>
      <c r="AA151" s="6"/>
      <c r="AB151" s="6"/>
    </row>
    <row r="152" spans="1:29" ht="15.75" customHeight="1" x14ac:dyDescent="0.25">
      <c r="A152" s="267"/>
      <c r="B152" s="268"/>
      <c r="C152" s="26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265"/>
      <c r="S152" s="266"/>
      <c r="T152" s="266"/>
      <c r="U152" s="6"/>
      <c r="V152" s="6"/>
      <c r="W152" s="6"/>
      <c r="X152" s="6"/>
      <c r="Y152" s="6"/>
      <c r="Z152" s="6"/>
      <c r="AA152" s="6"/>
      <c r="AB152" s="6"/>
    </row>
    <row r="155" spans="1:29" ht="15.75" customHeight="1" x14ac:dyDescent="0.25">
      <c r="E155" s="138"/>
    </row>
  </sheetData>
  <mergeCells count="24">
    <mergeCell ref="A81:C81"/>
    <mergeCell ref="A91:C91"/>
    <mergeCell ref="A100:C100"/>
    <mergeCell ref="A106:C106"/>
    <mergeCell ref="A130:C130"/>
    <mergeCell ref="A1:AB1"/>
    <mergeCell ref="A3:C3"/>
    <mergeCell ref="A21:C21"/>
    <mergeCell ref="A52:C52"/>
    <mergeCell ref="A80:C80"/>
    <mergeCell ref="AA135:AB135"/>
    <mergeCell ref="J135:K135"/>
    <mergeCell ref="A136:C136"/>
    <mergeCell ref="L135:M135"/>
    <mergeCell ref="N135:O135"/>
    <mergeCell ref="P135:Q135"/>
    <mergeCell ref="A135:C135"/>
    <mergeCell ref="D135:F135"/>
    <mergeCell ref="G135:I135"/>
    <mergeCell ref="A140:C140"/>
    <mergeCell ref="R135:S135"/>
    <mergeCell ref="U135:V135"/>
    <mergeCell ref="W135:X135"/>
    <mergeCell ref="Y135:Z135"/>
  </mergeCells>
  <phoneticPr fontId="17" type="noConversion"/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M1" sqref="M1"/>
    </sheetView>
  </sheetViews>
  <sheetFormatPr defaultColWidth="10" defaultRowHeight="12.95" customHeight="1" x14ac:dyDescent="0.25"/>
  <cols>
    <col min="1" max="256" width="10" style="26" customWidth="1"/>
  </cols>
  <sheetData>
    <row r="1" spans="1:12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8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8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8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8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8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8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8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8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8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8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8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8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8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8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8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8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8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8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8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8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8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8"/>
    </row>
    <row r="24" spans="1:12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O1" sqref="O1"/>
    </sheetView>
  </sheetViews>
  <sheetFormatPr defaultColWidth="10" defaultRowHeight="12.95" customHeight="1" x14ac:dyDescent="0.25"/>
  <cols>
    <col min="1" max="256" width="10" style="29" customWidth="1"/>
  </cols>
  <sheetData>
    <row r="1" spans="1:14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O1" sqref="O1"/>
    </sheetView>
  </sheetViews>
  <sheetFormatPr defaultColWidth="8.85546875" defaultRowHeight="15" customHeight="1" x14ac:dyDescent="0.25"/>
  <cols>
    <col min="1" max="3" width="8.85546875" style="30" customWidth="1"/>
    <col min="4" max="4" width="10.42578125" style="30" customWidth="1"/>
    <col min="5" max="256" width="8.85546875" style="30" customWidth="1"/>
  </cols>
  <sheetData>
    <row r="1" spans="1:14" ht="1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8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8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8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8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8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8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8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8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8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8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8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8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8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8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8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8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8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8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8"/>
    </row>
    <row r="22" spans="1:14" ht="1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2021</vt:lpstr>
      <vt:lpstr>Market Share</vt:lpstr>
      <vt:lpstr>Unit Holders</vt:lpstr>
      <vt:lpstr>NAV Comparison Sep &amp; Oct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2021-07-14T13:16:57Z</dcterms:created>
  <dcterms:modified xsi:type="dcterms:W3CDTF">2021-12-09T12:54:53Z</dcterms:modified>
</cp:coreProperties>
</file>