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14520" yWindow="465" windowWidth="14280" windowHeight="16215"/>
  </bookViews>
  <sheets>
    <sheet name="October 2020" sheetId="9" r:id="rId1"/>
    <sheet name="Market Share" sheetId="13" r:id="rId2"/>
    <sheet name="Unit Holders" sheetId="12" r:id="rId3"/>
    <sheet name="NAV Comparison Previous&amp;Current" sheetId="11" r:id="rId4"/>
  </sheets>
  <externalReferences>
    <externalReference r:id="rId5"/>
  </externalReferences>
  <definedNames>
    <definedName name="_Hlk50391038" localSheetId="0">'October 2020'!$J$38</definedName>
    <definedName name="_xlcn.WorksheetConnection_Sheet12B4C111" hidden="1">'[1]Sheet1 (2)'!$B$4:$C$11</definedName>
    <definedName name="_xlnm.Print_Area" localSheetId="0">'October 2020'!$A$1:$Z$125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e" name="Range" connection="WorksheetConnection_Sheet1 (2)!$B$4:$C$11"/>
        </x15:modelTables>
      </x15:dataModel>
    </ext>
  </extLst>
</workbook>
</file>

<file path=xl/calcChain.xml><?xml version="1.0" encoding="utf-8"?>
<calcChain xmlns="http://schemas.openxmlformats.org/spreadsheetml/2006/main">
  <c r="R89" i="9" l="1"/>
  <c r="P89" i="9"/>
  <c r="R56" i="9"/>
  <c r="P56" i="9"/>
  <c r="Q52" i="9" l="1"/>
  <c r="Q118" i="9" l="1"/>
  <c r="I85" i="9" l="1"/>
  <c r="Y81" i="9"/>
  <c r="X81" i="9"/>
  <c r="Q81" i="9"/>
  <c r="N81" i="9"/>
  <c r="M81" i="9"/>
  <c r="L81" i="9"/>
  <c r="K81" i="9"/>
  <c r="J81" i="9"/>
  <c r="G81" i="9"/>
  <c r="Y74" i="9"/>
  <c r="X74" i="9"/>
  <c r="Q74" i="9"/>
  <c r="N74" i="9"/>
  <c r="M74" i="9"/>
  <c r="L74" i="9"/>
  <c r="K74" i="9"/>
  <c r="J74" i="9"/>
  <c r="I74" i="9"/>
  <c r="F74" i="9"/>
  <c r="G74" i="9"/>
  <c r="AA70" i="9"/>
  <c r="Y70" i="9"/>
  <c r="X70" i="9"/>
  <c r="Q70" i="9"/>
  <c r="N70" i="9"/>
  <c r="M70" i="9"/>
  <c r="L70" i="9"/>
  <c r="K70" i="9"/>
  <c r="J70" i="9"/>
  <c r="G70" i="9"/>
  <c r="Y52" i="9"/>
  <c r="X52" i="9"/>
  <c r="N52" i="9"/>
  <c r="M52" i="9"/>
  <c r="L52" i="9"/>
  <c r="K52" i="9"/>
  <c r="J52" i="9"/>
  <c r="I52" i="9"/>
  <c r="F52" i="9"/>
  <c r="G52" i="9"/>
  <c r="Y53" i="9"/>
  <c r="X53" i="9"/>
  <c r="Q53" i="9"/>
  <c r="N53" i="9"/>
  <c r="M53" i="9"/>
  <c r="L53" i="9"/>
  <c r="K53" i="9"/>
  <c r="J53" i="9"/>
  <c r="G53" i="9"/>
  <c r="W42" i="9" l="1"/>
  <c r="V42" i="9"/>
  <c r="U42" i="9"/>
  <c r="T42" i="9"/>
  <c r="S42" i="9"/>
  <c r="I113" i="9" l="1"/>
  <c r="Y55" i="9"/>
  <c r="X55" i="9"/>
  <c r="I64" i="9" l="1"/>
  <c r="O118" i="9" l="1"/>
  <c r="O74" i="9"/>
  <c r="O70" i="9"/>
  <c r="O56" i="9"/>
  <c r="O53" i="9"/>
  <c r="O52" i="9"/>
  <c r="V113" i="9" l="1"/>
  <c r="W113" i="9"/>
  <c r="V114" i="9"/>
  <c r="W114" i="9"/>
  <c r="V115" i="9"/>
  <c r="W115" i="9"/>
  <c r="V116" i="9"/>
  <c r="W116" i="9"/>
  <c r="V117" i="9"/>
  <c r="W117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85" i="9"/>
  <c r="W85" i="9"/>
  <c r="V86" i="9"/>
  <c r="W86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1" i="9"/>
  <c r="W71" i="9"/>
  <c r="V72" i="9"/>
  <c r="W72" i="9"/>
  <c r="V73" i="9"/>
  <c r="W73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V47" i="9"/>
  <c r="W47" i="9"/>
  <c r="V48" i="9"/>
  <c r="W48" i="9"/>
  <c r="V49" i="9"/>
  <c r="W49" i="9"/>
  <c r="V50" i="9"/>
  <c r="W50" i="9"/>
  <c r="V51" i="9"/>
  <c r="W51" i="9"/>
  <c r="V54" i="9"/>
  <c r="W54" i="9"/>
  <c r="V55" i="9"/>
  <c r="W55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3" i="9"/>
  <c r="W43" i="9"/>
  <c r="V5" i="9"/>
  <c r="W5" i="9"/>
  <c r="V6" i="9"/>
  <c r="W6" i="9"/>
  <c r="V7" i="9"/>
  <c r="W7" i="9"/>
  <c r="V8" i="9"/>
  <c r="W8" i="9"/>
  <c r="V9" i="9"/>
  <c r="W9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U113" i="9"/>
  <c r="U114" i="9"/>
  <c r="U115" i="9"/>
  <c r="U116" i="9"/>
  <c r="U117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85" i="9"/>
  <c r="U86" i="9"/>
  <c r="U60" i="9"/>
  <c r="U61" i="9"/>
  <c r="U62" i="9"/>
  <c r="U63" i="9"/>
  <c r="U64" i="9"/>
  <c r="U65" i="9"/>
  <c r="U66" i="9"/>
  <c r="U67" i="9"/>
  <c r="U68" i="9"/>
  <c r="U69" i="9"/>
  <c r="U71" i="9"/>
  <c r="U72" i="9"/>
  <c r="U73" i="9"/>
  <c r="U75" i="9"/>
  <c r="U76" i="9"/>
  <c r="U77" i="9"/>
  <c r="U78" i="9"/>
  <c r="U79" i="9"/>
  <c r="U80" i="9"/>
  <c r="U47" i="9"/>
  <c r="U48" i="9"/>
  <c r="U49" i="9"/>
  <c r="U50" i="9"/>
  <c r="U51" i="9"/>
  <c r="U54" i="9"/>
  <c r="U55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3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T113" i="9"/>
  <c r="T114" i="9"/>
  <c r="T115" i="9"/>
  <c r="T116" i="9"/>
  <c r="T117" i="9"/>
  <c r="T112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60" i="9"/>
  <c r="T61" i="9"/>
  <c r="T62" i="9"/>
  <c r="T63" i="9"/>
  <c r="T64" i="9"/>
  <c r="T65" i="9"/>
  <c r="T66" i="9"/>
  <c r="T67" i="9"/>
  <c r="T68" i="9"/>
  <c r="T69" i="9"/>
  <c r="T71" i="9"/>
  <c r="T72" i="9"/>
  <c r="T73" i="9"/>
  <c r="T75" i="9"/>
  <c r="T76" i="9"/>
  <c r="T77" i="9"/>
  <c r="T78" i="9"/>
  <c r="T79" i="9"/>
  <c r="T80" i="9"/>
  <c r="T51" i="9"/>
  <c r="T54" i="9"/>
  <c r="T55" i="9"/>
  <c r="T59" i="9"/>
  <c r="T26" i="9"/>
  <c r="S20" i="9" l="1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3" i="9"/>
  <c r="S46" i="9"/>
  <c r="S47" i="9"/>
  <c r="S48" i="9"/>
  <c r="S49" i="9"/>
  <c r="S50" i="9"/>
  <c r="S51" i="9"/>
  <c r="S54" i="9"/>
  <c r="S55" i="9"/>
  <c r="S59" i="9"/>
  <c r="S60" i="9"/>
  <c r="S61" i="9"/>
  <c r="S62" i="9"/>
  <c r="S63" i="9"/>
  <c r="S64" i="9"/>
  <c r="S65" i="9"/>
  <c r="S66" i="9"/>
  <c r="S67" i="9"/>
  <c r="S68" i="9"/>
  <c r="S69" i="9"/>
  <c r="S71" i="9"/>
  <c r="S72" i="9"/>
  <c r="S73" i="9"/>
  <c r="S75" i="9"/>
  <c r="S76" i="9"/>
  <c r="S77" i="9"/>
  <c r="S78" i="9"/>
  <c r="S79" i="9"/>
  <c r="S80" i="9"/>
  <c r="S81" i="9"/>
  <c r="S84" i="9"/>
  <c r="S85" i="9"/>
  <c r="S86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2" i="9"/>
  <c r="S113" i="9"/>
  <c r="S114" i="9"/>
  <c r="S115" i="9"/>
  <c r="S116" i="9"/>
  <c r="S117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4" i="9"/>
  <c r="P117" i="9"/>
  <c r="O110" i="9"/>
  <c r="P108" i="9" s="1"/>
  <c r="O87" i="9"/>
  <c r="P86" i="9" s="1"/>
  <c r="O82" i="9"/>
  <c r="P81" i="9" s="1"/>
  <c r="O57" i="9"/>
  <c r="P52" i="9" s="1"/>
  <c r="O44" i="9"/>
  <c r="P42" i="9" s="1"/>
  <c r="O18" i="9"/>
  <c r="P17" i="9" s="1"/>
  <c r="O119" i="9" l="1"/>
  <c r="P44" i="9" s="1"/>
  <c r="P6" i="9"/>
  <c r="P10" i="9"/>
  <c r="P14" i="9"/>
  <c r="P23" i="9"/>
  <c r="P27" i="9"/>
  <c r="P31" i="9"/>
  <c r="P35" i="9"/>
  <c r="P39" i="9"/>
  <c r="P49" i="9"/>
  <c r="P53" i="9"/>
  <c r="P62" i="9"/>
  <c r="P66" i="9"/>
  <c r="P70" i="9"/>
  <c r="P74" i="9"/>
  <c r="P78" i="9"/>
  <c r="P93" i="9"/>
  <c r="P97" i="9"/>
  <c r="P101" i="9"/>
  <c r="P105" i="9"/>
  <c r="P109" i="9"/>
  <c r="P114" i="9"/>
  <c r="P7" i="9"/>
  <c r="P11" i="9"/>
  <c r="P15" i="9"/>
  <c r="P20" i="9"/>
  <c r="P24" i="9"/>
  <c r="P28" i="9"/>
  <c r="P32" i="9"/>
  <c r="P36" i="9"/>
  <c r="P40" i="9"/>
  <c r="P46" i="9"/>
  <c r="P50" i="9"/>
  <c r="P54" i="9"/>
  <c r="P59" i="9"/>
  <c r="P63" i="9"/>
  <c r="P67" i="9"/>
  <c r="P71" i="9"/>
  <c r="P75" i="9"/>
  <c r="P79" i="9"/>
  <c r="P84" i="9"/>
  <c r="P90" i="9"/>
  <c r="P94" i="9"/>
  <c r="P98" i="9"/>
  <c r="P102" i="9"/>
  <c r="P106" i="9"/>
  <c r="P115" i="9"/>
  <c r="P4" i="9"/>
  <c r="P8" i="9"/>
  <c r="P12" i="9"/>
  <c r="P16" i="9"/>
  <c r="P21" i="9"/>
  <c r="P25" i="9"/>
  <c r="P29" i="9"/>
  <c r="P33" i="9"/>
  <c r="P37" i="9"/>
  <c r="P41" i="9"/>
  <c r="P47" i="9"/>
  <c r="P51" i="9"/>
  <c r="P55" i="9"/>
  <c r="P60" i="9"/>
  <c r="P64" i="9"/>
  <c r="P68" i="9"/>
  <c r="P72" i="9"/>
  <c r="P76" i="9"/>
  <c r="P80" i="9"/>
  <c r="P85" i="9"/>
  <c r="P91" i="9"/>
  <c r="P95" i="9"/>
  <c r="P99" i="9"/>
  <c r="P103" i="9"/>
  <c r="P107" i="9"/>
  <c r="P112" i="9"/>
  <c r="P116" i="9"/>
  <c r="P5" i="9"/>
  <c r="P9" i="9"/>
  <c r="P13" i="9"/>
  <c r="P22" i="9"/>
  <c r="P26" i="9"/>
  <c r="P30" i="9"/>
  <c r="P34" i="9"/>
  <c r="P38" i="9"/>
  <c r="P43" i="9"/>
  <c r="P48" i="9"/>
  <c r="P61" i="9"/>
  <c r="P65" i="9"/>
  <c r="P69" i="9"/>
  <c r="P73" i="9"/>
  <c r="P77" i="9"/>
  <c r="P92" i="9"/>
  <c r="P96" i="9"/>
  <c r="P100" i="9"/>
  <c r="P104" i="9"/>
  <c r="P113" i="9"/>
  <c r="P110" i="9" l="1"/>
  <c r="P18" i="9"/>
  <c r="P57" i="9"/>
  <c r="P87" i="9"/>
  <c r="P82" i="9"/>
  <c r="P118" i="9"/>
  <c r="R114" i="9"/>
  <c r="S118" i="9"/>
  <c r="R113" i="9"/>
  <c r="R112" i="9"/>
  <c r="R116" i="9"/>
  <c r="R117" i="9"/>
  <c r="R115" i="9"/>
  <c r="T52" i="9" l="1"/>
  <c r="T53" i="9"/>
  <c r="T56" i="9"/>
  <c r="T81" i="9"/>
  <c r="T74" i="9"/>
  <c r="W74" i="9" l="1"/>
  <c r="U74" i="9"/>
  <c r="U81" i="9"/>
  <c r="W81" i="9"/>
  <c r="V56" i="9"/>
  <c r="S56" i="9"/>
  <c r="V52" i="9"/>
  <c r="S52" i="9"/>
  <c r="W56" i="9"/>
  <c r="U56" i="9"/>
  <c r="V53" i="9"/>
  <c r="S53" i="9"/>
  <c r="W52" i="9"/>
  <c r="U52" i="9"/>
  <c r="V74" i="9"/>
  <c r="S74" i="9"/>
  <c r="U53" i="9"/>
  <c r="W53" i="9"/>
  <c r="T70" i="9"/>
  <c r="U70" i="9" l="1"/>
  <c r="W70" i="9"/>
  <c r="V70" i="9"/>
  <c r="S70" i="9"/>
  <c r="Z57" i="9"/>
  <c r="Q57" i="9"/>
  <c r="S57" i="9" s="1"/>
  <c r="Z118" i="9" l="1"/>
  <c r="T16" i="9" l="1"/>
  <c r="Z110" i="9" l="1"/>
  <c r="Z87" i="9"/>
  <c r="Z82" i="9"/>
  <c r="Z44" i="9"/>
  <c r="Z18" i="9"/>
  <c r="T50" i="9"/>
  <c r="T49" i="9"/>
  <c r="T48" i="9"/>
  <c r="T47" i="9"/>
  <c r="W46" i="9"/>
  <c r="V46" i="9"/>
  <c r="U46" i="9"/>
  <c r="T46" i="9"/>
  <c r="Q44" i="9"/>
  <c r="R42" i="9" s="1"/>
  <c r="T43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5" i="9"/>
  <c r="T24" i="9"/>
  <c r="T23" i="9"/>
  <c r="T22" i="9"/>
  <c r="T21" i="9"/>
  <c r="W20" i="9"/>
  <c r="V20" i="9"/>
  <c r="U20" i="9"/>
  <c r="T20" i="9"/>
  <c r="Q18" i="9"/>
  <c r="T17" i="9"/>
  <c r="T15" i="9"/>
  <c r="T14" i="9"/>
  <c r="T13" i="9"/>
  <c r="T12" i="9"/>
  <c r="T11" i="9"/>
  <c r="T10" i="9"/>
  <c r="T9" i="9"/>
  <c r="T8" i="9"/>
  <c r="T7" i="9"/>
  <c r="T6" i="9"/>
  <c r="T5" i="9"/>
  <c r="W4" i="9"/>
  <c r="V4" i="9"/>
  <c r="U4" i="9"/>
  <c r="T4" i="9"/>
  <c r="R16" i="9" l="1"/>
  <c r="S18" i="9"/>
  <c r="S44" i="9"/>
  <c r="R41" i="9"/>
  <c r="R30" i="9"/>
  <c r="R38" i="9"/>
  <c r="R22" i="9"/>
  <c r="R24" i="9"/>
  <c r="R29" i="9"/>
  <c r="R20" i="9"/>
  <c r="R27" i="9"/>
  <c r="R32" i="9"/>
  <c r="R21" i="9"/>
  <c r="R28" i="9"/>
  <c r="R35" i="9"/>
  <c r="R40" i="9"/>
  <c r="R15" i="9"/>
  <c r="R17" i="9"/>
  <c r="R37" i="9"/>
  <c r="Z119" i="9"/>
  <c r="R9" i="9"/>
  <c r="R7" i="9"/>
  <c r="R4" i="9"/>
  <c r="R12" i="9"/>
  <c r="R6" i="9"/>
  <c r="R14" i="9"/>
  <c r="R11" i="9"/>
  <c r="R13" i="9"/>
  <c r="R8" i="9"/>
  <c r="R5" i="9"/>
  <c r="R10" i="9"/>
  <c r="R26" i="9"/>
  <c r="R34" i="9"/>
  <c r="R43" i="9"/>
  <c r="R23" i="9"/>
  <c r="R31" i="9"/>
  <c r="R39" i="9"/>
  <c r="R36" i="9"/>
  <c r="R25" i="9"/>
  <c r="R33" i="9"/>
  <c r="R52" i="9" l="1"/>
  <c r="R55" i="9"/>
  <c r="R49" i="9"/>
  <c r="R53" i="9"/>
  <c r="R47" i="9"/>
  <c r="R50" i="9"/>
  <c r="R54" i="9"/>
  <c r="R48" i="9"/>
  <c r="R51" i="9"/>
  <c r="R46" i="9"/>
  <c r="U112" i="9" l="1"/>
  <c r="W59" i="9"/>
  <c r="W112" i="9" l="1"/>
  <c r="T84" i="9" l="1"/>
  <c r="U84" i="9" l="1"/>
  <c r="V84" i="9"/>
  <c r="W84" i="9"/>
  <c r="Q110" i="9" l="1"/>
  <c r="Q87" i="9"/>
  <c r="Q82" i="9"/>
  <c r="R80" i="9" l="1"/>
  <c r="S82" i="9"/>
  <c r="R84" i="9"/>
  <c r="S87" i="9"/>
  <c r="R95" i="9"/>
  <c r="S110" i="9"/>
  <c r="R79" i="9"/>
  <c r="R81" i="9"/>
  <c r="R77" i="9"/>
  <c r="R78" i="9"/>
  <c r="R75" i="9"/>
  <c r="R59" i="9" l="1"/>
  <c r="U59" i="9"/>
  <c r="V59" i="9"/>
  <c r="R63" i="9"/>
  <c r="R67" i="9"/>
  <c r="R71" i="9"/>
  <c r="R60" i="9"/>
  <c r="T85" i="9"/>
  <c r="T86" i="9"/>
  <c r="R85" i="9"/>
  <c r="T89" i="9"/>
  <c r="U89" i="9"/>
  <c r="V89" i="9"/>
  <c r="W89" i="9"/>
  <c r="R92" i="9"/>
  <c r="R96" i="9"/>
  <c r="R100" i="9"/>
  <c r="R104" i="9"/>
  <c r="R108" i="9"/>
  <c r="V112" i="9"/>
  <c r="R107" i="9" l="1"/>
  <c r="R103" i="9"/>
  <c r="R99" i="9"/>
  <c r="R91" i="9"/>
  <c r="R74" i="9"/>
  <c r="R70" i="9"/>
  <c r="R66" i="9"/>
  <c r="R62" i="9"/>
  <c r="R106" i="9"/>
  <c r="R102" i="9"/>
  <c r="R98" i="9"/>
  <c r="R94" i="9"/>
  <c r="R90" i="9"/>
  <c r="R86" i="9"/>
  <c r="R73" i="9"/>
  <c r="R69" i="9"/>
  <c r="R65" i="9"/>
  <c r="R61" i="9"/>
  <c r="R109" i="9"/>
  <c r="R105" i="9"/>
  <c r="R101" i="9"/>
  <c r="R97" i="9"/>
  <c r="R93" i="9"/>
  <c r="R76" i="9"/>
  <c r="R72" i="9"/>
  <c r="R68" i="9"/>
  <c r="R64" i="9"/>
  <c r="AA119" i="9"/>
  <c r="Y119" i="9"/>
  <c r="X119" i="9"/>
  <c r="N119" i="9"/>
  <c r="M119" i="9"/>
  <c r="L119" i="9"/>
  <c r="K119" i="9"/>
  <c r="J119" i="9"/>
  <c r="I119" i="9"/>
  <c r="H119" i="9"/>
  <c r="G119" i="9"/>
  <c r="F119" i="9"/>
  <c r="E119" i="9"/>
  <c r="D119" i="9"/>
  <c r="Q119" i="9" l="1"/>
  <c r="S119" i="9" s="1"/>
  <c r="R18" i="9" l="1"/>
  <c r="R44" i="9"/>
  <c r="R57" i="9"/>
  <c r="R82" i="9"/>
  <c r="R87" i="9"/>
  <c r="R118" i="9"/>
  <c r="R110" i="9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1 (2)!$B$4:$C$11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12B4C111"/>
        </x15:connection>
      </ext>
    </extLst>
  </connection>
</connections>
</file>

<file path=xl/sharedStrings.xml><?xml version="1.0" encoding="utf-8"?>
<sst xmlns="http://schemas.openxmlformats.org/spreadsheetml/2006/main" count="256" uniqueCount="179">
  <si>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</si>
  <si>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</si>
  <si>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</si>
  <si>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</si>
  <si>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</si>
  <si>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</si>
  <si>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</si>
  <si>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</si>
  <si>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</si>
  <si>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</si>
  <si>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</si>
  <si>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</si>
  <si>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</si>
  <si>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</si>
  <si>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</si>
  <si>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</si>
  <si>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</si>
  <si>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</si>
  <si>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</si>
  <si>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</si>
  <si>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</si>
  <si>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</si>
  <si>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</si>
  <si>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</si>
  <si>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</si>
  <si>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</si>
  <si>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</si>
  <si>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</si>
  <si>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</si>
  <si>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</si>
  <si>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</si>
  <si>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</si>
  <si>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</si>
  <si>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</si>
  <si>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</si>
  <si>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</si>
  <si>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</si>
  <si>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</si>
  <si>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</si>
  <si>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</si>
  <si>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</si>
  <si>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</si>
  <si>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</si>
  <si>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</si>
  <si>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</si>
  <si>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</si>
  <si>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</si>
  <si>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</si>
  <si>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</si>
  <si>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</si>
  <si>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</si>
  <si>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</si>
  <si>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</si>
  <si>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</si>
  <si>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</si>
  <si>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</si>
  <si>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</si>
  <si>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</si>
  <si>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</si>
  <si>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</si>
  <si>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</si>
  <si>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</si>
  <si>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</si>
  <si>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</si>
  <si>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</si>
  <si>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</si>
  <si>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</si>
  <si>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</si>
  <si>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</si>
  <si>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</si>
  <si>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</si>
  <si>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</si>
  <si>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</si>
  <si>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</si>
  <si>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</si>
  <si>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</si>
  <si>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</si>
  <si>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</si>
  <si>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</si>
  <si>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</si>
  <si>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</si>
  <si>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</si>
  <si>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</si>
  <si>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</si>
  <si>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</si>
  <si>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</si>
  <si>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</si>
  <si>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</si>
  <si>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</si>
  <si>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</si>
  <si>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</si>
  <si>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</si>
  <si>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</si>
  <si>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</si>
  <si>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</si>
  <si>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</si>
  <si>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</si>
  <si>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</si>
  <si>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</si>
  <si>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</si>
  <si>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</si>
  <si>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</si>
  <si>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</si>
  <si>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</si>
  <si>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</si>
  <si>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</si>
  <si>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</si>
  <si>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</si>
  <si>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</si>
  <si>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</si>
  <si>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</si>
  <si>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</si>
  <si>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</si>
  <si>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</si>
  <si>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</si>
  <si>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</si>
  <si>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</si>
  <si>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</si>
  <si>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</si>
  <si>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</si>
  <si>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</si>
  <si>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</si>
  <si>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</si>
  <si>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</si>
  <si>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</si>
  <si>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</si>
  <si>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</si>
  <si>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</si>
  <si>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</si>
  <si>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</si>
  <si>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</si>
  <si>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</si>
  <si>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</si>
  <si>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</si>
  <si>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</si>
  <si>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</si>
  <si>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</si>
  <si>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</si>
  <si>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</si>
  <si>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</si>
  <si>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</si>
  <si>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</si>
  <si>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</si>
  <si>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</si>
  <si>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</si>
  <si>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</si>
  <si>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</si>
  <si>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</si>
  <si>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</si>
  <si>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</si>
  <si>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</si>
  <si>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</si>
  <si>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</si>
  <si>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>Anchoria Money Market Fund</t>
  </si>
  <si>
    <t>Anchoria Asset Management Limited</t>
  </si>
  <si>
    <t>Anchoria Equity Fund</t>
  </si>
  <si>
    <t>Anchoria Fixed Income Fund</t>
  </si>
  <si>
    <t>Stanbic IBTC Guaranteed Investment Fund</t>
  </si>
  <si>
    <t>Nigeria Eurobond Fund</t>
  </si>
  <si>
    <t>MONEY MARKET FUNDS</t>
  </si>
  <si>
    <t>FBN Nigeria Halal Fund</t>
  </si>
  <si>
    <t>Afrinvest Dollar Fund</t>
  </si>
  <si>
    <t>ARM Eurobond Fund</t>
  </si>
  <si>
    <t>Cordros Dollar Fund</t>
  </si>
  <si>
    <t>ARM Fixed Income Fund</t>
  </si>
  <si>
    <t>AVA Global Asset Managers Limited</t>
  </si>
  <si>
    <t>AVA GAM Fixed Income Dollar Fund</t>
  </si>
  <si>
    <t>% CHANGE IN NAV</t>
  </si>
  <si>
    <t>AIICO Money Market Fund</t>
  </si>
  <si>
    <t>NET ASSET VALUE  (N) PREVIOUS (SEPTEMBER)</t>
  </si>
  <si>
    <t xml:space="preserve">512,256,666. 80 </t>
  </si>
  <si>
    <t>Trustbanc Asset Management Limited</t>
  </si>
  <si>
    <t>Trustbanc Money Market Fund</t>
  </si>
  <si>
    <t xml:space="preserve">87 ,516 ,187.52 </t>
  </si>
  <si>
    <t xml:space="preserve">10,587 ,648 .77 </t>
  </si>
  <si>
    <t>27. 2,864,653.60</t>
  </si>
  <si>
    <t>43a</t>
  </si>
  <si>
    <t>43b</t>
  </si>
  <si>
    <t>SPREADSHEET OF REGISTERED MUTUAL FUNDS AS AT 31ST OCTOBER,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</si>
</sst>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1"/>
      <name val="Californian FB"/>
      <family val="1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Trebuchet MS"/>
      <family val="2"/>
    </font>
    <font>
      <b/>
      <sz val="8"/>
      <color rgb="FFFF0000"/>
      <name val="Trebuchet MS"/>
      <family val="2"/>
    </font>
    <font>
      <sz val="8"/>
      <color rgb="FFFF0000"/>
      <name val="Trebuchet MS"/>
      <family val="2"/>
    </font>
    <font>
      <b/>
      <sz val="8"/>
      <name val="Trebuchet MS"/>
      <family val="2"/>
    </font>
    <font>
      <sz val="8"/>
      <color rgb="FF000000"/>
      <name val="Trebuchet MS"/>
      <family val="2"/>
    </font>
    <font>
      <b/>
      <sz val="36"/>
      <color rgb="FFFF0000"/>
      <name val="Trebuchet MS"/>
      <family val="2"/>
    </font>
    <font>
      <sz val="8"/>
      <color theme="1"/>
      <name val="Avenir 55 Roman"/>
    </font>
    <font>
      <sz val="8"/>
      <color theme="1"/>
      <name val="Avenir 55 Roman,Bold"/>
    </font>
    <font>
      <sz val="7"/>
      <color theme="1"/>
      <name val="Arial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7" fillId="4" borderId="1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1" fillId="0" borderId="0" xfId="0" applyFont="1" applyBorder="1"/>
    <xf numFmtId="43" fontId="9" fillId="0" borderId="0" xfId="1" applyFont="1" applyBorder="1"/>
    <xf numFmtId="43" fontId="9" fillId="2" borderId="0" xfId="1" applyFont="1" applyFill="1" applyBorder="1"/>
    <xf numFmtId="0" fontId="1" fillId="2" borderId="0" xfId="0" applyFont="1" applyFill="1"/>
    <xf numFmtId="43" fontId="8" fillId="0" borderId="0" xfId="1" applyFont="1" applyBorder="1"/>
    <xf numFmtId="0" fontId="1" fillId="2" borderId="0" xfId="0" applyFont="1" applyFill="1" applyBorder="1"/>
    <xf numFmtId="0" fontId="10" fillId="0" borderId="0" xfId="0" applyFont="1"/>
    <xf numFmtId="164" fontId="1" fillId="0" borderId="0" xfId="0" applyNumberFormat="1" applyFont="1"/>
    <xf numFmtId="43" fontId="1" fillId="0" borderId="0" xfId="1" applyFont="1"/>
    <xf numFmtId="3" fontId="1" fillId="0" borderId="0" xfId="0" applyNumberFormat="1" applyFont="1"/>
    <xf numFmtId="4" fontId="1" fillId="0" borderId="0" xfId="0" applyNumberFormat="1" applyFont="1"/>
    <xf numFmtId="0" fontId="6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43" fontId="1" fillId="0" borderId="0" xfId="0" applyNumberFormat="1" applyFont="1"/>
    <xf numFmtId="3" fontId="14" fillId="0" borderId="0" xfId="0" applyNumberFormat="1" applyFont="1"/>
    <xf numFmtId="0" fontId="14" fillId="3" borderId="1" xfId="0" applyFont="1" applyFill="1" applyBorder="1"/>
    <xf numFmtId="0" fontId="15" fillId="3" borderId="1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165" fontId="14" fillId="0" borderId="1" xfId="1" applyNumberFormat="1" applyFont="1" applyBorder="1" applyAlignment="1">
      <alignment horizontal="center" wrapText="1"/>
    </xf>
    <xf numFmtId="43" fontId="14" fillId="0" borderId="1" xfId="1" applyFont="1" applyBorder="1" applyAlignment="1">
      <alignment wrapText="1"/>
    </xf>
    <xf numFmtId="43" fontId="16" fillId="0" borderId="1" xfId="1" applyFont="1" applyBorder="1" applyAlignment="1">
      <alignment wrapText="1"/>
    </xf>
    <xf numFmtId="43" fontId="14" fillId="0" borderId="1" xfId="1" applyFont="1" applyBorder="1"/>
    <xf numFmtId="4" fontId="14" fillId="0" borderId="1" xfId="0" applyNumberFormat="1" applyFont="1" applyBorder="1"/>
    <xf numFmtId="4" fontId="14" fillId="8" borderId="1" xfId="0" applyNumberFormat="1" applyFont="1" applyFill="1" applyBorder="1"/>
    <xf numFmtId="43" fontId="14" fillId="5" borderId="1" xfId="1" applyFont="1" applyFill="1" applyBorder="1"/>
    <xf numFmtId="10" fontId="14" fillId="7" borderId="1" xfId="2" applyNumberFormat="1" applyFont="1" applyFill="1" applyBorder="1"/>
    <xf numFmtId="10" fontId="14" fillId="4" borderId="1" xfId="2" applyNumberFormat="1" applyFont="1" applyFill="1" applyBorder="1" applyAlignment="1">
      <alignment horizontal="right" vertical="center"/>
    </xf>
    <xf numFmtId="43" fontId="14" fillId="4" borderId="1" xfId="1" applyFont="1" applyFill="1" applyBorder="1" applyAlignment="1">
      <alignment horizontal="right" vertical="center"/>
    </xf>
    <xf numFmtId="165" fontId="14" fillId="0" borderId="1" xfId="1" applyNumberFormat="1" applyFont="1" applyBorder="1"/>
    <xf numFmtId="4" fontId="14" fillId="0" borderId="4" xfId="0" applyNumberFormat="1" applyFont="1" applyBorder="1"/>
    <xf numFmtId="43" fontId="14" fillId="8" borderId="1" xfId="1" applyFont="1" applyFill="1" applyBorder="1"/>
    <xf numFmtId="0" fontId="14" fillId="0" borderId="1" xfId="0" applyFont="1" applyBorder="1"/>
    <xf numFmtId="43" fontId="14" fillId="0" borderId="4" xfId="1" applyFont="1" applyBorder="1"/>
    <xf numFmtId="165" fontId="14" fillId="2" borderId="1" xfId="1" applyNumberFormat="1" applyFont="1" applyFill="1" applyBorder="1" applyAlignment="1">
      <alignment horizontal="center" wrapText="1"/>
    </xf>
    <xf numFmtId="43" fontId="16" fillId="2" borderId="1" xfId="1" applyFont="1" applyFill="1" applyBorder="1"/>
    <xf numFmtId="43" fontId="16" fillId="2" borderId="1" xfId="1" applyFont="1" applyFill="1" applyBorder="1" applyAlignment="1">
      <alignment wrapText="1"/>
    </xf>
    <xf numFmtId="4" fontId="14" fillId="2" borderId="1" xfId="0" applyNumberFormat="1" applyFont="1" applyFill="1" applyBorder="1"/>
    <xf numFmtId="4" fontId="14" fillId="2" borderId="1" xfId="0" applyNumberFormat="1" applyFont="1" applyFill="1" applyBorder="1" applyAlignment="1">
      <alignment horizontal="right"/>
    </xf>
    <xf numFmtId="43" fontId="14" fillId="2" borderId="1" xfId="1" applyFont="1" applyFill="1" applyBorder="1"/>
    <xf numFmtId="43" fontId="14" fillId="8" borderId="1" xfId="1" applyFont="1" applyFill="1" applyBorder="1" applyAlignment="1">
      <alignment horizontal="right"/>
    </xf>
    <xf numFmtId="2" fontId="14" fillId="2" borderId="1" xfId="0" applyNumberFormat="1" applyFont="1" applyFill="1" applyBorder="1"/>
    <xf numFmtId="0" fontId="14" fillId="2" borderId="1" xfId="0" applyFont="1" applyFill="1" applyBorder="1"/>
    <xf numFmtId="165" fontId="14" fillId="2" borderId="1" xfId="0" applyNumberFormat="1" applyFont="1" applyFill="1" applyBorder="1"/>
    <xf numFmtId="43" fontId="14" fillId="2" borderId="4" xfId="1" applyFont="1" applyFill="1" applyBorder="1"/>
    <xf numFmtId="43" fontId="14" fillId="0" borderId="1" xfId="1" applyNumberFormat="1" applyFont="1" applyBorder="1"/>
    <xf numFmtId="165" fontId="16" fillId="0" borderId="1" xfId="1" applyNumberFormat="1" applyFont="1" applyBorder="1" applyAlignment="1">
      <alignment horizontal="center" wrapText="1"/>
    </xf>
    <xf numFmtId="43" fontId="16" fillId="0" borderId="1" xfId="1" applyFont="1" applyBorder="1"/>
    <xf numFmtId="43" fontId="14" fillId="0" borderId="1" xfId="1" applyFont="1" applyFill="1" applyBorder="1"/>
    <xf numFmtId="43" fontId="14" fillId="0" borderId="1" xfId="1" applyFont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165" fontId="14" fillId="0" borderId="4" xfId="1" applyNumberFormat="1" applyFont="1" applyBorder="1"/>
    <xf numFmtId="43" fontId="17" fillId="2" borderId="1" xfId="1" applyFont="1" applyFill="1" applyBorder="1" applyAlignment="1">
      <alignment vertical="center" wrapText="1"/>
    </xf>
    <xf numFmtId="43" fontId="18" fillId="2" borderId="1" xfId="1" applyFont="1" applyFill="1" applyBorder="1"/>
    <xf numFmtId="43" fontId="18" fillId="8" borderId="1" xfId="1" applyFont="1" applyFill="1" applyBorder="1"/>
    <xf numFmtId="43" fontId="18" fillId="5" borderId="1" xfId="1" applyFont="1" applyFill="1" applyBorder="1"/>
    <xf numFmtId="10" fontId="18" fillId="7" borderId="1" xfId="2" applyNumberFormat="1" applyFont="1" applyFill="1" applyBorder="1"/>
    <xf numFmtId="10" fontId="18" fillId="4" borderId="1" xfId="2" applyNumberFormat="1" applyFont="1" applyFill="1" applyBorder="1" applyAlignment="1">
      <alignment horizontal="right" vertical="center"/>
    </xf>
    <xf numFmtId="165" fontId="18" fillId="2" borderId="1" xfId="1" applyNumberFormat="1" applyFont="1" applyFill="1" applyBorder="1"/>
    <xf numFmtId="43" fontId="18" fillId="2" borderId="4" xfId="1" applyFont="1" applyFill="1" applyBorder="1"/>
    <xf numFmtId="43" fontId="14" fillId="2" borderId="1" xfId="1" applyFont="1" applyFill="1" applyBorder="1" applyAlignment="1">
      <alignment wrapText="1"/>
    </xf>
    <xf numFmtId="43" fontId="16" fillId="8" borderId="1" xfId="1" applyFont="1" applyFill="1" applyBorder="1"/>
    <xf numFmtId="43" fontId="16" fillId="5" borderId="1" xfId="1" applyFont="1" applyFill="1" applyBorder="1"/>
    <xf numFmtId="10" fontId="16" fillId="7" borderId="1" xfId="2" applyNumberFormat="1" applyFont="1" applyFill="1" applyBorder="1"/>
    <xf numFmtId="10" fontId="16" fillId="4" borderId="1" xfId="2" applyNumberFormat="1" applyFont="1" applyFill="1" applyBorder="1" applyAlignment="1">
      <alignment horizontal="right" vertical="center"/>
    </xf>
    <xf numFmtId="165" fontId="16" fillId="2" borderId="1" xfId="1" applyNumberFormat="1" applyFont="1" applyFill="1" applyBorder="1"/>
    <xf numFmtId="43" fontId="16" fillId="2" borderId="4" xfId="1" applyFont="1" applyFill="1" applyBorder="1"/>
    <xf numFmtId="165" fontId="15" fillId="0" borderId="1" xfId="1" applyNumberFormat="1" applyFont="1" applyBorder="1" applyAlignment="1">
      <alignment horizontal="center"/>
    </xf>
    <xf numFmtId="43" fontId="15" fillId="0" borderId="1" xfId="1" applyFont="1" applyBorder="1" applyAlignment="1">
      <alignment vertical="top" wrapText="1"/>
    </xf>
    <xf numFmtId="43" fontId="19" fillId="0" borderId="1" xfId="1" applyFont="1" applyBorder="1" applyAlignment="1">
      <alignment horizontal="right"/>
    </xf>
    <xf numFmtId="43" fontId="15" fillId="5" borderId="1" xfId="1" applyFont="1" applyFill="1" applyBorder="1"/>
    <xf numFmtId="10" fontId="17" fillId="7" borderId="1" xfId="2" applyNumberFormat="1" applyFont="1" applyFill="1" applyBorder="1"/>
    <xf numFmtId="43" fontId="15" fillId="2" borderId="1" xfId="1" applyFont="1" applyFill="1" applyBorder="1"/>
    <xf numFmtId="0" fontId="15" fillId="3" borderId="1" xfId="0" applyFont="1" applyFill="1" applyBorder="1"/>
    <xf numFmtId="165" fontId="14" fillId="2" borderId="4" xfId="1" applyNumberFormat="1" applyFont="1" applyFill="1" applyBorder="1"/>
    <xf numFmtId="4" fontId="14" fillId="0" borderId="0" xfId="0" applyNumberFormat="1" applyFont="1"/>
    <xf numFmtId="0" fontId="14" fillId="0" borderId="0" xfId="0" applyFont="1"/>
    <xf numFmtId="165" fontId="16" fillId="0" borderId="1" xfId="1" applyNumberFormat="1" applyFont="1" applyBorder="1"/>
    <xf numFmtId="43" fontId="16" fillId="0" borderId="4" xfId="1" applyFont="1" applyBorder="1"/>
    <xf numFmtId="4" fontId="20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20" fillId="0" borderId="1" xfId="0" applyNumberFormat="1" applyFont="1" applyBorder="1"/>
    <xf numFmtId="4" fontId="14" fillId="5" borderId="1" xfId="0" applyNumberFormat="1" applyFont="1" applyFill="1" applyBorder="1"/>
    <xf numFmtId="165" fontId="14" fillId="2" borderId="1" xfId="1" applyNumberFormat="1" applyFont="1" applyFill="1" applyBorder="1"/>
    <xf numFmtId="165" fontId="15" fillId="0" borderId="1" xfId="1" applyNumberFormat="1" applyFont="1" applyBorder="1" applyAlignment="1">
      <alignment horizontal="center" wrapText="1"/>
    </xf>
    <xf numFmtId="43" fontId="15" fillId="0" borderId="1" xfId="1" applyFont="1" applyBorder="1" applyAlignment="1">
      <alignment wrapText="1"/>
    </xf>
    <xf numFmtId="165" fontId="15" fillId="3" borderId="1" xfId="1" applyNumberFormat="1" applyFont="1" applyFill="1" applyBorder="1" applyAlignment="1">
      <alignment horizontal="center" wrapText="1"/>
    </xf>
    <xf numFmtId="43" fontId="15" fillId="3" borderId="1" xfId="1" applyFont="1" applyFill="1" applyBorder="1" applyAlignment="1">
      <alignment wrapText="1"/>
    </xf>
    <xf numFmtId="0" fontId="19" fillId="3" borderId="1" xfId="0" applyFont="1" applyFill="1" applyBorder="1" applyAlignment="1">
      <alignment horizontal="left" vertical="top" wrapText="1"/>
    </xf>
    <xf numFmtId="43" fontId="14" fillId="3" borderId="1" xfId="1" applyFont="1" applyFill="1" applyBorder="1"/>
    <xf numFmtId="43" fontId="16" fillId="3" borderId="1" xfId="1" applyFont="1" applyFill="1" applyBorder="1"/>
    <xf numFmtId="43" fontId="14" fillId="3" borderId="4" xfId="1" applyFont="1" applyFill="1" applyBorder="1"/>
    <xf numFmtId="165" fontId="14" fillId="0" borderId="1" xfId="1" applyNumberFormat="1" applyFont="1" applyBorder="1" applyAlignment="1">
      <alignment horizontal="right" wrapText="1"/>
    </xf>
    <xf numFmtId="165" fontId="14" fillId="2" borderId="1" xfId="1" applyNumberFormat="1" applyFont="1" applyFill="1" applyBorder="1" applyAlignment="1">
      <alignment horizontal="right" wrapText="1"/>
    </xf>
    <xf numFmtId="43" fontId="18" fillId="0" borderId="1" xfId="1" applyFont="1" applyBorder="1"/>
    <xf numFmtId="43" fontId="16" fillId="5" borderId="1" xfId="1" applyFont="1" applyFill="1" applyBorder="1" applyAlignment="1">
      <alignment horizontal="right"/>
    </xf>
    <xf numFmtId="165" fontId="14" fillId="0" borderId="1" xfId="1" quotePrefix="1" applyNumberFormat="1" applyFont="1" applyBorder="1" applyAlignment="1">
      <alignment horizontal="center" wrapText="1"/>
    </xf>
    <xf numFmtId="43" fontId="14" fillId="0" borderId="4" xfId="1" quotePrefix="1" applyFont="1" applyBorder="1" applyAlignment="1">
      <alignment horizontal="center" wrapText="1"/>
    </xf>
    <xf numFmtId="0" fontId="16" fillId="0" borderId="1" xfId="0" applyFont="1" applyBorder="1"/>
    <xf numFmtId="165" fontId="14" fillId="0" borderId="1" xfId="0" applyNumberFormat="1" applyFont="1" applyBorder="1"/>
    <xf numFmtId="2" fontId="14" fillId="0" borderId="1" xfId="0" applyNumberFormat="1" applyFont="1" applyBorder="1"/>
    <xf numFmtId="3" fontId="14" fillId="0" borderId="4" xfId="0" applyNumberFormat="1" applyFont="1" applyBorder="1"/>
    <xf numFmtId="43" fontId="14" fillId="2" borderId="4" xfId="1" applyFont="1" applyFill="1" applyBorder="1" applyAlignment="1">
      <alignment horizontal="right"/>
    </xf>
    <xf numFmtId="43" fontId="14" fillId="0" borderId="0" xfId="1" applyFont="1"/>
    <xf numFmtId="0" fontId="14" fillId="2" borderId="0" xfId="0" applyFont="1" applyFill="1"/>
    <xf numFmtId="164" fontId="14" fillId="0" borderId="1" xfId="0" applyNumberFormat="1" applyFont="1" applyBorder="1"/>
    <xf numFmtId="43" fontId="16" fillId="2" borderId="1" xfId="1" applyFont="1" applyFill="1" applyBorder="1" applyAlignment="1">
      <alignment vertical="top" wrapText="1"/>
    </xf>
    <xf numFmtId="3" fontId="14" fillId="0" borderId="1" xfId="0" applyNumberFormat="1" applyFont="1" applyBorder="1"/>
    <xf numFmtId="43" fontId="14" fillId="0" borderId="4" xfId="1" applyFont="1" applyBorder="1" applyAlignment="1">
      <alignment wrapText="1"/>
    </xf>
    <xf numFmtId="4" fontId="16" fillId="5" borderId="1" xfId="0" applyNumberFormat="1" applyFont="1" applyFill="1" applyBorder="1"/>
    <xf numFmtId="43" fontId="14" fillId="0" borderId="4" xfId="1" applyFont="1" applyBorder="1" applyAlignment="1">
      <alignment horizontal="right"/>
    </xf>
    <xf numFmtId="43" fontId="15" fillId="0" borderId="1" xfId="1" applyFont="1" applyBorder="1"/>
    <xf numFmtId="165" fontId="15" fillId="3" borderId="1" xfId="1" applyNumberFormat="1" applyFont="1" applyFill="1" applyBorder="1"/>
    <xf numFmtId="43" fontId="15" fillId="3" borderId="1" xfId="1" applyFont="1" applyFill="1" applyBorder="1"/>
    <xf numFmtId="165" fontId="15" fillId="6" borderId="6" xfId="1" applyNumberFormat="1" applyFont="1" applyFill="1" applyBorder="1" applyAlignment="1">
      <alignment horizontal="center" wrapText="1"/>
    </xf>
    <xf numFmtId="43" fontId="15" fillId="6" borderId="7" xfId="1" applyFont="1" applyFill="1" applyBorder="1" applyAlignment="1">
      <alignment wrapText="1"/>
    </xf>
    <xf numFmtId="43" fontId="19" fillId="6" borderId="7" xfId="1" applyFont="1" applyFill="1" applyBorder="1" applyAlignment="1">
      <alignment horizontal="right"/>
    </xf>
    <xf numFmtId="43" fontId="15" fillId="6" borderId="7" xfId="1" applyFont="1" applyFill="1" applyBorder="1"/>
    <xf numFmtId="43" fontId="15" fillId="5" borderId="7" xfId="1" applyFont="1" applyFill="1" applyBorder="1"/>
    <xf numFmtId="10" fontId="15" fillId="7" borderId="7" xfId="2" applyNumberFormat="1" applyFont="1" applyFill="1" applyBorder="1"/>
    <xf numFmtId="10" fontId="14" fillId="4" borderId="7" xfId="2" applyNumberFormat="1" applyFont="1" applyFill="1" applyBorder="1" applyAlignment="1">
      <alignment horizontal="right" vertical="center"/>
    </xf>
    <xf numFmtId="43" fontId="14" fillId="4" borderId="7" xfId="1" applyFont="1" applyFill="1" applyBorder="1" applyAlignment="1">
      <alignment horizontal="right" vertical="center"/>
    </xf>
    <xf numFmtId="43" fontId="15" fillId="6" borderId="8" xfId="1" applyFont="1" applyFill="1" applyBorder="1"/>
    <xf numFmtId="0" fontId="7" fillId="4" borderId="3" xfId="0" applyFont="1" applyFill="1" applyBorder="1" applyAlignment="1">
      <alignment horizontal="center" vertical="top" wrapText="1"/>
    </xf>
    <xf numFmtId="10" fontId="14" fillId="3" borderId="1" xfId="2" applyNumberFormat="1" applyFont="1" applyFill="1" applyBorder="1"/>
    <xf numFmtId="4" fontId="16" fillId="0" borderId="1" xfId="0" applyNumberFormat="1" applyFont="1" applyBorder="1"/>
    <xf numFmtId="10" fontId="14" fillId="0" borderId="1" xfId="2" applyNumberFormat="1" applyFont="1" applyBorder="1"/>
    <xf numFmtId="4" fontId="23" fillId="0" borderId="0" xfId="0" applyNumberFormat="1" applyFont="1"/>
    <xf numFmtId="3" fontId="22" fillId="0" borderId="0" xfId="0" applyNumberFormat="1" applyFont="1"/>
    <xf numFmtId="0" fontId="24" fillId="0" borderId="0" xfId="0" applyFont="1"/>
    <xf numFmtId="4" fontId="14" fillId="0" borderId="1" xfId="0" applyNumberFormat="1" applyFont="1" applyBorder="1" applyAlignment="1">
      <alignment horizontal="right"/>
    </xf>
    <xf numFmtId="43" fontId="14" fillId="2" borderId="1" xfId="1" applyFont="1" applyFill="1" applyBorder="1" applyAlignment="1">
      <alignment horizontal="right"/>
    </xf>
    <xf numFmtId="43" fontId="14" fillId="0" borderId="1" xfId="1" applyFont="1" applyBorder="1" applyAlignment="1">
      <alignment horizontal="right"/>
    </xf>
    <xf numFmtId="10" fontId="14" fillId="3" borderId="1" xfId="2" applyNumberFormat="1" applyFont="1" applyFill="1" applyBorder="1" applyAlignment="1">
      <alignment horizontal="right" vertical="center"/>
    </xf>
    <xf numFmtId="43" fontId="14" fillId="3" borderId="1" xfId="1" applyFont="1" applyFill="1" applyBorder="1" applyAlignment="1">
      <alignment horizontal="right" vertical="center"/>
    </xf>
    <xf numFmtId="10" fontId="15" fillId="3" borderId="1" xfId="2" applyNumberFormat="1" applyFont="1" applyFill="1" applyBorder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</cellXfs>
  <cellStyles count="172">
    <cellStyle name="Comma" xfId="1" builtinId="3"/>
    <cellStyle name="Comma 2 3" xfId="17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171450</xdr:rowOff>
    </xdr:from>
    <xdr:to>
      <xdr:col>13</xdr:col>
      <xdr:colOff>523874</xdr:colOff>
      <xdr:row>21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" y="361950"/>
          <a:ext cx="774382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180975</xdr:rowOff>
    </xdr:from>
    <xdr:to>
      <xdr:col>13</xdr:col>
      <xdr:colOff>600075</xdr:colOff>
      <xdr:row>19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71475"/>
          <a:ext cx="7934325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133350</xdr:rowOff>
    </xdr:from>
    <xdr:to>
      <xdr:col>12</xdr:col>
      <xdr:colOff>304800</xdr:colOff>
      <xdr:row>21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3850"/>
          <a:ext cx="7277100" cy="374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NAV%20Octo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5"/>
  <sheetViews>
    <sheetView tabSelected="1" zoomScale="120" zoomScaleNormal="120" workbookViewId="0">
      <pane ySplit="2" topLeftCell="A3" activePane="bottomLeft" state="frozen"/>
      <selection pane="bottomLeft" activeCell="A3" sqref="A3"/>
    </sheetView>
  </sheetViews>
  <sheetFormatPr defaultColWidth="8.85546875" defaultRowHeight="15.7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0.28515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16384" width="8.85546875" style="1"/>
  </cols>
  <sheetData>
    <row r="1" spans="1:28" ht="47.25" thickBot="1">
      <c r="A1" s="142" t="s">
        <v>178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</row>
    <row r="2" spans="1:28" ht="54" customHeight="1">
      <c r="A2" s="2" t="s">
        <v>51</v>
      </c>
      <c r="B2" s="2" t="s">
        <v>127</v>
      </c>
      <c r="C2" s="2" t="s">
        <v>128</v>
      </c>
      <c r="D2" s="2" t="s">
        <v>54</v>
      </c>
      <c r="E2" s="2" t="s">
        <v>80</v>
      </c>
      <c r="F2" s="2" t="s">
        <v>58</v>
      </c>
      <c r="G2" s="2" t="s">
        <v>55</v>
      </c>
      <c r="H2" s="2" t="s">
        <v>56</v>
      </c>
      <c r="I2" s="2" t="s">
        <v>57</v>
      </c>
      <c r="J2" s="2" t="s">
        <v>53</v>
      </c>
      <c r="K2" s="2" t="s">
        <v>65</v>
      </c>
      <c r="L2" s="2" t="s">
        <v>137</v>
      </c>
      <c r="M2" s="2" t="s">
        <v>136</v>
      </c>
      <c r="N2" s="2" t="s">
        <v>52</v>
      </c>
      <c r="O2" s="2" t="s">
        <v>169</v>
      </c>
      <c r="P2" s="2" t="s">
        <v>67</v>
      </c>
      <c r="Q2" s="2" t="s">
        <v>132</v>
      </c>
      <c r="R2" s="2" t="s">
        <v>67</v>
      </c>
      <c r="S2" s="129" t="s">
        <v>167</v>
      </c>
      <c r="T2" s="2" t="s">
        <v>66</v>
      </c>
      <c r="U2" s="2" t="s">
        <v>125</v>
      </c>
      <c r="V2" s="2" t="s">
        <v>126</v>
      </c>
      <c r="W2" s="2" t="s">
        <v>133</v>
      </c>
      <c r="X2" s="2" t="s">
        <v>134</v>
      </c>
      <c r="Y2" s="2" t="s">
        <v>135</v>
      </c>
      <c r="Z2" s="2" t="s">
        <v>130</v>
      </c>
      <c r="AA2" s="3" t="s">
        <v>129</v>
      </c>
      <c r="AB2" s="4"/>
    </row>
    <row r="3" spans="1:28" ht="18" customHeight="1">
      <c r="A3" s="22"/>
      <c r="B3" s="23"/>
      <c r="C3" s="23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8" ht="18">
      <c r="A4" s="25">
        <v>1</v>
      </c>
      <c r="B4" s="26" t="s">
        <v>1</v>
      </c>
      <c r="C4" s="27" t="s">
        <v>119</v>
      </c>
      <c r="D4" s="28">
        <v>4520851664.04</v>
      </c>
      <c r="E4" s="132"/>
      <c r="F4" s="28">
        <v>1009488844.4400001</v>
      </c>
      <c r="G4" s="28">
        <v>83851991.879999995</v>
      </c>
      <c r="H4" s="28"/>
      <c r="I4" s="28"/>
      <c r="J4" s="29">
        <v>5614193400.3599997</v>
      </c>
      <c r="K4" s="29">
        <v>16698080.310000001</v>
      </c>
      <c r="L4" s="30">
        <v>657211978.34000003</v>
      </c>
      <c r="M4" s="29">
        <v>5738122815.5100002</v>
      </c>
      <c r="N4" s="29">
        <v>31447075.489999998</v>
      </c>
      <c r="O4" s="31">
        <v>5017784642.7200003</v>
      </c>
      <c r="P4" s="32">
        <f t="shared" ref="P4:P17" si="0">(O4/$O$18)</f>
        <v>0.43528829639392524</v>
      </c>
      <c r="Q4" s="31">
        <v>5706675740.0200005</v>
      </c>
      <c r="R4" s="32">
        <f t="shared" ref="R4:R17" si="1">(Q4/$Q$18)</f>
        <v>0.43894510085419108</v>
      </c>
      <c r="S4" s="130">
        <f>((Q4-O4)/O4)</f>
        <v>0.1372898891345348</v>
      </c>
      <c r="T4" s="33">
        <f t="shared" ref="T4:T17" si="2">(K4/Q4)</f>
        <v>2.9260608225729462E-3</v>
      </c>
      <c r="U4" s="33">
        <f t="shared" ref="U4:U17" si="3">L4/Q4</f>
        <v>0.11516546730193167</v>
      </c>
      <c r="V4" s="34">
        <f>Q4/AA4</f>
        <v>9097.7966521649523</v>
      </c>
      <c r="W4" s="34">
        <f t="shared" ref="W4" si="4">L4/AA4</f>
        <v>1047.752002864526</v>
      </c>
      <c r="X4" s="28">
        <v>9023.92</v>
      </c>
      <c r="Y4" s="28">
        <v>9150.0499999999993</v>
      </c>
      <c r="Z4" s="35">
        <v>17184</v>
      </c>
      <c r="AA4" s="36">
        <v>627259.1</v>
      </c>
      <c r="AB4" s="5"/>
    </row>
    <row r="5" spans="1:28" ht="18">
      <c r="A5" s="25">
        <v>2</v>
      </c>
      <c r="B5" s="28" t="s">
        <v>2</v>
      </c>
      <c r="C5" s="27" t="s">
        <v>3</v>
      </c>
      <c r="D5" s="28">
        <v>533898769.64999998</v>
      </c>
      <c r="E5" s="28"/>
      <c r="F5" s="28">
        <v>100286800.17</v>
      </c>
      <c r="G5" s="28">
        <v>39727446.859999999</v>
      </c>
      <c r="H5" s="28"/>
      <c r="I5" s="28">
        <v>217297.83</v>
      </c>
      <c r="J5" s="28">
        <v>683929699.10000002</v>
      </c>
      <c r="K5" s="28">
        <v>886844.42</v>
      </c>
      <c r="L5" s="37">
        <v>135007.26</v>
      </c>
      <c r="M5" s="28">
        <v>683929699.10000002</v>
      </c>
      <c r="N5" s="28">
        <v>886844.43</v>
      </c>
      <c r="O5" s="31">
        <v>606527588.20000005</v>
      </c>
      <c r="P5" s="32">
        <f t="shared" si="0"/>
        <v>5.2615721754128431E-2</v>
      </c>
      <c r="Q5" s="31">
        <v>683042854.66999996</v>
      </c>
      <c r="R5" s="32">
        <f t="shared" si="1"/>
        <v>5.2538172552591349E-2</v>
      </c>
      <c r="S5" s="130">
        <f t="shared" ref="S5:S69" si="5">((Q5-O5)/O5)</f>
        <v>0.12615298620970444</v>
      </c>
      <c r="T5" s="33">
        <f t="shared" si="2"/>
        <v>1.2983730287735213E-3</v>
      </c>
      <c r="U5" s="33">
        <f t="shared" si="3"/>
        <v>1.9765562157183589E-4</v>
      </c>
      <c r="V5" s="34">
        <f t="shared" ref="V5:V17" si="6">Q5/AA5</f>
        <v>1.3696778895783912</v>
      </c>
      <c r="W5" s="34">
        <f t="shared" ref="W5:W17" si="7">L5/AA5</f>
        <v>2.7072453461781732E-4</v>
      </c>
      <c r="X5" s="28">
        <v>1.36</v>
      </c>
      <c r="Y5" s="38">
        <v>1.39</v>
      </c>
      <c r="Z5" s="35">
        <v>3714</v>
      </c>
      <c r="AA5" s="39">
        <v>498688677</v>
      </c>
      <c r="AB5" s="5"/>
    </row>
    <row r="6" spans="1:28" s="7" customFormat="1" ht="18">
      <c r="A6" s="40">
        <v>3</v>
      </c>
      <c r="B6" s="41" t="s">
        <v>4</v>
      </c>
      <c r="C6" s="42" t="s">
        <v>5</v>
      </c>
      <c r="D6" s="43">
        <v>136238265.09999999</v>
      </c>
      <c r="E6" s="43"/>
      <c r="F6" s="44">
        <v>80059631.150000006</v>
      </c>
      <c r="G6" s="45">
        <v>69929047.400000006</v>
      </c>
      <c r="H6" s="45"/>
      <c r="I6" s="45"/>
      <c r="J6" s="45">
        <v>286219259.22000003</v>
      </c>
      <c r="K6" s="43">
        <v>628514.84</v>
      </c>
      <c r="L6" s="46">
        <v>15605443.23</v>
      </c>
      <c r="M6" s="43">
        <v>291018374.85000002</v>
      </c>
      <c r="N6" s="43">
        <v>28611253.100000001</v>
      </c>
      <c r="O6" s="31">
        <v>240323094.06</v>
      </c>
      <c r="P6" s="32">
        <f t="shared" si="0"/>
        <v>2.0847811862405558E-2</v>
      </c>
      <c r="Q6" s="31">
        <v>262407121.75</v>
      </c>
      <c r="R6" s="32">
        <f t="shared" si="1"/>
        <v>2.0183785757031301E-2</v>
      </c>
      <c r="S6" s="130">
        <f t="shared" si="5"/>
        <v>9.1893073266135689E-2</v>
      </c>
      <c r="T6" s="33">
        <f t="shared" si="2"/>
        <v>2.3951897182074096E-3</v>
      </c>
      <c r="U6" s="33">
        <f t="shared" si="3"/>
        <v>5.9470349455178234E-2</v>
      </c>
      <c r="V6" s="34">
        <f t="shared" si="6"/>
        <v>131.85989349487073</v>
      </c>
      <c r="W6" s="34">
        <f t="shared" si="7"/>
        <v>7.8417539452625444</v>
      </c>
      <c r="X6" s="47">
        <v>131.86000000000001</v>
      </c>
      <c r="Y6" s="48">
        <v>133.25</v>
      </c>
      <c r="Z6" s="49">
        <v>2473</v>
      </c>
      <c r="AA6" s="50">
        <v>1990045</v>
      </c>
      <c r="AB6" s="6"/>
    </row>
    <row r="7" spans="1:28" ht="18">
      <c r="A7" s="25">
        <v>4</v>
      </c>
      <c r="B7" s="26" t="s">
        <v>6</v>
      </c>
      <c r="C7" s="27" t="s">
        <v>7</v>
      </c>
      <c r="D7" s="28">
        <v>448115145.44999999</v>
      </c>
      <c r="E7" s="38"/>
      <c r="F7" s="28">
        <v>39696005.539999999</v>
      </c>
      <c r="G7" s="28"/>
      <c r="H7" s="28"/>
      <c r="I7" s="28"/>
      <c r="J7" s="28">
        <v>499786124.62</v>
      </c>
      <c r="K7" s="28">
        <v>757307.34</v>
      </c>
      <c r="L7" s="37">
        <v>3139988.15</v>
      </c>
      <c r="M7" s="28">
        <v>499786124.62</v>
      </c>
      <c r="N7" s="28">
        <v>3616287.03</v>
      </c>
      <c r="O7" s="31">
        <v>421488141.80000001</v>
      </c>
      <c r="P7" s="32">
        <f t="shared" si="0"/>
        <v>3.6563716511936607E-2</v>
      </c>
      <c r="Q7" s="31">
        <v>496786124.62</v>
      </c>
      <c r="R7" s="32">
        <f t="shared" si="1"/>
        <v>3.8211709497537424E-2</v>
      </c>
      <c r="S7" s="130">
        <f t="shared" si="5"/>
        <v>0.17864792707674698</v>
      </c>
      <c r="T7" s="33">
        <f t="shared" si="2"/>
        <v>1.5244132282866737E-3</v>
      </c>
      <c r="U7" s="33">
        <f t="shared" si="3"/>
        <v>6.3206035643645023E-3</v>
      </c>
      <c r="V7" s="34">
        <f t="shared" si="6"/>
        <v>14.50796897918022</v>
      </c>
      <c r="W7" s="34">
        <f t="shared" si="7"/>
        <v>9.1699120441496126E-2</v>
      </c>
      <c r="X7" s="28">
        <v>14.23</v>
      </c>
      <c r="Y7" s="28">
        <v>14.5</v>
      </c>
      <c r="Z7" s="35">
        <v>8866</v>
      </c>
      <c r="AA7" s="39">
        <v>34242293</v>
      </c>
      <c r="AB7" s="5"/>
    </row>
    <row r="8" spans="1:28" ht="18">
      <c r="A8" s="25">
        <v>5</v>
      </c>
      <c r="B8" s="26" t="s">
        <v>8</v>
      </c>
      <c r="C8" s="27" t="s">
        <v>112</v>
      </c>
      <c r="D8" s="28">
        <v>1328028608</v>
      </c>
      <c r="E8" s="28"/>
      <c r="F8" s="28">
        <v>49033133</v>
      </c>
      <c r="G8" s="28"/>
      <c r="H8" s="28"/>
      <c r="I8" s="28"/>
      <c r="J8" s="28">
        <v>1377061741</v>
      </c>
      <c r="K8" s="28">
        <v>1632525</v>
      </c>
      <c r="L8" s="37">
        <v>164758025</v>
      </c>
      <c r="M8" s="28">
        <v>1506741621</v>
      </c>
      <c r="N8" s="28">
        <v>147748728.81999999</v>
      </c>
      <c r="O8" s="31">
        <v>1279199749</v>
      </c>
      <c r="P8" s="32">
        <f t="shared" si="0"/>
        <v>0.11096942558059046</v>
      </c>
      <c r="Q8" s="31">
        <v>1358992893</v>
      </c>
      <c r="R8" s="32">
        <f t="shared" si="1"/>
        <v>0.10453078108060215</v>
      </c>
      <c r="S8" s="130">
        <f t="shared" si="5"/>
        <v>6.2377391851724008E-2</v>
      </c>
      <c r="T8" s="33">
        <f t="shared" si="2"/>
        <v>1.2012755978408195E-3</v>
      </c>
      <c r="U8" s="33">
        <f t="shared" si="3"/>
        <v>0.12123538382624933</v>
      </c>
      <c r="V8" s="34">
        <f t="shared" si="6"/>
        <v>0.77057185473464274</v>
      </c>
      <c r="W8" s="34">
        <f t="shared" si="7"/>
        <v>9.3420574574459264E-2</v>
      </c>
      <c r="X8" s="51">
        <v>0.74729999999999996</v>
      </c>
      <c r="Y8" s="51">
        <v>0.76919999999999999</v>
      </c>
      <c r="Z8" s="35">
        <v>7002</v>
      </c>
      <c r="AA8" s="39">
        <v>1763616053</v>
      </c>
      <c r="AB8" s="5"/>
    </row>
    <row r="9" spans="1:28" ht="18">
      <c r="A9" s="25">
        <v>6</v>
      </c>
      <c r="B9" s="38" t="s">
        <v>61</v>
      </c>
      <c r="C9" s="27" t="s">
        <v>9</v>
      </c>
      <c r="D9" s="28">
        <v>2011739177.21</v>
      </c>
      <c r="E9" s="28"/>
      <c r="F9" s="28">
        <v>195614393.66</v>
      </c>
      <c r="G9" s="28">
        <v>84729406.230000004</v>
      </c>
      <c r="H9" s="28"/>
      <c r="I9" s="28"/>
      <c r="J9" s="28">
        <v>2292082977.0999999</v>
      </c>
      <c r="K9" s="28">
        <v>7096958</v>
      </c>
      <c r="L9" s="37">
        <v>276850617.14999998</v>
      </c>
      <c r="M9" s="28">
        <v>2548007282</v>
      </c>
      <c r="N9" s="28">
        <v>14651108</v>
      </c>
      <c r="O9" s="31">
        <v>2256655972</v>
      </c>
      <c r="P9" s="32">
        <f t="shared" si="0"/>
        <v>0.19576287217192773</v>
      </c>
      <c r="Q9" s="31">
        <v>2533356174</v>
      </c>
      <c r="R9" s="32">
        <f t="shared" si="1"/>
        <v>0.19486025349183769</v>
      </c>
      <c r="S9" s="130">
        <f t="shared" si="5"/>
        <v>0.12261514623107114</v>
      </c>
      <c r="T9" s="33">
        <f t="shared" si="2"/>
        <v>2.8014055318539666E-3</v>
      </c>
      <c r="U9" s="33">
        <f t="shared" si="3"/>
        <v>0.10928215305504056</v>
      </c>
      <c r="V9" s="34">
        <f t="shared" si="6"/>
        <v>17.150199133002967</v>
      </c>
      <c r="W9" s="34">
        <f t="shared" si="7"/>
        <v>1.8742106865772543</v>
      </c>
      <c r="X9" s="28">
        <v>17.079999999999998</v>
      </c>
      <c r="Y9" s="28">
        <v>17.59</v>
      </c>
      <c r="Z9" s="35">
        <v>12105</v>
      </c>
      <c r="AA9" s="39">
        <v>147715846</v>
      </c>
      <c r="AB9" s="5"/>
    </row>
    <row r="10" spans="1:28" ht="20.25" customHeight="1">
      <c r="A10" s="52">
        <v>7</v>
      </c>
      <c r="B10" s="27" t="s">
        <v>11</v>
      </c>
      <c r="C10" s="27" t="s">
        <v>62</v>
      </c>
      <c r="D10" s="28">
        <v>213231446.97999999</v>
      </c>
      <c r="E10" s="28"/>
      <c r="F10" s="28">
        <v>27133219.370000001</v>
      </c>
      <c r="G10" s="28"/>
      <c r="H10" s="28"/>
      <c r="I10" s="28"/>
      <c r="J10" s="53">
        <v>239296794.83000001</v>
      </c>
      <c r="K10" s="28">
        <v>481095.14</v>
      </c>
      <c r="L10" s="37">
        <v>33064924.34</v>
      </c>
      <c r="M10" s="28">
        <v>243824058.13999999</v>
      </c>
      <c r="N10" s="28">
        <v>4527263.3099999996</v>
      </c>
      <c r="O10" s="31">
        <v>204648340.78</v>
      </c>
      <c r="P10" s="32">
        <f t="shared" si="0"/>
        <v>1.775305916072184E-2</v>
      </c>
      <c r="Q10" s="31">
        <v>239296794.83000001</v>
      </c>
      <c r="R10" s="32">
        <f t="shared" si="1"/>
        <v>1.8406189614756506E-2</v>
      </c>
      <c r="S10" s="130">
        <f t="shared" si="5"/>
        <v>0.1693072805669488</v>
      </c>
      <c r="T10" s="33">
        <f t="shared" si="2"/>
        <v>2.0104537561473697E-3</v>
      </c>
      <c r="U10" s="33">
        <f t="shared" si="3"/>
        <v>0.13817537490834264</v>
      </c>
      <c r="V10" s="34">
        <f t="shared" si="6"/>
        <v>139.67263449580889</v>
      </c>
      <c r="W10" s="34">
        <f t="shared" si="7"/>
        <v>19.299318635894306</v>
      </c>
      <c r="X10" s="28">
        <v>139.66999999999999</v>
      </c>
      <c r="Y10" s="28">
        <v>141.87</v>
      </c>
      <c r="Z10" s="35">
        <v>1400</v>
      </c>
      <c r="AA10" s="39">
        <v>1713269</v>
      </c>
      <c r="AB10" s="8"/>
    </row>
    <row r="11" spans="1:28" ht="16.5">
      <c r="A11" s="25">
        <v>8</v>
      </c>
      <c r="B11" s="26" t="s">
        <v>12</v>
      </c>
      <c r="C11" s="27" t="s">
        <v>13</v>
      </c>
      <c r="D11" s="54">
        <v>198248213.34999999</v>
      </c>
      <c r="E11" s="38"/>
      <c r="F11" s="28">
        <v>44043078.240000002</v>
      </c>
      <c r="G11" s="38"/>
      <c r="H11" s="28"/>
      <c r="I11" s="28"/>
      <c r="J11" s="28">
        <v>242291291.59</v>
      </c>
      <c r="K11" s="28">
        <v>939638.4</v>
      </c>
      <c r="L11" s="37">
        <v>32063505.600000001</v>
      </c>
      <c r="M11" s="28">
        <v>259728225.44999999</v>
      </c>
      <c r="N11" s="28">
        <v>3932961.92</v>
      </c>
      <c r="O11" s="31">
        <v>238573886.00999999</v>
      </c>
      <c r="P11" s="32">
        <f t="shared" si="0"/>
        <v>2.0696069640222362E-2</v>
      </c>
      <c r="Q11" s="31">
        <v>255795263.53</v>
      </c>
      <c r="R11" s="32">
        <f t="shared" si="1"/>
        <v>1.967521598621735E-2</v>
      </c>
      <c r="S11" s="130">
        <f t="shared" si="5"/>
        <v>7.2184671206127579E-2</v>
      </c>
      <c r="T11" s="33">
        <f t="shared" si="2"/>
        <v>3.673400308640969E-3</v>
      </c>
      <c r="U11" s="33">
        <f t="shared" si="3"/>
        <v>0.12534831629608947</v>
      </c>
      <c r="V11" s="34">
        <f t="shared" si="6"/>
        <v>9.4965925227551402</v>
      </c>
      <c r="W11" s="34">
        <f t="shared" si="7"/>
        <v>1.1903818832773896</v>
      </c>
      <c r="X11" s="28">
        <v>9.42</v>
      </c>
      <c r="Y11" s="28">
        <v>9.4600000000000009</v>
      </c>
      <c r="Z11" s="35">
        <v>125</v>
      </c>
      <c r="AA11" s="39">
        <v>26935478.48</v>
      </c>
    </row>
    <row r="12" spans="1:28" ht="16.5">
      <c r="A12" s="25">
        <v>9</v>
      </c>
      <c r="B12" s="26" t="s">
        <v>1</v>
      </c>
      <c r="C12" s="53" t="s">
        <v>71</v>
      </c>
      <c r="D12" s="28">
        <v>317235039.86000001</v>
      </c>
      <c r="E12" s="28"/>
      <c r="F12" s="28">
        <v>47158300.289999999</v>
      </c>
      <c r="G12" s="28"/>
      <c r="H12" s="28"/>
      <c r="I12" s="28"/>
      <c r="J12" s="29">
        <v>364455355.67000002</v>
      </c>
      <c r="K12" s="28">
        <v>446056.56</v>
      </c>
      <c r="L12" s="37">
        <v>52384422.979999997</v>
      </c>
      <c r="M12" s="29">
        <v>398082567.45999998</v>
      </c>
      <c r="N12" s="29">
        <v>7136190.4299999997</v>
      </c>
      <c r="O12" s="31">
        <v>340339969.07999998</v>
      </c>
      <c r="P12" s="32">
        <f t="shared" si="0"/>
        <v>2.9524185648447557E-2</v>
      </c>
      <c r="Q12" s="31">
        <v>390946377.02999997</v>
      </c>
      <c r="R12" s="32">
        <f t="shared" si="1"/>
        <v>3.0070746037063695E-2</v>
      </c>
      <c r="S12" s="130">
        <f t="shared" si="5"/>
        <v>0.14869369614975927</v>
      </c>
      <c r="T12" s="33">
        <f t="shared" si="2"/>
        <v>1.1409660920473782E-3</v>
      </c>
      <c r="U12" s="33">
        <f t="shared" si="3"/>
        <v>0.13399388268529774</v>
      </c>
      <c r="V12" s="34">
        <f t="shared" si="6"/>
        <v>2289.4505919451467</v>
      </c>
      <c r="W12" s="34">
        <f t="shared" si="7"/>
        <v>306.77237403088344</v>
      </c>
      <c r="X12" s="29">
        <v>2271.02</v>
      </c>
      <c r="Y12" s="29">
        <v>2302.66</v>
      </c>
      <c r="Z12" s="35">
        <v>23</v>
      </c>
      <c r="AA12" s="39">
        <v>170759.91</v>
      </c>
    </row>
    <row r="13" spans="1:28" ht="16.5">
      <c r="A13" s="25">
        <v>10</v>
      </c>
      <c r="B13" s="26" t="s">
        <v>26</v>
      </c>
      <c r="C13" s="41" t="s">
        <v>124</v>
      </c>
      <c r="D13" s="29">
        <v>227243066.40000001</v>
      </c>
      <c r="E13" s="28"/>
      <c r="F13" s="28">
        <v>34650910.289999999</v>
      </c>
      <c r="G13" s="28"/>
      <c r="H13" s="28"/>
      <c r="I13" s="28"/>
      <c r="J13" s="28">
        <v>261893976.69</v>
      </c>
      <c r="K13" s="28">
        <v>472427.16</v>
      </c>
      <c r="L13" s="37">
        <v>32216698.949999999</v>
      </c>
      <c r="M13" s="29">
        <v>262058787.5</v>
      </c>
      <c r="N13" s="29">
        <v>4208696.59</v>
      </c>
      <c r="O13" s="31">
        <v>245483606.63999999</v>
      </c>
      <c r="P13" s="32">
        <f t="shared" si="0"/>
        <v>2.1295481678751036E-2</v>
      </c>
      <c r="Q13" s="31">
        <v>257850090.91</v>
      </c>
      <c r="R13" s="32">
        <f t="shared" si="1"/>
        <v>1.9833268844421079E-2</v>
      </c>
      <c r="S13" s="130">
        <f t="shared" si="5"/>
        <v>5.0376008562296279E-2</v>
      </c>
      <c r="T13" s="33">
        <f t="shared" si="2"/>
        <v>1.8321775971950149E-3</v>
      </c>
      <c r="U13" s="33">
        <f t="shared" si="3"/>
        <v>0.12494352372070684</v>
      </c>
      <c r="V13" s="34">
        <f t="shared" si="6"/>
        <v>0.97113649427569526</v>
      </c>
      <c r="W13" s="34">
        <f t="shared" si="7"/>
        <v>0.12133721560857941</v>
      </c>
      <c r="X13" s="51">
        <v>1.02</v>
      </c>
      <c r="Y13" s="28">
        <v>1.06</v>
      </c>
      <c r="Z13" s="35">
        <v>92</v>
      </c>
      <c r="AA13" s="39">
        <v>265513748.50999999</v>
      </c>
    </row>
    <row r="14" spans="1:28" ht="16.5">
      <c r="A14" s="25">
        <v>11</v>
      </c>
      <c r="B14" s="55" t="s">
        <v>76</v>
      </c>
      <c r="C14" s="56" t="s">
        <v>77</v>
      </c>
      <c r="D14" s="28">
        <v>166059751.81999999</v>
      </c>
      <c r="E14" s="28"/>
      <c r="F14" s="28"/>
      <c r="G14" s="28"/>
      <c r="H14" s="28"/>
      <c r="I14" s="28"/>
      <c r="J14" s="28">
        <v>178970803</v>
      </c>
      <c r="K14" s="28">
        <v>495071.73</v>
      </c>
      <c r="L14" s="37">
        <v>-178272.6</v>
      </c>
      <c r="M14" s="28">
        <v>220809423.18000001</v>
      </c>
      <c r="N14" s="28">
        <v>897680.27</v>
      </c>
      <c r="O14" s="31">
        <v>147151939.33000001</v>
      </c>
      <c r="P14" s="32">
        <f t="shared" si="0"/>
        <v>1.2765298143065849E-2</v>
      </c>
      <c r="Q14" s="31">
        <v>219911742.91</v>
      </c>
      <c r="R14" s="32">
        <f t="shared" si="1"/>
        <v>1.6915133532768866E-2</v>
      </c>
      <c r="S14" s="130">
        <f t="shared" si="5"/>
        <v>0.49445358254389221</v>
      </c>
      <c r="T14" s="33">
        <f t="shared" si="2"/>
        <v>2.2512291678876404E-3</v>
      </c>
      <c r="U14" s="33">
        <f t="shared" si="3"/>
        <v>-8.1065520940807136E-4</v>
      </c>
      <c r="V14" s="34">
        <f t="shared" si="6"/>
        <v>116.16447954383551</v>
      </c>
      <c r="W14" s="34">
        <f t="shared" si="7"/>
        <v>-9.4169340490387596E-2</v>
      </c>
      <c r="X14" s="28">
        <v>115.76</v>
      </c>
      <c r="Y14" s="28">
        <v>116.57</v>
      </c>
      <c r="Z14" s="35">
        <v>488</v>
      </c>
      <c r="AA14" s="57">
        <v>1893106.6</v>
      </c>
    </row>
    <row r="15" spans="1:28" ht="16.5">
      <c r="A15" s="25">
        <v>12</v>
      </c>
      <c r="B15" s="55" t="s">
        <v>63</v>
      </c>
      <c r="C15" s="56" t="s">
        <v>139</v>
      </c>
      <c r="D15" s="28">
        <v>185454734.75</v>
      </c>
      <c r="E15" s="28"/>
      <c r="F15" s="28">
        <v>47357020.350000001</v>
      </c>
      <c r="G15" s="28">
        <v>6960493.1500000004</v>
      </c>
      <c r="H15" s="28"/>
      <c r="I15" s="28"/>
      <c r="J15" s="28">
        <v>239772248.25</v>
      </c>
      <c r="K15" s="28">
        <v>408343.27</v>
      </c>
      <c r="L15" s="37">
        <v>6089620.5300000003</v>
      </c>
      <c r="M15" s="28">
        <v>244784844.43000001</v>
      </c>
      <c r="N15" s="28">
        <v>291289.52</v>
      </c>
      <c r="O15" s="31">
        <v>215488416.78</v>
      </c>
      <c r="P15" s="32">
        <f t="shared" si="0"/>
        <v>1.8693425986083017E-2</v>
      </c>
      <c r="Q15" s="31">
        <v>242499509.83000001</v>
      </c>
      <c r="R15" s="32">
        <f t="shared" si="1"/>
        <v>1.865253549504255E-2</v>
      </c>
      <c r="S15" s="130">
        <f t="shared" si="5"/>
        <v>0.12534823659490071</v>
      </c>
      <c r="T15" s="33">
        <f t="shared" si="2"/>
        <v>1.6838931768821382E-3</v>
      </c>
      <c r="U15" s="33">
        <f t="shared" si="3"/>
        <v>2.511188799626449E-2</v>
      </c>
      <c r="V15" s="34">
        <f t="shared" si="6"/>
        <v>1318.0028108681547</v>
      </c>
      <c r="W15" s="34">
        <f t="shared" si="7"/>
        <v>33.097538965282872</v>
      </c>
      <c r="X15" s="28">
        <v>1.1317999999999999</v>
      </c>
      <c r="Y15" s="28">
        <v>1.3304</v>
      </c>
      <c r="Z15" s="35">
        <v>11</v>
      </c>
      <c r="AA15" s="39">
        <v>183990.13099999999</v>
      </c>
    </row>
    <row r="16" spans="1:28" ht="18" customHeight="1">
      <c r="A16" s="25">
        <v>13</v>
      </c>
      <c r="B16" s="58" t="s">
        <v>147</v>
      </c>
      <c r="C16" s="58" t="s">
        <v>148</v>
      </c>
      <c r="D16" s="59">
        <v>1705425.46</v>
      </c>
      <c r="E16" s="59"/>
      <c r="F16" s="59"/>
      <c r="G16" s="59"/>
      <c r="H16" s="59"/>
      <c r="I16" s="59"/>
      <c r="J16" s="59">
        <v>1705435.46</v>
      </c>
      <c r="K16" s="59"/>
      <c r="L16" s="60">
        <v>0</v>
      </c>
      <c r="M16" s="59">
        <v>3349445.32</v>
      </c>
      <c r="N16" s="59">
        <v>0</v>
      </c>
      <c r="O16" s="61">
        <v>3349445.32</v>
      </c>
      <c r="P16" s="62">
        <f t="shared" si="0"/>
        <v>2.9056136343409884E-4</v>
      </c>
      <c r="Q16" s="61">
        <v>3349445.32</v>
      </c>
      <c r="R16" s="62">
        <f t="shared" si="1"/>
        <v>2.5763205774643252E-4</v>
      </c>
      <c r="S16" s="130">
        <f t="shared" si="5"/>
        <v>0</v>
      </c>
      <c r="T16" s="63">
        <f t="shared" si="2"/>
        <v>0</v>
      </c>
      <c r="U16" s="33">
        <f t="shared" si="3"/>
        <v>0</v>
      </c>
      <c r="V16" s="34">
        <f t="shared" si="6"/>
        <v>0.84748882141592019</v>
      </c>
      <c r="W16" s="34">
        <f t="shared" si="7"/>
        <v>0</v>
      </c>
      <c r="X16" s="59">
        <v>0.85</v>
      </c>
      <c r="Y16" s="59">
        <v>0.91</v>
      </c>
      <c r="Z16" s="64">
        <v>2405</v>
      </c>
      <c r="AA16" s="65">
        <v>3952200</v>
      </c>
    </row>
    <row r="17" spans="1:29" ht="16.5">
      <c r="A17" s="40">
        <v>14</v>
      </c>
      <c r="B17" s="66" t="s">
        <v>154</v>
      </c>
      <c r="C17" s="42" t="s">
        <v>155</v>
      </c>
      <c r="D17" s="41">
        <v>271083699.89999998</v>
      </c>
      <c r="E17" s="41"/>
      <c r="F17" s="41">
        <v>71815048.75</v>
      </c>
      <c r="G17" s="41"/>
      <c r="H17" s="41"/>
      <c r="I17" s="41"/>
      <c r="J17" s="41">
        <v>348512295.05000001</v>
      </c>
      <c r="K17" s="41">
        <v>457901.58</v>
      </c>
      <c r="L17" s="67">
        <v>6005637.7300000004</v>
      </c>
      <c r="M17" s="41">
        <v>350722808.92000002</v>
      </c>
      <c r="N17" s="41">
        <v>745748.58</v>
      </c>
      <c r="O17" s="68">
        <v>310482465.36000001</v>
      </c>
      <c r="P17" s="69">
        <f t="shared" si="0"/>
        <v>2.6934074104360054E-2</v>
      </c>
      <c r="Q17" s="68">
        <v>349977060.33999997</v>
      </c>
      <c r="R17" s="69">
        <f t="shared" si="1"/>
        <v>2.6919475198192391E-2</v>
      </c>
      <c r="S17" s="130">
        <f t="shared" si="5"/>
        <v>0.12720394671630342</v>
      </c>
      <c r="T17" s="70">
        <f t="shared" si="2"/>
        <v>1.3083759820005122E-3</v>
      </c>
      <c r="U17" s="33">
        <f t="shared" si="3"/>
        <v>1.7160089647491668E-2</v>
      </c>
      <c r="V17" s="34">
        <f t="shared" si="6"/>
        <v>119.85528407338182</v>
      </c>
      <c r="W17" s="34">
        <f t="shared" si="7"/>
        <v>2.0567274194248126</v>
      </c>
      <c r="X17" s="41">
        <v>120.27</v>
      </c>
      <c r="Y17" s="41">
        <v>120.69</v>
      </c>
      <c r="Z17" s="71">
        <v>96</v>
      </c>
      <c r="AA17" s="72">
        <v>2919996.92</v>
      </c>
    </row>
    <row r="18" spans="1:29" ht="16.5">
      <c r="A18" s="73"/>
      <c r="B18" s="74"/>
      <c r="C18" s="75" t="s">
        <v>59</v>
      </c>
      <c r="D18" s="28"/>
      <c r="E18" s="28"/>
      <c r="F18" s="28"/>
      <c r="G18" s="28"/>
      <c r="H18" s="28"/>
      <c r="I18" s="28"/>
      <c r="J18" s="28"/>
      <c r="K18" s="28"/>
      <c r="L18" s="37"/>
      <c r="M18" s="28"/>
      <c r="N18" s="28"/>
      <c r="O18" s="76">
        <f>SUM(O4:O17)</f>
        <v>11527497257.080002</v>
      </c>
      <c r="P18" s="77">
        <f>(O18/$O$119)</f>
        <v>8.4054239333497694E-3</v>
      </c>
      <c r="Q18" s="76">
        <f>SUM(Q4:Q17)</f>
        <v>13000887192.760002</v>
      </c>
      <c r="R18" s="77">
        <f>(Q18/$Q$119)</f>
        <v>8.8522638309389487E-3</v>
      </c>
      <c r="S18" s="130">
        <f t="shared" si="5"/>
        <v>0.12781524929663879</v>
      </c>
      <c r="T18" s="33"/>
      <c r="U18" s="33"/>
      <c r="V18" s="34"/>
      <c r="W18" s="34"/>
      <c r="X18" s="28"/>
      <c r="Y18" s="28"/>
      <c r="Z18" s="78">
        <f>SUM(Z4:Z17)</f>
        <v>55984</v>
      </c>
      <c r="AA18" s="39"/>
      <c r="AB18" s="9"/>
      <c r="AC18" s="9"/>
    </row>
    <row r="19" spans="1:29" ht="15.75" customHeight="1">
      <c r="A19" s="79"/>
      <c r="B19" s="23"/>
      <c r="C19" s="23" t="s">
        <v>159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30"/>
      <c r="T19" s="23"/>
      <c r="U19" s="23"/>
      <c r="V19" s="23"/>
      <c r="W19" s="23"/>
      <c r="X19" s="23"/>
      <c r="Y19" s="23"/>
      <c r="Z19" s="23"/>
      <c r="AA19" s="24"/>
      <c r="AB19" s="9"/>
      <c r="AC19" s="9"/>
    </row>
    <row r="20" spans="1:29" ht="18">
      <c r="A20" s="25">
        <v>15</v>
      </c>
      <c r="B20" s="26" t="s">
        <v>1</v>
      </c>
      <c r="C20" s="27" t="s">
        <v>14</v>
      </c>
      <c r="D20" s="28"/>
      <c r="E20" s="28"/>
      <c r="F20" s="28">
        <v>279797928161.70001</v>
      </c>
      <c r="G20" s="28">
        <v>17611680644.23</v>
      </c>
      <c r="H20" s="28"/>
      <c r="I20" s="28"/>
      <c r="J20" s="28">
        <v>297409608805.92999</v>
      </c>
      <c r="K20" s="28">
        <v>476157466.61000001</v>
      </c>
      <c r="L20" s="37">
        <v>759070332.94000006</v>
      </c>
      <c r="M20" s="28">
        <v>331340055569.03998</v>
      </c>
      <c r="N20" s="28">
        <v>537771116.75999999</v>
      </c>
      <c r="O20" s="31">
        <v>324559165106.52002</v>
      </c>
      <c r="P20" s="32">
        <f t="shared" ref="P20:P43" si="8">(O20/$O$44)</f>
        <v>0.40777165720781006</v>
      </c>
      <c r="Q20" s="31">
        <v>330802284452.28003</v>
      </c>
      <c r="R20" s="32">
        <f t="shared" ref="R20:R43" si="9">(Q20/$Q$44)</f>
        <v>0.40427459092719359</v>
      </c>
      <c r="S20" s="130">
        <f t="shared" si="5"/>
        <v>1.923568956591019E-2</v>
      </c>
      <c r="T20" s="33">
        <f t="shared" ref="T20:T26" si="10">(K20/Q20)</f>
        <v>1.4394019902201982E-3</v>
      </c>
      <c r="U20" s="33">
        <f t="shared" ref="U20:U43" si="11">L20/Q20</f>
        <v>2.2946344950332408E-3</v>
      </c>
      <c r="V20" s="34">
        <f t="shared" ref="V20:V46" si="12">Q20/AA20</f>
        <v>103.80352754034909</v>
      </c>
      <c r="W20" s="34">
        <f t="shared" ref="W20" si="13">L20/AA20</f>
        <v>0.23819115500021804</v>
      </c>
      <c r="X20" s="28">
        <v>100</v>
      </c>
      <c r="Y20" s="28">
        <v>100</v>
      </c>
      <c r="Z20" s="35">
        <v>103592</v>
      </c>
      <c r="AA20" s="39">
        <v>3186811588.1100001</v>
      </c>
      <c r="AB20" s="6"/>
      <c r="AC20" s="9"/>
    </row>
    <row r="21" spans="1:29" ht="18">
      <c r="A21" s="25">
        <v>16</v>
      </c>
      <c r="B21" s="26" t="s">
        <v>38</v>
      </c>
      <c r="C21" s="27" t="s">
        <v>15</v>
      </c>
      <c r="D21" s="28"/>
      <c r="E21" s="28"/>
      <c r="F21" s="28">
        <v>243623397133.69</v>
      </c>
      <c r="G21" s="28"/>
      <c r="H21" s="28"/>
      <c r="I21" s="28"/>
      <c r="J21" s="28">
        <v>241913459872.94</v>
      </c>
      <c r="K21" s="28">
        <v>286804443.14999998</v>
      </c>
      <c r="L21" s="37">
        <v>603773702.94000006</v>
      </c>
      <c r="M21" s="28">
        <v>242533031724.64999</v>
      </c>
      <c r="N21" s="28">
        <v>619571851.71000004</v>
      </c>
      <c r="O21" s="31">
        <v>222491935507.59</v>
      </c>
      <c r="P21" s="32">
        <f t="shared" si="8"/>
        <v>0.27953579812644336</v>
      </c>
      <c r="Q21" s="31">
        <v>241913459872.94</v>
      </c>
      <c r="R21" s="32">
        <f t="shared" si="9"/>
        <v>0.2956432576995186</v>
      </c>
      <c r="S21" s="130">
        <f t="shared" si="5"/>
        <v>8.7290913807918522E-2</v>
      </c>
      <c r="T21" s="33">
        <f t="shared" si="10"/>
        <v>1.1855662901131589E-3</v>
      </c>
      <c r="U21" s="33">
        <f t="shared" si="11"/>
        <v>2.4958251734199478E-3</v>
      </c>
      <c r="V21" s="34">
        <f t="shared" ref="V21:V43" si="14">Q21/AA21</f>
        <v>100.00606248284623</v>
      </c>
      <c r="W21" s="34">
        <f t="shared" ref="W21:W43" si="15">L21/AA21</f>
        <v>0.24959764823929584</v>
      </c>
      <c r="X21" s="28">
        <v>100</v>
      </c>
      <c r="Y21" s="28">
        <v>100</v>
      </c>
      <c r="Z21" s="35">
        <v>22968</v>
      </c>
      <c r="AA21" s="39">
        <v>2418987948</v>
      </c>
      <c r="AB21" s="6"/>
      <c r="AC21" s="9"/>
    </row>
    <row r="22" spans="1:29" ht="18">
      <c r="A22" s="25">
        <v>17</v>
      </c>
      <c r="B22" s="26" t="s">
        <v>8</v>
      </c>
      <c r="C22" s="27" t="s">
        <v>113</v>
      </c>
      <c r="D22" s="28"/>
      <c r="E22" s="28"/>
      <c r="F22" s="28">
        <v>7263546381</v>
      </c>
      <c r="G22" s="28"/>
      <c r="H22" s="38"/>
      <c r="I22" s="28"/>
      <c r="J22" s="28">
        <v>7263546381</v>
      </c>
      <c r="K22" s="28">
        <v>15825356</v>
      </c>
      <c r="L22" s="37">
        <v>56689943</v>
      </c>
      <c r="M22" s="28">
        <v>17516004671.009998</v>
      </c>
      <c r="N22" s="28">
        <v>183730646.97999999</v>
      </c>
      <c r="O22" s="31">
        <v>18964602291</v>
      </c>
      <c r="P22" s="32">
        <f t="shared" si="8"/>
        <v>2.3826864670267633E-2</v>
      </c>
      <c r="Q22" s="31">
        <v>17332274024</v>
      </c>
      <c r="R22" s="32">
        <f t="shared" si="9"/>
        <v>2.118183071949559E-2</v>
      </c>
      <c r="S22" s="130">
        <f t="shared" si="5"/>
        <v>-8.6072370089967626E-2</v>
      </c>
      <c r="T22" s="33">
        <f t="shared" si="10"/>
        <v>9.1305710826442216E-4</v>
      </c>
      <c r="U22" s="33">
        <f t="shared" si="11"/>
        <v>3.270773524668571E-3</v>
      </c>
      <c r="V22" s="34">
        <f t="shared" si="14"/>
        <v>1.0764763079162569</v>
      </c>
      <c r="W22" s="34">
        <f t="shared" si="15"/>
        <v>3.5209102078654657E-3</v>
      </c>
      <c r="X22" s="135">
        <v>1</v>
      </c>
      <c r="Y22" s="28">
        <v>1</v>
      </c>
      <c r="Z22" s="35">
        <v>6615</v>
      </c>
      <c r="AA22" s="39">
        <v>16100934035</v>
      </c>
      <c r="AB22" s="6"/>
      <c r="AC22" s="9"/>
    </row>
    <row r="23" spans="1:29" ht="18">
      <c r="A23" s="25">
        <v>18</v>
      </c>
      <c r="B23" s="26" t="s">
        <v>16</v>
      </c>
      <c r="C23" s="27" t="s">
        <v>168</v>
      </c>
      <c r="D23" s="28"/>
      <c r="E23" s="28"/>
      <c r="F23" s="28">
        <v>906687584.50999999</v>
      </c>
      <c r="G23" s="28"/>
      <c r="H23" s="28"/>
      <c r="I23" s="28"/>
      <c r="J23" s="28">
        <v>940212218.13999999</v>
      </c>
      <c r="K23" s="28">
        <v>1850058.12</v>
      </c>
      <c r="L23" s="37">
        <v>2113562.8199999998</v>
      </c>
      <c r="M23" s="28">
        <v>940212218.13999999</v>
      </c>
      <c r="N23" s="28">
        <v>39977310.100000001</v>
      </c>
      <c r="O23" s="31">
        <v>875201278.33000004</v>
      </c>
      <c r="P23" s="32">
        <f t="shared" si="8"/>
        <v>1.0995908112405007E-3</v>
      </c>
      <c r="Q23" s="31">
        <v>900234908.03999996</v>
      </c>
      <c r="R23" s="32">
        <f t="shared" si="9"/>
        <v>1.1001801265938696E-3</v>
      </c>
      <c r="S23" s="130">
        <f t="shared" si="5"/>
        <v>2.8603282844567365E-2</v>
      </c>
      <c r="T23" s="33">
        <f t="shared" si="10"/>
        <v>2.0550837381189363E-3</v>
      </c>
      <c r="U23" s="33">
        <f t="shared" si="11"/>
        <v>2.3477903390812394E-3</v>
      </c>
      <c r="V23" s="34">
        <f t="shared" si="14"/>
        <v>99.894288492775004</v>
      </c>
      <c r="W23" s="34">
        <f t="shared" si="15"/>
        <v>0.23453084545273137</v>
      </c>
      <c r="X23" s="28">
        <v>100</v>
      </c>
      <c r="Y23" s="28">
        <v>100</v>
      </c>
      <c r="Z23" s="35">
        <v>723</v>
      </c>
      <c r="AA23" s="39">
        <v>9011875.6699999999</v>
      </c>
      <c r="AB23" s="6"/>
      <c r="AC23" s="9"/>
    </row>
    <row r="24" spans="1:29" ht="18">
      <c r="A24" s="25">
        <v>19</v>
      </c>
      <c r="B24" s="38" t="s">
        <v>61</v>
      </c>
      <c r="C24" s="27" t="s">
        <v>17</v>
      </c>
      <c r="D24" s="28"/>
      <c r="E24" s="28"/>
      <c r="F24" s="28">
        <v>32259142763.490002</v>
      </c>
      <c r="G24" s="28"/>
      <c r="H24" s="28"/>
      <c r="I24" s="28"/>
      <c r="J24" s="28">
        <v>32259142763.490002</v>
      </c>
      <c r="K24" s="28">
        <v>145200994</v>
      </c>
      <c r="L24" s="37">
        <v>237785544.41999999</v>
      </c>
      <c r="M24" s="28">
        <v>91869674678</v>
      </c>
      <c r="N24" s="28">
        <v>222123918</v>
      </c>
      <c r="O24" s="31">
        <v>92646105932</v>
      </c>
      <c r="P24" s="32">
        <f t="shared" si="8"/>
        <v>0.11639928928626345</v>
      </c>
      <c r="Q24" s="31">
        <v>91647550760</v>
      </c>
      <c r="R24" s="32">
        <f t="shared" si="9"/>
        <v>0.11200278182577962</v>
      </c>
      <c r="S24" s="130">
        <f t="shared" si="5"/>
        <v>-1.0778166680129172E-2</v>
      </c>
      <c r="T24" s="33">
        <f t="shared" si="10"/>
        <v>1.5843412376642984E-3</v>
      </c>
      <c r="U24" s="33">
        <f t="shared" si="11"/>
        <v>2.5945651842098393E-3</v>
      </c>
      <c r="V24" s="34">
        <f t="shared" si="14"/>
        <v>1</v>
      </c>
      <c r="W24" s="34">
        <f t="shared" si="15"/>
        <v>2.5945651842098393E-3</v>
      </c>
      <c r="X24" s="28"/>
      <c r="Y24" s="28"/>
      <c r="Z24" s="35">
        <v>74786</v>
      </c>
      <c r="AA24" s="39">
        <v>91647550760</v>
      </c>
      <c r="AB24" s="6"/>
      <c r="AC24" s="9"/>
    </row>
    <row r="25" spans="1:29" ht="18">
      <c r="A25" s="25">
        <v>20</v>
      </c>
      <c r="B25" s="26" t="s">
        <v>12</v>
      </c>
      <c r="C25" s="27" t="s">
        <v>18</v>
      </c>
      <c r="D25" s="28"/>
      <c r="E25" s="28"/>
      <c r="F25" s="28">
        <v>1093934235.71</v>
      </c>
      <c r="G25" s="28"/>
      <c r="H25" s="28"/>
      <c r="I25" s="28"/>
      <c r="J25" s="28">
        <v>1204986952.8599999</v>
      </c>
      <c r="K25" s="28">
        <v>1822178.7</v>
      </c>
      <c r="L25" s="37">
        <v>3918703.8</v>
      </c>
      <c r="M25" s="28">
        <v>1234993867.8499999</v>
      </c>
      <c r="N25" s="28">
        <v>8931084.1999999993</v>
      </c>
      <c r="O25" s="31">
        <v>1267449623.53</v>
      </c>
      <c r="P25" s="32">
        <f t="shared" si="8"/>
        <v>1.592406220433245E-3</v>
      </c>
      <c r="Q25" s="31">
        <v>1226062783.6500001</v>
      </c>
      <c r="R25" s="32">
        <f t="shared" si="9"/>
        <v>1.4983754756465791E-3</v>
      </c>
      <c r="S25" s="130">
        <f t="shared" si="5"/>
        <v>-3.2653636966440164E-2</v>
      </c>
      <c r="T25" s="33">
        <f t="shared" si="10"/>
        <v>1.4862034182094308E-3</v>
      </c>
      <c r="U25" s="33">
        <f t="shared" si="11"/>
        <v>3.1961689501201424E-3</v>
      </c>
      <c r="V25" s="34">
        <f t="shared" si="14"/>
        <v>9.7550924178959963</v>
      </c>
      <c r="W25" s="34">
        <f t="shared" si="15"/>
        <v>3.1178923491631604E-2</v>
      </c>
      <c r="X25" s="28">
        <v>10</v>
      </c>
      <c r="Y25" s="28">
        <v>10</v>
      </c>
      <c r="Z25" s="35">
        <v>1165</v>
      </c>
      <c r="AA25" s="39">
        <v>125684384.23</v>
      </c>
      <c r="AB25" s="6"/>
      <c r="AC25" s="9"/>
    </row>
    <row r="26" spans="1:29" ht="18">
      <c r="A26" s="25">
        <v>21</v>
      </c>
      <c r="B26" s="26" t="s">
        <v>73</v>
      </c>
      <c r="C26" s="27" t="s">
        <v>74</v>
      </c>
      <c r="D26" s="28"/>
      <c r="E26" s="28"/>
      <c r="F26" s="28">
        <v>5243566286.7799997</v>
      </c>
      <c r="G26" s="28"/>
      <c r="H26" s="28"/>
      <c r="I26" s="28"/>
      <c r="J26" s="28">
        <v>5243566286.7799997</v>
      </c>
      <c r="K26" s="54">
        <v>9086825.9199999999</v>
      </c>
      <c r="L26" s="37">
        <v>24635353.780000001</v>
      </c>
      <c r="M26" s="28">
        <v>9802664424.8099995</v>
      </c>
      <c r="N26" s="45">
        <v>131442631.68000001</v>
      </c>
      <c r="O26" s="31">
        <v>9238992629.2299995</v>
      </c>
      <c r="P26" s="32">
        <f t="shared" si="8"/>
        <v>1.160774287213674E-2</v>
      </c>
      <c r="Q26" s="31">
        <v>9671221793.1299992</v>
      </c>
      <c r="R26" s="32">
        <f t="shared" si="9"/>
        <v>1.1819232870950151E-2</v>
      </c>
      <c r="S26" s="130">
        <f t="shared" si="5"/>
        <v>4.678314847146086E-2</v>
      </c>
      <c r="T26" s="33">
        <f t="shared" si="10"/>
        <v>9.3957372857014527E-4</v>
      </c>
      <c r="U26" s="33">
        <f t="shared" si="11"/>
        <v>2.5472845424246034E-3</v>
      </c>
      <c r="V26" s="34">
        <f t="shared" si="14"/>
        <v>100.42963492832067</v>
      </c>
      <c r="W26" s="34">
        <f t="shared" si="15"/>
        <v>0.2558228566542573</v>
      </c>
      <c r="X26" s="28">
        <v>100</v>
      </c>
      <c r="Y26" s="28">
        <v>100</v>
      </c>
      <c r="Z26" s="35">
        <v>5031</v>
      </c>
      <c r="AA26" s="39">
        <v>96298486</v>
      </c>
      <c r="AB26" s="6"/>
      <c r="AC26" s="9"/>
    </row>
    <row r="27" spans="1:29" s="7" customFormat="1" ht="18">
      <c r="A27" s="25">
        <v>22</v>
      </c>
      <c r="B27" s="66" t="s">
        <v>78</v>
      </c>
      <c r="C27" s="42" t="s">
        <v>131</v>
      </c>
      <c r="D27" s="45"/>
      <c r="E27" s="45"/>
      <c r="F27" s="45">
        <v>11812755384.620001</v>
      </c>
      <c r="G27" s="45"/>
      <c r="H27" s="45"/>
      <c r="I27" s="45"/>
      <c r="J27" s="45">
        <v>11812755384.620001</v>
      </c>
      <c r="K27" s="45">
        <v>40947368.520000003</v>
      </c>
      <c r="L27" s="37">
        <v>70383066.390000001</v>
      </c>
      <c r="M27" s="45">
        <v>32828624725.889999</v>
      </c>
      <c r="N27" s="45">
        <v>162651731.55000001</v>
      </c>
      <c r="O27" s="31">
        <v>33893391527.860001</v>
      </c>
      <c r="P27" s="32">
        <f t="shared" si="8"/>
        <v>4.2583189500048968E-2</v>
      </c>
      <c r="Q27" s="31">
        <v>32665972994.34</v>
      </c>
      <c r="R27" s="32">
        <f t="shared" si="9"/>
        <v>3.9921196104770539E-2</v>
      </c>
      <c r="S27" s="130">
        <f t="shared" si="5"/>
        <v>-3.6214095969448079E-2</v>
      </c>
      <c r="T27" s="33">
        <f t="shared" ref="T27:T43" si="16">(K27/Q27)</f>
        <v>1.2535174913386143E-3</v>
      </c>
      <c r="U27" s="33">
        <f t="shared" si="11"/>
        <v>2.154629418269439E-3</v>
      </c>
      <c r="V27" s="34">
        <f t="shared" si="14"/>
        <v>1.0021002113272743</v>
      </c>
      <c r="W27" s="34">
        <f t="shared" si="15"/>
        <v>2.1591545953797671E-3</v>
      </c>
      <c r="X27" s="45">
        <v>1</v>
      </c>
      <c r="Y27" s="45">
        <v>1</v>
      </c>
      <c r="Z27" s="21">
        <v>17219</v>
      </c>
      <c r="AA27" s="80">
        <v>32597511331.799999</v>
      </c>
      <c r="AB27" s="6"/>
      <c r="AC27" s="9"/>
    </row>
    <row r="28" spans="1:29" ht="18">
      <c r="A28" s="25">
        <v>23</v>
      </c>
      <c r="B28" s="28" t="s">
        <v>63</v>
      </c>
      <c r="C28" s="53" t="s">
        <v>79</v>
      </c>
      <c r="D28" s="38"/>
      <c r="E28" s="28"/>
      <c r="F28" s="28">
        <v>1117641421.4200001</v>
      </c>
      <c r="G28" s="28"/>
      <c r="H28" s="38"/>
      <c r="I28" s="28"/>
      <c r="J28" s="28">
        <v>1117641421.4200001</v>
      </c>
      <c r="K28" s="28">
        <v>1288548.93</v>
      </c>
      <c r="L28" s="37">
        <v>2707831.52</v>
      </c>
      <c r="M28" s="28">
        <v>1146235130.72</v>
      </c>
      <c r="N28" s="28">
        <v>1162408.5</v>
      </c>
      <c r="O28" s="31">
        <v>1080354949.6600001</v>
      </c>
      <c r="P28" s="32">
        <f t="shared" si="8"/>
        <v>1.357343053464333E-3</v>
      </c>
      <c r="Q28" s="31">
        <v>1138437140.28</v>
      </c>
      <c r="R28" s="32">
        <f t="shared" si="9"/>
        <v>1.3912878804481573E-3</v>
      </c>
      <c r="S28" s="130">
        <f t="shared" si="5"/>
        <v>5.376213682205002E-2</v>
      </c>
      <c r="T28" s="33">
        <f t="shared" si="16"/>
        <v>1.1318577762519939E-3</v>
      </c>
      <c r="U28" s="33">
        <f t="shared" si="11"/>
        <v>2.3785516338073842E-3</v>
      </c>
      <c r="V28" s="34">
        <f t="shared" si="14"/>
        <v>10.005892335065905</v>
      </c>
      <c r="W28" s="34">
        <f t="shared" si="15"/>
        <v>2.3799531561271792E-2</v>
      </c>
      <c r="X28" s="28">
        <v>10</v>
      </c>
      <c r="Y28" s="28">
        <v>10</v>
      </c>
      <c r="Z28" s="35">
        <v>311</v>
      </c>
      <c r="AA28" s="39">
        <v>113776673</v>
      </c>
      <c r="AB28" s="6"/>
      <c r="AC28" s="9"/>
    </row>
    <row r="29" spans="1:29" ht="18">
      <c r="A29" s="25">
        <v>24</v>
      </c>
      <c r="B29" s="28" t="s">
        <v>6</v>
      </c>
      <c r="C29" s="53" t="s">
        <v>95</v>
      </c>
      <c r="D29" s="28"/>
      <c r="E29" s="28"/>
      <c r="F29" s="28">
        <v>2384396869.7399998</v>
      </c>
      <c r="G29" s="28"/>
      <c r="H29" s="28"/>
      <c r="I29" s="28"/>
      <c r="J29" s="28">
        <v>2614039721.96</v>
      </c>
      <c r="K29" s="28">
        <v>4050328.71</v>
      </c>
      <c r="L29" s="37">
        <v>4050328.71</v>
      </c>
      <c r="M29" s="28">
        <v>2614039721.96</v>
      </c>
      <c r="N29" s="28">
        <v>40065473.780000001</v>
      </c>
      <c r="O29" s="31">
        <v>2968264181.3200002</v>
      </c>
      <c r="P29" s="32">
        <f t="shared" si="8"/>
        <v>3.7292861652826735E-3</v>
      </c>
      <c r="Q29" s="31">
        <v>2592580829.3000002</v>
      </c>
      <c r="R29" s="32">
        <f t="shared" si="9"/>
        <v>3.1684018021409339E-3</v>
      </c>
      <c r="S29" s="130">
        <f t="shared" si="5"/>
        <v>-0.12656668310868877</v>
      </c>
      <c r="T29" s="33">
        <f t="shared" si="16"/>
        <v>1.5622767337570699E-3</v>
      </c>
      <c r="U29" s="33">
        <f t="shared" si="11"/>
        <v>1.5622767337570699E-3</v>
      </c>
      <c r="V29" s="34">
        <f t="shared" si="14"/>
        <v>100.00000001157149</v>
      </c>
      <c r="W29" s="34">
        <f t="shared" si="15"/>
        <v>0.15622767339378488</v>
      </c>
      <c r="X29" s="28">
        <v>100</v>
      </c>
      <c r="Y29" s="28">
        <v>100</v>
      </c>
      <c r="Z29" s="35">
        <v>827</v>
      </c>
      <c r="AA29" s="39">
        <v>25925808.289999999</v>
      </c>
      <c r="AB29" s="6"/>
      <c r="AC29" s="9"/>
    </row>
    <row r="30" spans="1:29" ht="16.5">
      <c r="A30" s="25">
        <v>25</v>
      </c>
      <c r="B30" s="26" t="s">
        <v>26</v>
      </c>
      <c r="C30" s="27" t="s">
        <v>83</v>
      </c>
      <c r="D30" s="28"/>
      <c r="E30" s="28"/>
      <c r="F30" s="28">
        <v>11163507885.450001</v>
      </c>
      <c r="G30" s="28"/>
      <c r="H30" s="28"/>
      <c r="I30" s="28"/>
      <c r="J30" s="28">
        <v>11163507885.450001</v>
      </c>
      <c r="K30" s="81">
        <v>16964926.489999998</v>
      </c>
      <c r="L30" s="37">
        <v>26934116.120000001</v>
      </c>
      <c r="M30" s="28">
        <v>11435521751.540001</v>
      </c>
      <c r="N30" s="28">
        <v>119443346.29000001</v>
      </c>
      <c r="O30" s="31">
        <v>11213292590.1</v>
      </c>
      <c r="P30" s="32">
        <f t="shared" si="8"/>
        <v>1.4088226104231123E-2</v>
      </c>
      <c r="Q30" s="31">
        <v>11316078405.25</v>
      </c>
      <c r="R30" s="32">
        <f t="shared" si="9"/>
        <v>1.3829417701141759E-2</v>
      </c>
      <c r="S30" s="130">
        <f t="shared" si="5"/>
        <v>9.1664258578918415E-3</v>
      </c>
      <c r="T30" s="33">
        <f t="shared" si="16"/>
        <v>1.4991877824149099E-3</v>
      </c>
      <c r="U30" s="33">
        <f t="shared" si="11"/>
        <v>2.3801634413830276E-3</v>
      </c>
      <c r="V30" s="34">
        <f t="shared" si="14"/>
        <v>94.313074668378107</v>
      </c>
      <c r="W30" s="34">
        <f t="shared" si="15"/>
        <v>0.22448053237010127</v>
      </c>
      <c r="X30" s="28">
        <v>100</v>
      </c>
      <c r="Y30" s="28">
        <v>100</v>
      </c>
      <c r="Z30" s="35">
        <v>5548</v>
      </c>
      <c r="AA30" s="39">
        <v>119984195.67</v>
      </c>
    </row>
    <row r="31" spans="1:29" ht="16.5">
      <c r="A31" s="25">
        <v>26</v>
      </c>
      <c r="B31" s="26" t="s">
        <v>84</v>
      </c>
      <c r="C31" s="27" t="s">
        <v>85</v>
      </c>
      <c r="D31" s="28"/>
      <c r="E31" s="28"/>
      <c r="F31" s="81">
        <v>6907418025.2299995</v>
      </c>
      <c r="G31" s="28">
        <v>171133235.74000001</v>
      </c>
      <c r="H31" s="28"/>
      <c r="I31" s="28"/>
      <c r="J31" s="28">
        <v>15329781301.559999</v>
      </c>
      <c r="K31" s="28">
        <v>14475601.119999999</v>
      </c>
      <c r="L31" s="37">
        <v>38326320.159999996</v>
      </c>
      <c r="M31" s="28">
        <v>15329781301.559999</v>
      </c>
      <c r="N31" s="28">
        <v>128689712.59</v>
      </c>
      <c r="O31" s="31">
        <v>14364508807.43</v>
      </c>
      <c r="P31" s="32">
        <f t="shared" si="8"/>
        <v>1.8047370683429965E-2</v>
      </c>
      <c r="Q31" s="31">
        <v>15201091588.969999</v>
      </c>
      <c r="R31" s="32">
        <f t="shared" si="9"/>
        <v>1.8577305455894328E-2</v>
      </c>
      <c r="S31" s="130">
        <f t="shared" si="5"/>
        <v>5.8239567586695275E-2</v>
      </c>
      <c r="T31" s="33">
        <f t="shared" si="16"/>
        <v>9.5227379134427289E-4</v>
      </c>
      <c r="U31" s="33">
        <f t="shared" si="11"/>
        <v>2.5212873651659197E-3</v>
      </c>
      <c r="V31" s="34">
        <f t="shared" si="14"/>
        <v>99.826506038505144</v>
      </c>
      <c r="W31" s="34">
        <f t="shared" si="15"/>
        <v>0.25169130838354242</v>
      </c>
      <c r="X31" s="28">
        <v>100</v>
      </c>
      <c r="Y31" s="28">
        <v>100</v>
      </c>
      <c r="Z31" s="35">
        <v>2367</v>
      </c>
      <c r="AA31" s="39">
        <v>152275104</v>
      </c>
    </row>
    <row r="32" spans="1:29" ht="16.5">
      <c r="A32" s="25">
        <v>27</v>
      </c>
      <c r="B32" s="26" t="s">
        <v>84</v>
      </c>
      <c r="C32" s="27" t="s">
        <v>94</v>
      </c>
      <c r="D32" s="28"/>
      <c r="E32" s="28"/>
      <c r="F32" s="28">
        <v>259392906.66999999</v>
      </c>
      <c r="G32" s="28"/>
      <c r="H32" s="28"/>
      <c r="I32" s="28"/>
      <c r="J32" s="28">
        <v>629709048.75999999</v>
      </c>
      <c r="K32" s="28">
        <v>461826.55</v>
      </c>
      <c r="L32" s="37">
        <v>983969.82</v>
      </c>
      <c r="M32" s="28">
        <v>629709048.75999999</v>
      </c>
      <c r="N32" s="28">
        <v>4525838.67</v>
      </c>
      <c r="O32" s="31">
        <v>608700673.20000005</v>
      </c>
      <c r="P32" s="32">
        <f t="shared" si="8"/>
        <v>7.6476312777305506E-4</v>
      </c>
      <c r="Q32" s="31">
        <v>625183210.09000003</v>
      </c>
      <c r="R32" s="32">
        <f t="shared" si="9"/>
        <v>7.6403851603432441E-4</v>
      </c>
      <c r="S32" s="130">
        <f t="shared" si="5"/>
        <v>2.7078230098464731E-2</v>
      </c>
      <c r="T32" s="33">
        <f t="shared" si="16"/>
        <v>7.3870593858961183E-4</v>
      </c>
      <c r="U32" s="33">
        <f t="shared" si="11"/>
        <v>1.5738903478523516E-3</v>
      </c>
      <c r="V32" s="34">
        <f t="shared" si="14"/>
        <v>1002667.4526719272</v>
      </c>
      <c r="W32" s="34">
        <f t="shared" si="15"/>
        <v>1578.0886258660507</v>
      </c>
      <c r="X32" s="28">
        <v>100</v>
      </c>
      <c r="Y32" s="28">
        <v>100</v>
      </c>
      <c r="Z32" s="35">
        <v>7</v>
      </c>
      <c r="AA32" s="39">
        <v>623.52</v>
      </c>
    </row>
    <row r="33" spans="1:31" ht="16.5">
      <c r="A33" s="25">
        <v>28</v>
      </c>
      <c r="B33" s="26" t="s">
        <v>64</v>
      </c>
      <c r="C33" s="27" t="s">
        <v>107</v>
      </c>
      <c r="D33" s="28"/>
      <c r="E33" s="28"/>
      <c r="F33" s="28">
        <v>629683167.10000002</v>
      </c>
      <c r="G33" s="28"/>
      <c r="H33" s="38"/>
      <c r="I33" s="28"/>
      <c r="J33" s="28">
        <v>629683167.10000002</v>
      </c>
      <c r="K33" s="29">
        <v>1339057.6399999999</v>
      </c>
      <c r="L33" s="37">
        <v>110762.35</v>
      </c>
      <c r="M33" s="28">
        <v>644725441.26999998</v>
      </c>
      <c r="N33" s="28">
        <v>25043000.719999999</v>
      </c>
      <c r="O33" s="31">
        <v>619553142.97000003</v>
      </c>
      <c r="P33" s="32">
        <f t="shared" si="8"/>
        <v>7.783980210642618E-4</v>
      </c>
      <c r="Q33" s="31">
        <v>619682440.53999996</v>
      </c>
      <c r="R33" s="32">
        <f t="shared" si="9"/>
        <v>7.5731600695826682E-4</v>
      </c>
      <c r="S33" s="130">
        <f t="shared" si="5"/>
        <v>2.0869488189521472E-4</v>
      </c>
      <c r="T33" s="33">
        <f t="shared" si="16"/>
        <v>2.1608771725613626E-3</v>
      </c>
      <c r="U33" s="33">
        <f t="shared" si="11"/>
        <v>1.787405011887704E-4</v>
      </c>
      <c r="V33" s="34">
        <f t="shared" si="14"/>
        <v>99.997473050183629</v>
      </c>
      <c r="W33" s="34">
        <f t="shared" si="15"/>
        <v>1.7873598450600381E-2</v>
      </c>
      <c r="X33" s="82">
        <v>100</v>
      </c>
      <c r="Y33" s="82">
        <v>100</v>
      </c>
      <c r="Z33" s="35">
        <v>614</v>
      </c>
      <c r="AA33" s="39">
        <v>6196981</v>
      </c>
    </row>
    <row r="34" spans="1:31" ht="16.5">
      <c r="A34" s="25">
        <v>29</v>
      </c>
      <c r="B34" s="26" t="s">
        <v>2</v>
      </c>
      <c r="C34" s="27" t="s">
        <v>138</v>
      </c>
      <c r="D34" s="28"/>
      <c r="E34" s="28"/>
      <c r="F34" s="28">
        <v>16096623977.6</v>
      </c>
      <c r="G34" s="28"/>
      <c r="H34" s="28"/>
      <c r="I34" s="21">
        <v>22604989</v>
      </c>
      <c r="J34" s="28">
        <v>16104100764.379999</v>
      </c>
      <c r="K34" s="28">
        <v>16466681.43</v>
      </c>
      <c r="L34" s="37">
        <v>22917799.620000001</v>
      </c>
      <c r="M34" s="54">
        <v>16081495775.719999</v>
      </c>
      <c r="N34" s="28">
        <v>16992847.34</v>
      </c>
      <c r="O34" s="31">
        <v>17033411438.51</v>
      </c>
      <c r="P34" s="32">
        <f t="shared" si="8"/>
        <v>2.1400543127180233E-2</v>
      </c>
      <c r="Q34" s="31">
        <v>16064502928.379999</v>
      </c>
      <c r="R34" s="32">
        <f t="shared" si="9"/>
        <v>1.963248337469202E-2</v>
      </c>
      <c r="S34" s="130">
        <f t="shared" si="5"/>
        <v>-5.6882821954235399E-2</v>
      </c>
      <c r="T34" s="33">
        <f t="shared" si="16"/>
        <v>1.0250352285043006E-3</v>
      </c>
      <c r="U34" s="33">
        <f t="shared" si="11"/>
        <v>1.4266111887914551E-3</v>
      </c>
      <c r="V34" s="34">
        <f t="shared" si="14"/>
        <v>0.99913134918615687</v>
      </c>
      <c r="W34" s="34">
        <f t="shared" si="15"/>
        <v>1.4253719618212736E-3</v>
      </c>
      <c r="X34" s="28">
        <v>1</v>
      </c>
      <c r="Y34" s="28">
        <v>1</v>
      </c>
      <c r="Z34" s="35">
        <v>1080</v>
      </c>
      <c r="AA34" s="39">
        <v>16078469504</v>
      </c>
    </row>
    <row r="35" spans="1:31" ht="16.5">
      <c r="A35" s="25">
        <v>30</v>
      </c>
      <c r="B35" s="26" t="s">
        <v>28</v>
      </c>
      <c r="C35" s="27" t="s">
        <v>103</v>
      </c>
      <c r="D35" s="28"/>
      <c r="E35" s="28"/>
      <c r="F35" s="28">
        <v>15117773328.809999</v>
      </c>
      <c r="G35" s="28"/>
      <c r="H35" s="28"/>
      <c r="I35" s="28"/>
      <c r="J35" s="28">
        <v>15117773328.809999</v>
      </c>
      <c r="K35" s="28">
        <v>15180127.32</v>
      </c>
      <c r="L35" s="37">
        <v>35862891.340000004</v>
      </c>
      <c r="M35" s="28">
        <v>15117773328.809999</v>
      </c>
      <c r="N35" s="28">
        <v>15180127.32</v>
      </c>
      <c r="O35" s="31">
        <v>15252242007.73</v>
      </c>
      <c r="P35" s="32">
        <f t="shared" si="8"/>
        <v>1.9162706428534921E-2</v>
      </c>
      <c r="Q35" s="31">
        <v>15102593201.49</v>
      </c>
      <c r="R35" s="32">
        <f t="shared" si="9"/>
        <v>1.8456930243336785E-2</v>
      </c>
      <c r="S35" s="130">
        <f t="shared" si="5"/>
        <v>-9.81159400461625E-3</v>
      </c>
      <c r="T35" s="33">
        <f t="shared" si="16"/>
        <v>1.0051338281761009E-3</v>
      </c>
      <c r="U35" s="33">
        <f t="shared" si="11"/>
        <v>2.3746181110447856E-3</v>
      </c>
      <c r="V35" s="34">
        <f t="shared" si="14"/>
        <v>1.0068177590873963</v>
      </c>
      <c r="W35" s="34">
        <f t="shared" si="15"/>
        <v>2.3908076852504571E-3</v>
      </c>
      <c r="X35" s="28">
        <v>1</v>
      </c>
      <c r="Y35" s="28">
        <v>1</v>
      </c>
      <c r="Z35" s="35">
        <v>1878</v>
      </c>
      <c r="AA35" s="39">
        <v>15000324602.120001</v>
      </c>
      <c r="AB35" s="10"/>
      <c r="AC35" s="10"/>
      <c r="AD35" s="10"/>
      <c r="AE35" s="10"/>
    </row>
    <row r="36" spans="1:31" s="10" customFormat="1" ht="16.5">
      <c r="A36" s="25">
        <v>31</v>
      </c>
      <c r="B36" s="27" t="s">
        <v>86</v>
      </c>
      <c r="C36" s="27" t="s">
        <v>100</v>
      </c>
      <c r="D36" s="53"/>
      <c r="E36" s="53"/>
      <c r="F36" s="53">
        <v>2700290307.3000002</v>
      </c>
      <c r="G36" s="53"/>
      <c r="H36" s="53"/>
      <c r="I36" s="53"/>
      <c r="J36" s="53">
        <v>7029870431.1199999</v>
      </c>
      <c r="K36" s="53">
        <v>9908673.1600000001</v>
      </c>
      <c r="L36" s="67">
        <v>19368961.309999999</v>
      </c>
      <c r="M36" s="53">
        <v>7029870431.1199999</v>
      </c>
      <c r="N36" s="53">
        <v>91513165.260000005</v>
      </c>
      <c r="O36" s="68">
        <v>6682093169.71</v>
      </c>
      <c r="P36" s="69">
        <f t="shared" si="8"/>
        <v>8.3952896678649302E-3</v>
      </c>
      <c r="Q36" s="68">
        <v>7019961757.96</v>
      </c>
      <c r="R36" s="69">
        <f t="shared" si="9"/>
        <v>8.5791190128048141E-3</v>
      </c>
      <c r="S36" s="130">
        <f t="shared" si="5"/>
        <v>5.0563286034615906E-2</v>
      </c>
      <c r="T36" s="70">
        <f t="shared" si="16"/>
        <v>1.4114995923965631E-3</v>
      </c>
      <c r="U36" s="33">
        <f t="shared" si="11"/>
        <v>2.7591263282933632E-3</v>
      </c>
      <c r="V36" s="34">
        <f t="shared" si="14"/>
        <v>99.966332493820431</v>
      </c>
      <c r="W36" s="34">
        <f t="shared" si="15"/>
        <v>0.27581973992662828</v>
      </c>
      <c r="X36" s="53">
        <v>100</v>
      </c>
      <c r="Y36" s="53">
        <v>100</v>
      </c>
      <c r="Z36" s="83">
        <v>710</v>
      </c>
      <c r="AA36" s="84">
        <v>70223260</v>
      </c>
      <c r="AB36" s="1"/>
      <c r="AC36" s="1"/>
      <c r="AD36" s="1"/>
      <c r="AE36" s="1"/>
    </row>
    <row r="37" spans="1:31" ht="16.5">
      <c r="A37" s="25">
        <v>32</v>
      </c>
      <c r="B37" s="26" t="s">
        <v>97</v>
      </c>
      <c r="C37" s="27" t="s">
        <v>98</v>
      </c>
      <c r="D37" s="28"/>
      <c r="E37" s="28"/>
      <c r="F37" s="28">
        <v>9569960672.2199993</v>
      </c>
      <c r="G37" s="28"/>
      <c r="H37" s="28"/>
      <c r="I37" s="28"/>
      <c r="J37" s="28">
        <v>9569960672.2199993</v>
      </c>
      <c r="K37" s="28">
        <v>10365575.029999999</v>
      </c>
      <c r="L37" s="37">
        <v>18859345.690000001</v>
      </c>
      <c r="M37" s="28">
        <v>10079615054.73</v>
      </c>
      <c r="N37" s="28">
        <v>17519570.34</v>
      </c>
      <c r="O37" s="31">
        <v>9195646672.75</v>
      </c>
      <c r="P37" s="32">
        <f t="shared" si="8"/>
        <v>1.1553283610444637E-2</v>
      </c>
      <c r="Q37" s="31">
        <v>10062095484.389999</v>
      </c>
      <c r="R37" s="32">
        <f t="shared" si="9"/>
        <v>1.2296920931357527E-2</v>
      </c>
      <c r="S37" s="130">
        <f t="shared" si="5"/>
        <v>9.4223804205918221E-2</v>
      </c>
      <c r="T37" s="33">
        <f t="shared" si="16"/>
        <v>1.0301606704170923E-3</v>
      </c>
      <c r="U37" s="33">
        <f t="shared" si="11"/>
        <v>1.8742960369694129E-3</v>
      </c>
      <c r="V37" s="34">
        <f t="shared" si="14"/>
        <v>1.0019870627809833</v>
      </c>
      <c r="W37" s="34">
        <f t="shared" si="15"/>
        <v>1.8780203808650192E-3</v>
      </c>
      <c r="X37" s="28">
        <v>1</v>
      </c>
      <c r="Y37" s="28">
        <v>1</v>
      </c>
      <c r="Z37" s="35">
        <v>1331</v>
      </c>
      <c r="AA37" s="39">
        <v>10042141119.530001</v>
      </c>
    </row>
    <row r="38" spans="1:31" ht="16.5" customHeight="1">
      <c r="A38" s="25">
        <v>33</v>
      </c>
      <c r="B38" s="26" t="s">
        <v>117</v>
      </c>
      <c r="C38" s="42" t="s">
        <v>118</v>
      </c>
      <c r="D38" s="45"/>
      <c r="E38" s="28"/>
      <c r="F38" s="29">
        <v>30417705.739999998</v>
      </c>
      <c r="G38" s="28"/>
      <c r="H38" s="28"/>
      <c r="I38" s="28"/>
      <c r="J38" s="85">
        <v>815878275.42999995</v>
      </c>
      <c r="K38" s="86">
        <v>1414255.12</v>
      </c>
      <c r="L38" s="37">
        <v>1720519.49</v>
      </c>
      <c r="M38" s="87">
        <v>819215232.29999995</v>
      </c>
      <c r="N38" s="86">
        <v>5081388.72</v>
      </c>
      <c r="O38" s="31">
        <v>817433653.25999999</v>
      </c>
      <c r="P38" s="32">
        <f t="shared" si="8"/>
        <v>1.0270123641027583E-3</v>
      </c>
      <c r="Q38" s="31">
        <v>814133843.58000004</v>
      </c>
      <c r="R38" s="32">
        <f t="shared" si="9"/>
        <v>9.9495572443898152E-4</v>
      </c>
      <c r="S38" s="130">
        <f t="shared" si="5"/>
        <v>-4.0367920587071572E-3</v>
      </c>
      <c r="T38" s="33">
        <f t="shared" si="16"/>
        <v>1.7371285214984799E-3</v>
      </c>
      <c r="U38" s="33">
        <f t="shared" si="11"/>
        <v>2.113312821432825E-3</v>
      </c>
      <c r="V38" s="34">
        <f t="shared" si="14"/>
        <v>9.826130862135388</v>
      </c>
      <c r="W38" s="34">
        <f t="shared" si="15"/>
        <v>2.0765688336027491E-2</v>
      </c>
      <c r="X38" s="28">
        <v>10</v>
      </c>
      <c r="Y38" s="28">
        <v>10</v>
      </c>
      <c r="Z38" s="35">
        <v>307</v>
      </c>
      <c r="AA38" s="39">
        <v>82853959</v>
      </c>
    </row>
    <row r="39" spans="1:31" ht="16.5" customHeight="1">
      <c r="A39" s="25">
        <v>34</v>
      </c>
      <c r="B39" s="26" t="s">
        <v>143</v>
      </c>
      <c r="C39" s="42" t="s">
        <v>144</v>
      </c>
      <c r="D39" s="45"/>
      <c r="E39" s="28"/>
      <c r="F39" s="28">
        <v>354932916.14999998</v>
      </c>
      <c r="G39" s="28"/>
      <c r="H39" s="28"/>
      <c r="I39" s="28">
        <v>60004535.899999999</v>
      </c>
      <c r="J39" s="28">
        <v>728093400.16999996</v>
      </c>
      <c r="K39" s="28">
        <v>1381737.85</v>
      </c>
      <c r="L39" s="37">
        <v>9567377.8300000001</v>
      </c>
      <c r="M39" s="28">
        <v>1249760564.79</v>
      </c>
      <c r="N39" s="28">
        <v>1132362.97</v>
      </c>
      <c r="O39" s="31">
        <v>1266719012.6500001</v>
      </c>
      <c r="P39" s="32">
        <f t="shared" si="8"/>
        <v>1.5914882910036021E-3</v>
      </c>
      <c r="Q39" s="31">
        <v>1248313201.8199999</v>
      </c>
      <c r="R39" s="32">
        <f t="shared" si="9"/>
        <v>1.5255677869648926E-3</v>
      </c>
      <c r="S39" s="130">
        <f t="shared" si="5"/>
        <v>-1.4530302810798472E-2</v>
      </c>
      <c r="T39" s="33">
        <f t="shared" si="16"/>
        <v>1.1068839518683863E-3</v>
      </c>
      <c r="U39" s="33">
        <f t="shared" si="11"/>
        <v>7.6642446911969492E-3</v>
      </c>
      <c r="V39" s="34">
        <f t="shared" si="14"/>
        <v>1.0021938079306323</v>
      </c>
      <c r="W39" s="34">
        <f t="shared" si="15"/>
        <v>7.6810585719828042E-3</v>
      </c>
      <c r="X39" s="28">
        <v>1</v>
      </c>
      <c r="Y39" s="28">
        <v>1</v>
      </c>
      <c r="Z39" s="35">
        <v>193</v>
      </c>
      <c r="AA39" s="39">
        <v>1245580637.1400001</v>
      </c>
    </row>
    <row r="40" spans="1:31" ht="16.5" customHeight="1">
      <c r="A40" s="25">
        <v>35</v>
      </c>
      <c r="B40" s="26" t="s">
        <v>24</v>
      </c>
      <c r="C40" s="42" t="s">
        <v>149</v>
      </c>
      <c r="D40" s="45"/>
      <c r="E40" s="28"/>
      <c r="F40" s="28">
        <v>7680509537.0600004</v>
      </c>
      <c r="G40" s="28"/>
      <c r="H40" s="28"/>
      <c r="I40" s="28"/>
      <c r="J40" s="28">
        <v>7680509537.0600004</v>
      </c>
      <c r="K40" s="28">
        <v>4938206.9000000004</v>
      </c>
      <c r="L40" s="37">
        <v>31190089.960000001</v>
      </c>
      <c r="M40" s="28">
        <v>9257893942.9699993</v>
      </c>
      <c r="N40" s="28">
        <v>68304624.040000007</v>
      </c>
      <c r="O40" s="88">
        <v>9826919488.6399994</v>
      </c>
      <c r="P40" s="32">
        <f t="shared" si="8"/>
        <v>1.2346406066873258E-2</v>
      </c>
      <c r="Q40" s="88">
        <v>9189589318.9300003</v>
      </c>
      <c r="R40" s="32">
        <f t="shared" si="9"/>
        <v>1.1230628194876503E-2</v>
      </c>
      <c r="S40" s="130">
        <f t="shared" si="5"/>
        <v>-6.4855539973310866E-2</v>
      </c>
      <c r="T40" s="33">
        <f t="shared" si="16"/>
        <v>5.373697048493333E-4</v>
      </c>
      <c r="U40" s="33">
        <f t="shared" si="11"/>
        <v>3.3940678824188907E-3</v>
      </c>
      <c r="V40" s="34">
        <f t="shared" si="14"/>
        <v>99.874247029658591</v>
      </c>
      <c r="W40" s="34">
        <f t="shared" si="15"/>
        <v>0.3389799741241345</v>
      </c>
      <c r="X40" s="28">
        <v>100</v>
      </c>
      <c r="Y40" s="28">
        <v>100</v>
      </c>
      <c r="Z40" s="35">
        <v>1016</v>
      </c>
      <c r="AA40" s="39">
        <v>92011600.510000005</v>
      </c>
    </row>
    <row r="41" spans="1:31" ht="16.5" customHeight="1">
      <c r="A41" s="25">
        <v>36</v>
      </c>
      <c r="B41" s="66" t="s">
        <v>145</v>
      </c>
      <c r="C41" s="42" t="s">
        <v>146</v>
      </c>
      <c r="D41" s="45"/>
      <c r="E41" s="45"/>
      <c r="F41" s="45">
        <v>354932916.14999998</v>
      </c>
      <c r="G41" s="45"/>
      <c r="H41" s="45"/>
      <c r="I41" s="45">
        <v>956420.35</v>
      </c>
      <c r="J41" s="45">
        <v>354932916.14999998</v>
      </c>
      <c r="K41" s="45">
        <v>1711296.84</v>
      </c>
      <c r="L41" s="37">
        <v>1483870.48</v>
      </c>
      <c r="M41" s="45">
        <v>717246482.07000005</v>
      </c>
      <c r="N41" s="45">
        <v>8734369.1300000008</v>
      </c>
      <c r="O41" s="31">
        <v>716941038.15999997</v>
      </c>
      <c r="P41" s="32">
        <f t="shared" si="8"/>
        <v>9.007548289534285E-4</v>
      </c>
      <c r="Q41" s="31">
        <v>708512112.94000006</v>
      </c>
      <c r="R41" s="32">
        <f t="shared" si="9"/>
        <v>8.6587505010745974E-4</v>
      </c>
      <c r="S41" s="130">
        <f t="shared" si="5"/>
        <v>-1.1756789988800757E-2</v>
      </c>
      <c r="T41" s="33">
        <f t="shared" si="16"/>
        <v>2.4153388611789623E-3</v>
      </c>
      <c r="U41" s="33">
        <f t="shared" si="11"/>
        <v>2.0943473695073729E-3</v>
      </c>
      <c r="V41" s="34">
        <f t="shared" si="14"/>
        <v>1.0114212285523767</v>
      </c>
      <c r="W41" s="34">
        <f t="shared" si="15"/>
        <v>2.1182673894825856E-3</v>
      </c>
      <c r="X41" s="45">
        <v>1</v>
      </c>
      <c r="Y41" s="45">
        <v>1</v>
      </c>
      <c r="Z41" s="89">
        <v>427</v>
      </c>
      <c r="AA41" s="50">
        <v>700511412</v>
      </c>
      <c r="AB41" s="7"/>
      <c r="AC41" s="7"/>
      <c r="AD41" s="7"/>
      <c r="AE41" s="7"/>
    </row>
    <row r="42" spans="1:31" s="7" customFormat="1" ht="16.5" customHeight="1">
      <c r="A42" s="25">
        <v>37</v>
      </c>
      <c r="B42" s="66" t="s">
        <v>154</v>
      </c>
      <c r="C42" s="42" t="s">
        <v>153</v>
      </c>
      <c r="D42" s="45"/>
      <c r="E42" s="45"/>
      <c r="F42" s="45">
        <v>290271890.55000001</v>
      </c>
      <c r="G42" s="45"/>
      <c r="H42" s="45"/>
      <c r="I42" s="45"/>
      <c r="J42" s="45">
        <v>290271890.55000001</v>
      </c>
      <c r="K42" s="45">
        <v>428558.11</v>
      </c>
      <c r="L42" s="37">
        <v>273991.28000000003</v>
      </c>
      <c r="M42" s="29">
        <v>301725461.49000001</v>
      </c>
      <c r="N42" s="29">
        <v>428558.11</v>
      </c>
      <c r="O42" s="31">
        <v>301533442.14999998</v>
      </c>
      <c r="P42" s="32">
        <f t="shared" si="8"/>
        <v>3.7884245656327872E-4</v>
      </c>
      <c r="Q42" s="31">
        <v>301296903.38</v>
      </c>
      <c r="R42" s="32">
        <f t="shared" si="9"/>
        <v>3.6821596490259703E-4</v>
      </c>
      <c r="S42" s="130">
        <f t="shared" ref="S42" si="17">((Q42-O42)/O42)</f>
        <v>-7.8445285641754131E-4</v>
      </c>
      <c r="T42" s="33">
        <f t="shared" ref="T42" si="18">(K42/Q42)</f>
        <v>1.4223780768815148E-3</v>
      </c>
      <c r="U42" s="33">
        <f t="shared" ref="U42" si="19">L42/Q42</f>
        <v>9.0937303678305078E-4</v>
      </c>
      <c r="V42" s="34">
        <f t="shared" ref="V42" si="20">Q42/AA42</f>
        <v>97.59207411411974</v>
      </c>
      <c r="W42" s="34">
        <f t="shared" ref="W42" si="21">L42/AA42</f>
        <v>8.8747600803113627E-2</v>
      </c>
      <c r="X42" s="45">
        <v>100</v>
      </c>
      <c r="Y42" s="45">
        <v>100</v>
      </c>
      <c r="Z42" s="89">
        <v>433</v>
      </c>
      <c r="AA42" s="81">
        <v>3087309.15</v>
      </c>
      <c r="AB42" s="1"/>
      <c r="AC42" s="1"/>
      <c r="AD42" s="1"/>
      <c r="AE42" s="1"/>
    </row>
    <row r="43" spans="1:31" s="7" customFormat="1" ht="16.5" customHeight="1">
      <c r="A43" s="25">
        <v>38</v>
      </c>
      <c r="B43" s="66" t="s">
        <v>171</v>
      </c>
      <c r="C43" s="42" t="s">
        <v>172</v>
      </c>
      <c r="D43" s="45"/>
      <c r="E43" s="45"/>
      <c r="F43" s="45">
        <v>98000000</v>
      </c>
      <c r="G43" s="45"/>
      <c r="H43" s="45"/>
      <c r="I43" s="45"/>
      <c r="J43" s="45">
        <v>98000000</v>
      </c>
      <c r="K43" s="45">
        <v>48983.9</v>
      </c>
      <c r="L43" s="37">
        <v>366890.42</v>
      </c>
      <c r="M43" s="29">
        <v>99518239.930000007</v>
      </c>
      <c r="N43" s="29">
        <v>99658911.900000006</v>
      </c>
      <c r="O43" s="31">
        <v>49146757.920000002</v>
      </c>
      <c r="P43" s="32">
        <f t="shared" si="8"/>
        <v>6.1747308589643873E-5</v>
      </c>
      <c r="Q43" s="31">
        <v>98265503.25</v>
      </c>
      <c r="R43" s="32">
        <f t="shared" si="9"/>
        <v>1.2009060395222053E-4</v>
      </c>
      <c r="S43" s="130">
        <f t="shared" si="5"/>
        <v>0.99943002160904282</v>
      </c>
      <c r="T43" s="33">
        <f t="shared" si="16"/>
        <v>4.9848520976256236E-4</v>
      </c>
      <c r="U43" s="33">
        <f t="shared" si="11"/>
        <v>3.7336644892214501E-3</v>
      </c>
      <c r="V43" s="34">
        <f t="shared" si="14"/>
        <v>0.9840749804657084</v>
      </c>
      <c r="W43" s="34">
        <f t="shared" si="15"/>
        <v>3.6742058092961074E-3</v>
      </c>
      <c r="X43" s="45">
        <v>1</v>
      </c>
      <c r="Y43" s="45">
        <v>1</v>
      </c>
      <c r="Z43" s="89">
        <v>16</v>
      </c>
      <c r="AA43" s="81">
        <v>99855707.340000004</v>
      </c>
      <c r="AB43" s="1"/>
      <c r="AC43" s="1"/>
      <c r="AD43" s="1"/>
      <c r="AE43" s="1"/>
    </row>
    <row r="44" spans="1:31" ht="16.5">
      <c r="A44" s="90" t="s">
        <v>150</v>
      </c>
      <c r="B44" s="91"/>
      <c r="C44" s="75" t="s">
        <v>59</v>
      </c>
      <c r="D44" s="28"/>
      <c r="E44" s="28"/>
      <c r="F44" s="28"/>
      <c r="G44" s="28"/>
      <c r="H44" s="28"/>
      <c r="I44" s="28"/>
      <c r="J44" s="28"/>
      <c r="K44" s="28"/>
      <c r="L44" s="37"/>
      <c r="M44" s="28"/>
      <c r="N44" s="28"/>
      <c r="O44" s="76">
        <f>SUM(O20:O43)</f>
        <v>795933604922.21997</v>
      </c>
      <c r="P44" s="77">
        <f>(O44/$O$119)</f>
        <v>0.5803652972514568</v>
      </c>
      <c r="Q44" s="76">
        <f>SUM(Q20:Q43)</f>
        <v>818261379458.92993</v>
      </c>
      <c r="R44" s="77">
        <f>(Q44/$Q$119)</f>
        <v>0.55715163944136614</v>
      </c>
      <c r="S44" s="130">
        <f t="shared" si="5"/>
        <v>2.805230787923808E-2</v>
      </c>
      <c r="T44" s="33"/>
      <c r="U44" s="33"/>
      <c r="V44" s="34"/>
      <c r="W44" s="34"/>
      <c r="X44" s="28"/>
      <c r="Y44" s="28"/>
      <c r="Z44" s="78">
        <f>SUM(Z20:Z43)</f>
        <v>249164</v>
      </c>
      <c r="AA44" s="39"/>
    </row>
    <row r="45" spans="1:31" ht="16.5">
      <c r="A45" s="92"/>
      <c r="B45" s="93"/>
      <c r="C45" s="94" t="s">
        <v>19</v>
      </c>
      <c r="D45" s="95"/>
      <c r="E45" s="95"/>
      <c r="F45" s="95"/>
      <c r="G45" s="95"/>
      <c r="H45" s="95"/>
      <c r="I45" s="95"/>
      <c r="J45" s="96"/>
      <c r="K45" s="95"/>
      <c r="L45" s="95"/>
      <c r="M45" s="95"/>
      <c r="N45" s="95"/>
      <c r="O45" s="95"/>
      <c r="P45" s="141"/>
      <c r="Q45" s="95"/>
      <c r="R45" s="141"/>
      <c r="S45" s="130"/>
      <c r="T45" s="139"/>
      <c r="U45" s="139"/>
      <c r="V45" s="140"/>
      <c r="W45" s="140"/>
      <c r="X45" s="95"/>
      <c r="Y45" s="95"/>
      <c r="Z45" s="95"/>
      <c r="AA45" s="97"/>
    </row>
    <row r="46" spans="1:31" ht="16.5">
      <c r="A46" s="25">
        <v>39</v>
      </c>
      <c r="B46" s="26" t="s">
        <v>1</v>
      </c>
      <c r="C46" s="27" t="s">
        <v>20</v>
      </c>
      <c r="D46" s="28"/>
      <c r="E46" s="28"/>
      <c r="F46" s="28">
        <v>30525084917.130001</v>
      </c>
      <c r="G46" s="28">
        <v>93971912210.869995</v>
      </c>
      <c r="H46" s="28"/>
      <c r="I46" s="28"/>
      <c r="J46" s="28">
        <v>124539079778.27</v>
      </c>
      <c r="K46" s="28">
        <v>178034884.66999999</v>
      </c>
      <c r="L46" s="37">
        <v>538895659.88</v>
      </c>
      <c r="M46" s="28">
        <v>129839448109.35001</v>
      </c>
      <c r="N46" s="28">
        <v>202089874.37</v>
      </c>
      <c r="O46" s="31">
        <v>108319893526.39999</v>
      </c>
      <c r="P46" s="32">
        <f t="shared" ref="P46:P53" si="22">(O46/$O$57)</f>
        <v>0.46847785080307397</v>
      </c>
      <c r="Q46" s="31">
        <v>129637358234.98</v>
      </c>
      <c r="R46" s="32">
        <f t="shared" ref="R46:R53" si="23">(Q46/$Q$57)</f>
        <v>0.44663517165168209</v>
      </c>
      <c r="S46" s="130">
        <f t="shared" si="5"/>
        <v>0.19680101239560815</v>
      </c>
      <c r="T46" s="33">
        <f t="shared" ref="T46:T56" si="24">(K46/Q46)</f>
        <v>1.3733300885944845E-3</v>
      </c>
      <c r="U46" s="33">
        <f t="shared" ref="U46:U56" si="25">L46/Q46</f>
        <v>4.1569472505232682E-3</v>
      </c>
      <c r="V46" s="34">
        <f t="shared" si="12"/>
        <v>223.29144451714586</v>
      </c>
      <c r="W46" s="34">
        <f t="shared" ref="W46" si="26">L46/AA46</f>
        <v>0.92821075635091832</v>
      </c>
      <c r="X46" s="38">
        <v>223.29</v>
      </c>
      <c r="Y46" s="38">
        <v>223.29</v>
      </c>
      <c r="Z46" s="35">
        <v>5203</v>
      </c>
      <c r="AA46" s="39">
        <v>580574676.80999994</v>
      </c>
    </row>
    <row r="47" spans="1:31" ht="16.5">
      <c r="A47" s="25">
        <v>40</v>
      </c>
      <c r="B47" s="26" t="s">
        <v>8</v>
      </c>
      <c r="C47" s="27" t="s">
        <v>111</v>
      </c>
      <c r="D47" s="28"/>
      <c r="E47" s="28"/>
      <c r="F47" s="28">
        <v>3442874341</v>
      </c>
      <c r="G47" s="28">
        <v>53425758712</v>
      </c>
      <c r="H47" s="28"/>
      <c r="I47" s="28"/>
      <c r="J47" s="28">
        <v>56868633053</v>
      </c>
      <c r="K47" s="28">
        <v>117014330</v>
      </c>
      <c r="L47" s="37">
        <v>434116015</v>
      </c>
      <c r="M47" s="28">
        <v>100059448179.05</v>
      </c>
      <c r="N47" s="28">
        <v>375334628.94999999</v>
      </c>
      <c r="O47" s="31">
        <v>67709537229</v>
      </c>
      <c r="P47" s="32">
        <f t="shared" si="22"/>
        <v>0.29284019257442923</v>
      </c>
      <c r="Q47" s="31">
        <v>100059448179</v>
      </c>
      <c r="R47" s="32">
        <f t="shared" si="23"/>
        <v>0.34473140629567034</v>
      </c>
      <c r="S47" s="130">
        <f t="shared" si="5"/>
        <v>0.47777480505574227</v>
      </c>
      <c r="T47" s="33">
        <f t="shared" si="24"/>
        <v>1.1694480844094681E-3</v>
      </c>
      <c r="U47" s="33">
        <f t="shared" si="25"/>
        <v>4.3385809426351625E-3</v>
      </c>
      <c r="V47" s="34">
        <f t="shared" ref="V47:V56" si="27">Q47/AA47</f>
        <v>1.7502226548426592</v>
      </c>
      <c r="W47" s="34">
        <f t="shared" ref="W47:W56" si="28">L47/AA47</f>
        <v>7.5934826556686803E-3</v>
      </c>
      <c r="X47" s="28">
        <v>1.8680000000000001</v>
      </c>
      <c r="Y47" s="28">
        <v>1.8680000000000001</v>
      </c>
      <c r="Z47" s="35">
        <v>2009</v>
      </c>
      <c r="AA47" s="39">
        <v>57169553772</v>
      </c>
    </row>
    <row r="48" spans="1:31" ht="16.5">
      <c r="A48" s="25">
        <v>41</v>
      </c>
      <c r="B48" s="26" t="s">
        <v>64</v>
      </c>
      <c r="C48" s="27" t="s">
        <v>21</v>
      </c>
      <c r="D48" s="28"/>
      <c r="E48" s="28"/>
      <c r="F48" s="28">
        <v>459506083.75</v>
      </c>
      <c r="G48" s="28">
        <v>1848284888.45</v>
      </c>
      <c r="H48" s="28"/>
      <c r="I48" s="28"/>
      <c r="J48" s="28">
        <v>2307790972.1999998</v>
      </c>
      <c r="K48" s="28">
        <v>2381536</v>
      </c>
      <c r="L48" s="37">
        <v>15071176.57</v>
      </c>
      <c r="M48" s="28">
        <v>2361293506.0500002</v>
      </c>
      <c r="N48" s="28">
        <v>20465837.539999999</v>
      </c>
      <c r="O48" s="31">
        <v>1926898168.3199999</v>
      </c>
      <c r="P48" s="32">
        <f t="shared" si="22"/>
        <v>8.3337333819565006E-3</v>
      </c>
      <c r="Q48" s="31">
        <v>2340827668.5100002</v>
      </c>
      <c r="R48" s="32">
        <f t="shared" si="23"/>
        <v>8.0647737794603165E-3</v>
      </c>
      <c r="S48" s="130">
        <f t="shared" si="5"/>
        <v>0.21481648952466026</v>
      </c>
      <c r="T48" s="33">
        <f t="shared" si="24"/>
        <v>1.0173905717356425E-3</v>
      </c>
      <c r="U48" s="33">
        <f t="shared" si="25"/>
        <v>6.4383964581182559E-3</v>
      </c>
      <c r="V48" s="34">
        <f t="shared" si="27"/>
        <v>449.3513654790205</v>
      </c>
      <c r="W48" s="34">
        <f t="shared" si="28"/>
        <v>2.8931022399507276</v>
      </c>
      <c r="X48" s="82">
        <v>449.31</v>
      </c>
      <c r="Y48" s="82">
        <v>449.31</v>
      </c>
      <c r="Z48" s="35">
        <v>105</v>
      </c>
      <c r="AA48" s="39">
        <v>5209348.07</v>
      </c>
    </row>
    <row r="49" spans="1:27" ht="16.5">
      <c r="A49" s="25">
        <v>42</v>
      </c>
      <c r="B49" s="26" t="s">
        <v>11</v>
      </c>
      <c r="C49" s="27" t="s">
        <v>22</v>
      </c>
      <c r="D49" s="28"/>
      <c r="E49" s="28"/>
      <c r="F49" s="28">
        <v>6891991483.5500002</v>
      </c>
      <c r="G49" s="28">
        <v>13964899891.59</v>
      </c>
      <c r="H49" s="28"/>
      <c r="I49" s="28"/>
      <c r="J49" s="28">
        <v>20706219852.959999</v>
      </c>
      <c r="K49" s="28">
        <v>19148422.559999999</v>
      </c>
      <c r="L49" s="37">
        <v>114224031.02</v>
      </c>
      <c r="M49" s="28">
        <v>20842812106.919998</v>
      </c>
      <c r="N49" s="28">
        <v>136592253.96000001</v>
      </c>
      <c r="O49" s="31">
        <v>16806338295.08</v>
      </c>
      <c r="P49" s="32">
        <f t="shared" si="22"/>
        <v>7.2686530498015614E-2</v>
      </c>
      <c r="Q49" s="31">
        <v>20706219852.959999</v>
      </c>
      <c r="R49" s="32">
        <f t="shared" si="23"/>
        <v>7.1338433490145264E-2</v>
      </c>
      <c r="S49" s="130">
        <f t="shared" si="5"/>
        <v>0.23204825997235082</v>
      </c>
      <c r="T49" s="33">
        <f t="shared" si="24"/>
        <v>9.2476669792833724E-4</v>
      </c>
      <c r="U49" s="33">
        <f t="shared" si="25"/>
        <v>5.5164115821783582E-3</v>
      </c>
      <c r="V49" s="34">
        <f t="shared" si="27"/>
        <v>1533.1736389163407</v>
      </c>
      <c r="W49" s="34">
        <f t="shared" si="28"/>
        <v>8.4576168192086421</v>
      </c>
      <c r="X49" s="28">
        <v>1533.17</v>
      </c>
      <c r="Y49" s="28">
        <v>1534.76</v>
      </c>
      <c r="Z49" s="35">
        <v>1452</v>
      </c>
      <c r="AA49" s="39">
        <v>13505463</v>
      </c>
    </row>
    <row r="50" spans="1:27" ht="15.75" customHeight="1">
      <c r="A50" s="98" t="s">
        <v>176</v>
      </c>
      <c r="B50" s="27" t="s">
        <v>11</v>
      </c>
      <c r="C50" s="27" t="s">
        <v>120</v>
      </c>
      <c r="D50" s="45"/>
      <c r="E50" s="28"/>
      <c r="F50" s="28"/>
      <c r="G50" s="28"/>
      <c r="H50" s="38"/>
      <c r="I50" s="28"/>
      <c r="J50" s="28"/>
      <c r="K50" s="38"/>
      <c r="L50" s="37"/>
      <c r="M50" s="28"/>
      <c r="N50" s="38"/>
      <c r="O50" s="31"/>
      <c r="P50" s="32">
        <f t="shared" si="22"/>
        <v>0</v>
      </c>
      <c r="Q50" s="31"/>
      <c r="R50" s="32">
        <f t="shared" si="23"/>
        <v>0</v>
      </c>
      <c r="S50" s="130" t="e">
        <f t="shared" si="5"/>
        <v>#DIV/0!</v>
      </c>
      <c r="T50" s="33" t="e">
        <f t="shared" si="24"/>
        <v>#DIV/0!</v>
      </c>
      <c r="U50" s="33" t="e">
        <f t="shared" si="25"/>
        <v>#DIV/0!</v>
      </c>
      <c r="V50" s="34" t="e">
        <f t="shared" si="27"/>
        <v>#DIV/0!</v>
      </c>
      <c r="W50" s="34" t="e">
        <f t="shared" si="28"/>
        <v>#DIV/0!</v>
      </c>
      <c r="X50" s="28">
        <v>45217.9</v>
      </c>
      <c r="Y50" s="28">
        <v>45368.42</v>
      </c>
      <c r="Z50" s="35"/>
      <c r="AA50" s="39"/>
    </row>
    <row r="51" spans="1:27" s="7" customFormat="1" ht="15.75" customHeight="1">
      <c r="A51" s="99" t="s">
        <v>177</v>
      </c>
      <c r="B51" s="42" t="s">
        <v>11</v>
      </c>
      <c r="C51" s="42" t="s">
        <v>121</v>
      </c>
      <c r="D51" s="48"/>
      <c r="E51" s="45"/>
      <c r="F51" s="45">
        <v>1256695160.6500001</v>
      </c>
      <c r="G51" s="45">
        <v>3591796522.3099999</v>
      </c>
      <c r="H51" s="45"/>
      <c r="I51" s="45"/>
      <c r="J51" s="45">
        <v>4776053537.3599997</v>
      </c>
      <c r="K51" s="45">
        <v>6714567.2800000003</v>
      </c>
      <c r="L51" s="37">
        <v>25377831.34</v>
      </c>
      <c r="M51" s="45">
        <v>4811966328.1499996</v>
      </c>
      <c r="N51" s="45">
        <v>35912790.799999997</v>
      </c>
      <c r="O51" s="31">
        <v>4745420306.0100002</v>
      </c>
      <c r="P51" s="32">
        <f t="shared" si="22"/>
        <v>2.0523693605505669E-2</v>
      </c>
      <c r="Q51" s="31">
        <v>4776053537.3599997</v>
      </c>
      <c r="R51" s="32">
        <f t="shared" si="23"/>
        <v>1.6454774460999615E-2</v>
      </c>
      <c r="S51" s="130">
        <f t="shared" si="5"/>
        <v>6.4553252134911887E-3</v>
      </c>
      <c r="T51" s="33">
        <f t="shared" si="24"/>
        <v>1.4058819122265385E-3</v>
      </c>
      <c r="U51" s="33">
        <f t="shared" si="25"/>
        <v>5.3135567140287525E-3</v>
      </c>
      <c r="V51" s="34">
        <f t="shared" si="27"/>
        <v>45217.982480311082</v>
      </c>
      <c r="W51" s="34">
        <f t="shared" si="28"/>
        <v>240.26831440309144</v>
      </c>
      <c r="X51" s="45">
        <v>45217.9</v>
      </c>
      <c r="Y51" s="45">
        <v>45368.42</v>
      </c>
      <c r="Z51" s="89">
        <v>1353</v>
      </c>
      <c r="AA51" s="50">
        <v>105622.88</v>
      </c>
    </row>
    <row r="52" spans="1:27" ht="16.5">
      <c r="A52" s="25">
        <v>44</v>
      </c>
      <c r="B52" s="27" t="s">
        <v>2</v>
      </c>
      <c r="C52" s="27" t="s">
        <v>115</v>
      </c>
      <c r="D52" s="28"/>
      <c r="E52" s="28"/>
      <c r="F52" s="29">
        <f>380*558278.34</f>
        <v>212145769.19999999</v>
      </c>
      <c r="G52" s="28">
        <f>9422378.81*380</f>
        <v>3580503947.8000002</v>
      </c>
      <c r="H52" s="28"/>
      <c r="I52" s="28">
        <f>380*22508.58</f>
        <v>8553260.4000000004</v>
      </c>
      <c r="J52" s="28">
        <f>380*10022445.99</f>
        <v>3808529476.2000003</v>
      </c>
      <c r="K52" s="28">
        <f>380*13665.91</f>
        <v>5193045.8</v>
      </c>
      <c r="L52" s="37">
        <f>380*39783.71</f>
        <v>15117809.799999999</v>
      </c>
      <c r="M52" s="29">
        <f>380*10044929.72</f>
        <v>3817073293.6000004</v>
      </c>
      <c r="N52" s="28">
        <f>380*50700</f>
        <v>19266000</v>
      </c>
      <c r="O52" s="31">
        <f>380*9320348.48</f>
        <v>3541732422.4000001</v>
      </c>
      <c r="P52" s="32">
        <f t="shared" si="22"/>
        <v>1.5317806723666387E-2</v>
      </c>
      <c r="Q52" s="31">
        <f>380*9994229.89</f>
        <v>3797807358.2000003</v>
      </c>
      <c r="R52" s="32">
        <f t="shared" si="23"/>
        <v>1.3084456243354581E-2</v>
      </c>
      <c r="S52" s="130">
        <f t="shared" si="5"/>
        <v>7.2302168899161218E-2</v>
      </c>
      <c r="T52" s="33">
        <f t="shared" si="24"/>
        <v>1.3673799932973124E-3</v>
      </c>
      <c r="U52" s="33">
        <f t="shared" si="25"/>
        <v>3.9806678891593913E-3</v>
      </c>
      <c r="V52" s="34">
        <f t="shared" si="27"/>
        <v>464.41725007508342</v>
      </c>
      <c r="W52" s="34">
        <f t="shared" si="28"/>
        <v>1.8486908345455915</v>
      </c>
      <c r="X52" s="28">
        <f>380*1.13</f>
        <v>429.4</v>
      </c>
      <c r="Y52" s="28">
        <f>380*1.13</f>
        <v>429.4</v>
      </c>
      <c r="Z52" s="35">
        <v>101</v>
      </c>
      <c r="AA52" s="39">
        <v>8177576</v>
      </c>
    </row>
    <row r="53" spans="1:27" ht="16.5">
      <c r="A53" s="52">
        <v>45</v>
      </c>
      <c r="B53" s="27" t="s">
        <v>8</v>
      </c>
      <c r="C53" s="27" t="s">
        <v>158</v>
      </c>
      <c r="D53" s="100"/>
      <c r="E53" s="100"/>
      <c r="F53" s="100"/>
      <c r="G53" s="21">
        <f>380*56714110</f>
        <v>21551361800</v>
      </c>
      <c r="H53" s="100"/>
      <c r="I53" s="100"/>
      <c r="J53" s="53">
        <f>380*56714110</f>
        <v>21551361800</v>
      </c>
      <c r="K53" s="53">
        <f>380*103631</f>
        <v>39379780</v>
      </c>
      <c r="L53" s="67">
        <f>380*279133</f>
        <v>106070540</v>
      </c>
      <c r="M53" s="53">
        <f>380*61057673</f>
        <v>23201915740</v>
      </c>
      <c r="N53" s="53">
        <f>782494*380</f>
        <v>297347720</v>
      </c>
      <c r="O53" s="101">
        <f>380*60117217</f>
        <v>22844542460</v>
      </c>
      <c r="P53" s="32">
        <f t="shared" si="22"/>
        <v>9.8801446399428103E-2</v>
      </c>
      <c r="Q53" s="101">
        <f>380*60729461</f>
        <v>23077195180</v>
      </c>
      <c r="R53" s="32">
        <f t="shared" si="23"/>
        <v>7.9507073969959319E-2</v>
      </c>
      <c r="S53" s="130">
        <f t="shared" si="5"/>
        <v>1.018417070104892E-2</v>
      </c>
      <c r="T53" s="33">
        <f t="shared" si="24"/>
        <v>1.706437012506994E-3</v>
      </c>
      <c r="U53" s="33">
        <f t="shared" si="25"/>
        <v>4.5963358706575712E-3</v>
      </c>
      <c r="V53" s="34">
        <f t="shared" si="27"/>
        <v>44077.965558471522</v>
      </c>
      <c r="W53" s="34">
        <f t="shared" si="28"/>
        <v>202.59713420201163</v>
      </c>
      <c r="X53" s="28">
        <f>380*115.52</f>
        <v>43897.599999999999</v>
      </c>
      <c r="Y53" s="28">
        <f>380*115.52</f>
        <v>43897.599999999999</v>
      </c>
      <c r="Z53" s="35">
        <v>775</v>
      </c>
      <c r="AA53" s="39">
        <v>523554</v>
      </c>
    </row>
    <row r="54" spans="1:27" ht="16.5">
      <c r="A54" s="25">
        <v>46</v>
      </c>
      <c r="B54" s="27" t="s">
        <v>63</v>
      </c>
      <c r="C54" s="27" t="s">
        <v>141</v>
      </c>
      <c r="D54" s="28"/>
      <c r="E54" s="28"/>
      <c r="F54" s="28"/>
      <c r="G54" s="28">
        <v>557166066.20000005</v>
      </c>
      <c r="H54" s="28"/>
      <c r="I54" s="28"/>
      <c r="J54" s="28">
        <v>557166066.20000005</v>
      </c>
      <c r="K54" s="28">
        <v>652030.6</v>
      </c>
      <c r="L54" s="37">
        <v>1101696</v>
      </c>
      <c r="M54" s="28">
        <v>573366180.60000002</v>
      </c>
      <c r="N54" s="81">
        <v>624860.6</v>
      </c>
      <c r="O54" s="31">
        <v>554733986.39999998</v>
      </c>
      <c r="P54" s="32">
        <f>(O53/$O$57)</f>
        <v>9.8801446399428103E-2</v>
      </c>
      <c r="Q54" s="31">
        <v>561362486</v>
      </c>
      <c r="R54" s="32">
        <f>(Q53/$Q$57)</f>
        <v>7.9507073969959319E-2</v>
      </c>
      <c r="S54" s="130">
        <f t="shared" si="5"/>
        <v>1.1948969708916367E-2</v>
      </c>
      <c r="T54" s="33">
        <f t="shared" si="24"/>
        <v>1.1615143802110068E-3</v>
      </c>
      <c r="U54" s="33">
        <f t="shared" si="25"/>
        <v>1.9625394063115219E-3</v>
      </c>
      <c r="V54" s="34">
        <f t="shared" si="27"/>
        <v>41407574.389614217</v>
      </c>
      <c r="W54" s="34">
        <f t="shared" si="28"/>
        <v>81263.996459393675</v>
      </c>
      <c r="X54" s="28">
        <v>108.96169999999999</v>
      </c>
      <c r="Y54" s="28">
        <v>111.2916</v>
      </c>
      <c r="Z54" s="102">
        <v>29</v>
      </c>
      <c r="AA54" s="103">
        <v>13.557</v>
      </c>
    </row>
    <row r="55" spans="1:27" ht="16.5">
      <c r="A55" s="25">
        <v>47</v>
      </c>
      <c r="B55" s="27" t="s">
        <v>64</v>
      </c>
      <c r="C55" s="27" t="s">
        <v>161</v>
      </c>
      <c r="D55" s="28"/>
      <c r="E55" s="28"/>
      <c r="F55" s="28"/>
      <c r="G55" s="138" t="s">
        <v>170</v>
      </c>
      <c r="H55" s="28"/>
      <c r="I55" s="28"/>
      <c r="J55" s="138" t="s">
        <v>170</v>
      </c>
      <c r="K55" s="28">
        <v>918813.4</v>
      </c>
      <c r="L55" s="37">
        <v>2694348.2</v>
      </c>
      <c r="M55" s="28">
        <v>609661683</v>
      </c>
      <c r="N55" s="28">
        <v>4585448.5999999996</v>
      </c>
      <c r="O55" s="31">
        <v>554984615.02999997</v>
      </c>
      <c r="P55" s="32">
        <f>(O55/$O$57)</f>
        <v>2.4002793135561788E-3</v>
      </c>
      <c r="Q55" s="31">
        <v>605076234.39999998</v>
      </c>
      <c r="R55" s="32">
        <f>(Q55/$Q$57)</f>
        <v>2.0846485264204993E-3</v>
      </c>
      <c r="S55" s="130">
        <f t="shared" si="5"/>
        <v>9.0257672038876746E-2</v>
      </c>
      <c r="T55" s="33">
        <f t="shared" si="24"/>
        <v>1.5185084915971046E-3</v>
      </c>
      <c r="U55" s="33">
        <f t="shared" si="25"/>
        <v>4.4529070005067126E-3</v>
      </c>
      <c r="V55" s="34">
        <f t="shared" si="27"/>
        <v>38451.023307960953</v>
      </c>
      <c r="W55" s="34">
        <f t="shared" si="28"/>
        <v>171.21883086466607</v>
      </c>
      <c r="X55" s="28">
        <f>101.19*380</f>
        <v>38452.199999999997</v>
      </c>
      <c r="Y55" s="28">
        <f>101.19*380</f>
        <v>38452.199999999997</v>
      </c>
      <c r="Z55" s="102">
        <v>143</v>
      </c>
      <c r="AA55" s="103">
        <v>15736.284299999999</v>
      </c>
    </row>
    <row r="56" spans="1:27" ht="16.5">
      <c r="A56" s="52">
        <v>48</v>
      </c>
      <c r="B56" s="104" t="s">
        <v>61</v>
      </c>
      <c r="C56" s="27" t="s">
        <v>162</v>
      </c>
      <c r="D56" s="100"/>
      <c r="E56" s="100"/>
      <c r="F56" s="28">
        <v>190228000</v>
      </c>
      <c r="G56" s="28">
        <v>3840180223.4000001</v>
      </c>
      <c r="H56" s="100"/>
      <c r="I56" s="100"/>
      <c r="J56" s="28">
        <v>4030408223.4000001</v>
      </c>
      <c r="K56" s="28">
        <v>11074735.199999999</v>
      </c>
      <c r="L56" s="37">
        <v>136880229.40000001</v>
      </c>
      <c r="M56" s="53">
        <v>4701925440</v>
      </c>
      <c r="N56" s="53">
        <v>9916480</v>
      </c>
      <c r="O56" s="68">
        <f>380*11085788</f>
        <v>4212599440</v>
      </c>
      <c r="P56" s="32">
        <f>(O56/$O$57)</f>
        <v>1.821927134247454E-2</v>
      </c>
      <c r="Q56" s="68">
        <v>4692008960</v>
      </c>
      <c r="R56" s="32">
        <f>(Q56/$Q$57)</f>
        <v>1.616521854327151E-2</v>
      </c>
      <c r="S56" s="130">
        <f t="shared" si="5"/>
        <v>0.11380372779995432</v>
      </c>
      <c r="T56" s="33">
        <f t="shared" si="24"/>
        <v>2.3603397381406536E-3</v>
      </c>
      <c r="U56" s="33">
        <f t="shared" si="25"/>
        <v>2.917305371045157E-2</v>
      </c>
      <c r="V56" s="34">
        <f t="shared" si="27"/>
        <v>435.05644781724845</v>
      </c>
      <c r="W56" s="34">
        <f t="shared" si="28"/>
        <v>12.691925119250859</v>
      </c>
      <c r="X56" s="28">
        <v>440.8</v>
      </c>
      <c r="Y56" s="28">
        <v>440.8</v>
      </c>
      <c r="Z56" s="102">
        <v>297</v>
      </c>
      <c r="AA56" s="103">
        <v>10784828</v>
      </c>
    </row>
    <row r="57" spans="1:27" ht="16.5">
      <c r="A57" s="90"/>
      <c r="B57" s="91"/>
      <c r="C57" s="75" t="s">
        <v>59</v>
      </c>
      <c r="D57" s="28"/>
      <c r="E57" s="28"/>
      <c r="F57" s="28"/>
      <c r="G57" s="28"/>
      <c r="H57" s="28"/>
      <c r="I57" s="28"/>
      <c r="J57" s="28"/>
      <c r="K57" s="28"/>
      <c r="L57" s="37"/>
      <c r="M57" s="28"/>
      <c r="N57" s="28"/>
      <c r="O57" s="76">
        <f>SUM(O46:O56)</f>
        <v>231216680448.63998</v>
      </c>
      <c r="P57" s="77">
        <f>(O57/$O$119)</f>
        <v>0.16859463735192251</v>
      </c>
      <c r="Q57" s="76">
        <f>SUM(Q46:Q56)</f>
        <v>290253357691.41003</v>
      </c>
      <c r="R57" s="77">
        <f>(Q57/$Q$119)</f>
        <v>0.19763261245210356</v>
      </c>
      <c r="S57" s="130">
        <f t="shared" si="5"/>
        <v>0.25533052861159744</v>
      </c>
      <c r="T57" s="33"/>
      <c r="U57" s="33"/>
      <c r="V57" s="34"/>
      <c r="W57" s="34"/>
      <c r="X57" s="28"/>
      <c r="Y57" s="28"/>
      <c r="Z57" s="78">
        <f>SUM(Z46:Z56)</f>
        <v>11467</v>
      </c>
      <c r="AA57" s="39"/>
    </row>
    <row r="58" spans="1:27" ht="15.75" customHeight="1">
      <c r="A58" s="79"/>
      <c r="B58" s="23"/>
      <c r="C58" s="94" t="s">
        <v>23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130"/>
      <c r="T58" s="23"/>
      <c r="U58" s="23"/>
      <c r="V58" s="23"/>
      <c r="W58" s="23"/>
      <c r="X58" s="23"/>
      <c r="Y58" s="23"/>
      <c r="Z58" s="23"/>
      <c r="AA58" s="24"/>
    </row>
    <row r="59" spans="1:27" ht="16.5">
      <c r="A59" s="25">
        <v>49</v>
      </c>
      <c r="B59" s="26" t="s">
        <v>24</v>
      </c>
      <c r="C59" s="53" t="s">
        <v>25</v>
      </c>
      <c r="E59" s="28"/>
      <c r="F59" s="28">
        <v>3259795215.5500002</v>
      </c>
      <c r="G59" s="28">
        <v>5665332038.9300003</v>
      </c>
      <c r="H59" s="28"/>
      <c r="I59" s="28"/>
      <c r="J59" s="28">
        <v>8925127254.4799995</v>
      </c>
      <c r="K59" s="28">
        <v>14001180.49</v>
      </c>
      <c r="L59" s="37">
        <v>37805208.549999997</v>
      </c>
      <c r="M59" s="28">
        <v>11254665764.59</v>
      </c>
      <c r="N59" s="28">
        <v>47042023.909999996</v>
      </c>
      <c r="O59" s="31">
        <v>9395334047.9699993</v>
      </c>
      <c r="P59" s="32">
        <f t="shared" ref="P59:P81" si="29">(O59/$O$82)</f>
        <v>3.640065372514565E-2</v>
      </c>
      <c r="Q59" s="31">
        <v>11265584983.85</v>
      </c>
      <c r="R59" s="32">
        <f t="shared" ref="R59:R81" si="30">(Q59/$Q$82)</f>
        <v>4.1457219685826212E-2</v>
      </c>
      <c r="S59" s="130">
        <f t="shared" si="5"/>
        <v>0.19906167533064953</v>
      </c>
      <c r="T59" s="33">
        <f t="shared" ref="T59:T81" si="31">(K59/Q59)</f>
        <v>1.2428276481045296E-3</v>
      </c>
      <c r="U59" s="33">
        <f t="shared" ref="U59:U81" si="32">L59/Q59</f>
        <v>3.3558140659536448E-3</v>
      </c>
      <c r="V59" s="34">
        <f t="shared" ref="V59:V84" si="33">Q59/AA59</f>
        <v>3212.9505465629572</v>
      </c>
      <c r="W59" s="34">
        <f t="shared" ref="W59" si="34">L59/AA59</f>
        <v>10.782064637369423</v>
      </c>
      <c r="X59" s="28">
        <v>3212.95</v>
      </c>
      <c r="Y59" s="28">
        <v>3212.95</v>
      </c>
      <c r="Z59" s="35">
        <v>1698</v>
      </c>
      <c r="AA59" s="39">
        <v>3506305.13</v>
      </c>
    </row>
    <row r="60" spans="1:27" ht="16.5" customHeight="1">
      <c r="A60" s="25">
        <v>50</v>
      </c>
      <c r="B60" s="26" t="s">
        <v>26</v>
      </c>
      <c r="C60" s="27" t="s">
        <v>27</v>
      </c>
      <c r="D60" s="28">
        <v>88437520</v>
      </c>
      <c r="E60" s="28"/>
      <c r="F60" s="28">
        <v>3577834274.77</v>
      </c>
      <c r="G60" s="28">
        <v>7470580253.1499996</v>
      </c>
      <c r="H60" s="28"/>
      <c r="I60" s="28"/>
      <c r="J60" s="28">
        <v>11136852047.92</v>
      </c>
      <c r="K60" s="28">
        <v>75164555.620000005</v>
      </c>
      <c r="L60" s="37">
        <v>102534181.29000001</v>
      </c>
      <c r="M60" s="28">
        <v>11346706588.440001</v>
      </c>
      <c r="N60" s="28">
        <v>241543937.75</v>
      </c>
      <c r="O60" s="31">
        <v>10194679574.9</v>
      </c>
      <c r="P60" s="32">
        <f t="shared" si="29"/>
        <v>3.9497584561661234E-2</v>
      </c>
      <c r="Q60" s="31">
        <v>11105162650.700001</v>
      </c>
      <c r="R60" s="32">
        <f t="shared" si="30"/>
        <v>4.08668673945385E-2</v>
      </c>
      <c r="S60" s="130">
        <f t="shared" si="5"/>
        <v>8.9309631471073694E-2</v>
      </c>
      <c r="T60" s="33">
        <f t="shared" si="31"/>
        <v>6.7684335641191255E-3</v>
      </c>
      <c r="U60" s="33">
        <f t="shared" si="32"/>
        <v>9.23301931859025E-3</v>
      </c>
      <c r="V60" s="34">
        <f t="shared" ref="V60:V81" si="35">Q60/AA60</f>
        <v>0.6871850610401804</v>
      </c>
      <c r="W60" s="34">
        <f t="shared" ref="W60:W81" si="36">L60/AA60</f>
        <v>6.3447929440306056E-3</v>
      </c>
      <c r="X60" s="28">
        <v>1</v>
      </c>
      <c r="Y60" s="28">
        <v>1</v>
      </c>
      <c r="Z60" s="35">
        <v>4636</v>
      </c>
      <c r="AA60" s="39">
        <v>16160366807</v>
      </c>
    </row>
    <row r="61" spans="1:27" s="10" customFormat="1" ht="16.5" customHeight="1">
      <c r="A61" s="25">
        <v>51</v>
      </c>
      <c r="B61" s="27" t="s">
        <v>92</v>
      </c>
      <c r="C61" s="27" t="s">
        <v>96</v>
      </c>
      <c r="D61" s="53"/>
      <c r="E61" s="104"/>
      <c r="F61" s="53">
        <v>90687555.709999993</v>
      </c>
      <c r="G61" s="53">
        <v>364458577.42000002</v>
      </c>
      <c r="H61" s="53"/>
      <c r="I61" s="53"/>
      <c r="J61" s="28">
        <v>455146133.13</v>
      </c>
      <c r="K61" s="28">
        <v>913508.25</v>
      </c>
      <c r="L61" s="37">
        <v>2393314.34</v>
      </c>
      <c r="M61" s="28">
        <v>471400249.38</v>
      </c>
      <c r="N61" s="28">
        <v>8252056.2800000003</v>
      </c>
      <c r="O61" s="31">
        <v>450891544.32999998</v>
      </c>
      <c r="P61" s="69">
        <f t="shared" si="29"/>
        <v>1.7469040365093464E-3</v>
      </c>
      <c r="Q61" s="31">
        <v>463148193.10000002</v>
      </c>
      <c r="R61" s="69">
        <f t="shared" si="30"/>
        <v>1.7043798804914165E-3</v>
      </c>
      <c r="S61" s="130">
        <f t="shared" si="5"/>
        <v>2.7183141764640421E-2</v>
      </c>
      <c r="T61" s="33">
        <f t="shared" si="31"/>
        <v>1.9723886730197413E-3</v>
      </c>
      <c r="U61" s="33">
        <f t="shared" si="32"/>
        <v>5.1674914760668203E-3</v>
      </c>
      <c r="V61" s="34">
        <f t="shared" si="35"/>
        <v>2.0030147495465034</v>
      </c>
      <c r="W61" s="34">
        <f t="shared" si="36"/>
        <v>1.0350561644717675E-2</v>
      </c>
      <c r="X61" s="28">
        <v>2.2951000000000001</v>
      </c>
      <c r="Y61" s="28">
        <v>2.2951000000000001</v>
      </c>
      <c r="Z61" s="35">
        <v>1453</v>
      </c>
      <c r="AA61" s="39">
        <v>231225552.98449999</v>
      </c>
    </row>
    <row r="62" spans="1:27" ht="18" customHeight="1">
      <c r="A62" s="25">
        <v>52</v>
      </c>
      <c r="B62" s="26" t="s">
        <v>1</v>
      </c>
      <c r="C62" s="26" t="s">
        <v>157</v>
      </c>
      <c r="D62" s="29">
        <v>80802305.200000003</v>
      </c>
      <c r="E62" s="28"/>
      <c r="F62" s="29">
        <v>5333744707.5100002</v>
      </c>
      <c r="G62" s="29">
        <v>19144777536.349998</v>
      </c>
      <c r="H62" s="28"/>
      <c r="I62" s="28"/>
      <c r="J62" s="29">
        <v>24977386926.119999</v>
      </c>
      <c r="K62" s="29">
        <v>37932637.130000003</v>
      </c>
      <c r="L62" s="37">
        <v>144193493.44999999</v>
      </c>
      <c r="M62" s="29">
        <v>26382637825.200001</v>
      </c>
      <c r="N62" s="29">
        <v>50427518.200000003</v>
      </c>
      <c r="O62" s="31">
        <v>24637398498.91</v>
      </c>
      <c r="P62" s="32">
        <f t="shared" si="29"/>
        <v>9.5453488600654585E-2</v>
      </c>
      <c r="Q62" s="31">
        <v>26332210307</v>
      </c>
      <c r="R62" s="32">
        <f t="shared" si="30"/>
        <v>9.6902222927229012E-2</v>
      </c>
      <c r="S62" s="130">
        <f t="shared" si="5"/>
        <v>6.8790209654845724E-2</v>
      </c>
      <c r="T62" s="33">
        <f t="shared" si="31"/>
        <v>1.4405413251585726E-3</v>
      </c>
      <c r="U62" s="33">
        <f t="shared" si="32"/>
        <v>5.4759358127892685E-3</v>
      </c>
      <c r="V62" s="34">
        <f t="shared" si="35"/>
        <v>292.817473798035</v>
      </c>
      <c r="W62" s="34">
        <f t="shared" si="36"/>
        <v>1.6034496913811429</v>
      </c>
      <c r="X62" s="54">
        <v>292.81</v>
      </c>
      <c r="Y62" s="28">
        <v>292.82</v>
      </c>
      <c r="Z62" s="35">
        <v>8728</v>
      </c>
      <c r="AA62" s="36">
        <v>89927045.560000002</v>
      </c>
    </row>
    <row r="63" spans="1:27" ht="16.5">
      <c r="A63" s="25">
        <v>53</v>
      </c>
      <c r="B63" s="26" t="s">
        <v>29</v>
      </c>
      <c r="C63" s="27" t="s">
        <v>30</v>
      </c>
      <c r="D63" s="54"/>
      <c r="E63" s="54"/>
      <c r="F63" s="28">
        <v>187234603.72</v>
      </c>
      <c r="G63" s="28">
        <v>3659931988.25</v>
      </c>
      <c r="H63" s="28"/>
      <c r="I63" s="28"/>
      <c r="J63" s="28">
        <v>3847166591.9699998</v>
      </c>
      <c r="K63" s="28">
        <v>6008242</v>
      </c>
      <c r="L63" s="37">
        <v>33130795</v>
      </c>
      <c r="M63" s="28">
        <v>5181955840</v>
      </c>
      <c r="N63" s="28">
        <v>72512142</v>
      </c>
      <c r="O63" s="31">
        <v>5056485718</v>
      </c>
      <c r="P63" s="32">
        <f t="shared" si="29"/>
        <v>1.9590510007127554E-2</v>
      </c>
      <c r="Q63" s="31">
        <v>5109443698</v>
      </c>
      <c r="R63" s="32">
        <f t="shared" si="30"/>
        <v>1.8802692462398515E-2</v>
      </c>
      <c r="S63" s="130">
        <f t="shared" si="5"/>
        <v>1.0473277875873554E-2</v>
      </c>
      <c r="T63" s="33">
        <f t="shared" si="31"/>
        <v>1.1759092290911863E-3</v>
      </c>
      <c r="U63" s="33">
        <f t="shared" si="32"/>
        <v>6.4842274341859281E-3</v>
      </c>
      <c r="V63" s="34">
        <f t="shared" si="35"/>
        <v>1.0099999999070937</v>
      </c>
      <c r="W63" s="34">
        <f t="shared" si="36"/>
        <v>6.5490697079253609E-3</v>
      </c>
      <c r="X63" s="28">
        <v>1.01</v>
      </c>
      <c r="Y63" s="28">
        <v>1.01</v>
      </c>
      <c r="Z63" s="35">
        <v>1148</v>
      </c>
      <c r="AA63" s="57">
        <v>5058855147</v>
      </c>
    </row>
    <row r="64" spans="1:27" ht="19.5" customHeight="1">
      <c r="A64" s="25">
        <v>54</v>
      </c>
      <c r="B64" s="28" t="s">
        <v>2</v>
      </c>
      <c r="C64" s="27" t="s">
        <v>116</v>
      </c>
      <c r="D64" s="28"/>
      <c r="E64" s="28"/>
      <c r="F64" s="54">
        <v>11064178053.35</v>
      </c>
      <c r="G64" s="28">
        <v>11150157672.790001</v>
      </c>
      <c r="H64" s="28"/>
      <c r="I64" s="28">
        <f>1840953.03+1269385.26</f>
        <v>3110338.29</v>
      </c>
      <c r="J64" s="28">
        <v>12848098784.610001</v>
      </c>
      <c r="K64" s="28">
        <v>24436106.449999999</v>
      </c>
      <c r="L64" s="37">
        <v>123532089.13</v>
      </c>
      <c r="M64" s="28">
        <v>23998256457.400002</v>
      </c>
      <c r="N64" s="28">
        <v>33339332.170000002</v>
      </c>
      <c r="O64" s="31">
        <v>21785223743.91</v>
      </c>
      <c r="P64" s="32">
        <f t="shared" si="29"/>
        <v>8.4403213528977991E-2</v>
      </c>
      <c r="Q64" s="31">
        <v>23964917125.23</v>
      </c>
      <c r="R64" s="32">
        <f t="shared" si="30"/>
        <v>8.8190611977767439E-2</v>
      </c>
      <c r="S64" s="130">
        <f t="shared" si="5"/>
        <v>0.10005375234804861</v>
      </c>
      <c r="T64" s="33">
        <f t="shared" si="31"/>
        <v>1.0196616296358452E-3</v>
      </c>
      <c r="U64" s="33">
        <f t="shared" si="32"/>
        <v>5.1547054590039363E-3</v>
      </c>
      <c r="V64" s="34">
        <f t="shared" si="35"/>
        <v>3.8317930563340479</v>
      </c>
      <c r="W64" s="34">
        <f t="shared" si="36"/>
        <v>1.9751764585258496E-2</v>
      </c>
      <c r="X64" s="28">
        <v>3.84</v>
      </c>
      <c r="Y64" s="28">
        <v>3.84</v>
      </c>
      <c r="Z64" s="35">
        <v>1281</v>
      </c>
      <c r="AA64" s="57">
        <v>6254230532</v>
      </c>
    </row>
    <row r="65" spans="1:29" ht="16.5">
      <c r="A65" s="25">
        <v>55</v>
      </c>
      <c r="B65" s="26" t="s">
        <v>1</v>
      </c>
      <c r="C65" s="53" t="s">
        <v>70</v>
      </c>
      <c r="D65" s="28"/>
      <c r="E65" s="28"/>
      <c r="F65" s="54">
        <v>21320973381.349998</v>
      </c>
      <c r="G65" s="28">
        <v>11782794262.030001</v>
      </c>
      <c r="H65" s="28"/>
      <c r="I65" s="28"/>
      <c r="J65" s="28">
        <v>33151161086</v>
      </c>
      <c r="K65" s="29">
        <v>35143969.32</v>
      </c>
      <c r="L65" s="30">
        <v>160204160.02000001</v>
      </c>
      <c r="M65" s="29">
        <v>35729075346.790001</v>
      </c>
      <c r="N65" s="29">
        <v>70805024.099999994</v>
      </c>
      <c r="O65" s="31">
        <v>35552334828.860001</v>
      </c>
      <c r="P65" s="32">
        <f t="shared" si="29"/>
        <v>0.13774158775178236</v>
      </c>
      <c r="Q65" s="31">
        <v>35658270322.690002</v>
      </c>
      <c r="R65" s="32">
        <f t="shared" si="30"/>
        <v>0.13122201363742514</v>
      </c>
      <c r="S65" s="130">
        <f t="shared" si="5"/>
        <v>2.9797056744641009E-3</v>
      </c>
      <c r="T65" s="33">
        <f t="shared" si="31"/>
        <v>9.8557695036703046E-4</v>
      </c>
      <c r="U65" s="33">
        <f t="shared" si="32"/>
        <v>4.4927630692748214E-3</v>
      </c>
      <c r="V65" s="34">
        <f t="shared" si="35"/>
        <v>3914.9654908629755</v>
      </c>
      <c r="W65" s="34">
        <f t="shared" si="36"/>
        <v>17.589012374834549</v>
      </c>
      <c r="X65" s="29">
        <v>3914.97</v>
      </c>
      <c r="Y65" s="28">
        <v>3914.97</v>
      </c>
      <c r="Z65" s="35">
        <v>297</v>
      </c>
      <c r="AA65" s="39">
        <v>9108195.3100000005</v>
      </c>
    </row>
    <row r="66" spans="1:29" ht="16.5">
      <c r="A66" s="25">
        <v>56</v>
      </c>
      <c r="B66" s="26" t="s">
        <v>1</v>
      </c>
      <c r="C66" s="53" t="s">
        <v>69</v>
      </c>
      <c r="D66" s="28">
        <v>104972641.73</v>
      </c>
      <c r="E66" s="28"/>
      <c r="F66" s="28">
        <v>245043213.77000001</v>
      </c>
      <c r="G66" s="28">
        <v>15080357.140000001</v>
      </c>
      <c r="H66" s="28"/>
      <c r="I66" s="28"/>
      <c r="J66" s="28">
        <v>366221212.63999999</v>
      </c>
      <c r="K66" s="28">
        <v>383051.87</v>
      </c>
      <c r="L66" s="37">
        <v>17114501.670000002</v>
      </c>
      <c r="M66" s="28">
        <v>377204772.66000003</v>
      </c>
      <c r="N66" s="28">
        <v>2022386.22</v>
      </c>
      <c r="O66" s="31">
        <v>408147664.75999999</v>
      </c>
      <c r="P66" s="32">
        <f t="shared" si="29"/>
        <v>1.5813000088981011E-3</v>
      </c>
      <c r="Q66" s="31">
        <v>375182386.44</v>
      </c>
      <c r="R66" s="32">
        <f t="shared" si="30"/>
        <v>1.3806667509226901E-3</v>
      </c>
      <c r="S66" s="130">
        <f t="shared" si="5"/>
        <v>-8.0768018945751696E-2</v>
      </c>
      <c r="T66" s="33">
        <f t="shared" si="31"/>
        <v>1.0209750879690044E-3</v>
      </c>
      <c r="U66" s="33">
        <f t="shared" si="32"/>
        <v>4.5616484911231277E-2</v>
      </c>
      <c r="V66" s="34">
        <f t="shared" si="35"/>
        <v>3358.0570833851343</v>
      </c>
      <c r="W66" s="34">
        <f t="shared" si="36"/>
        <v>153.18276027529129</v>
      </c>
      <c r="X66" s="28">
        <v>3348.43</v>
      </c>
      <c r="Y66" s="28">
        <v>3364.87</v>
      </c>
      <c r="Z66" s="35">
        <v>18</v>
      </c>
      <c r="AA66" s="39">
        <v>111726.03</v>
      </c>
    </row>
    <row r="67" spans="1:29" ht="16.5">
      <c r="A67" s="25">
        <v>57</v>
      </c>
      <c r="B67" s="26" t="s">
        <v>47</v>
      </c>
      <c r="C67" s="53" t="s">
        <v>72</v>
      </c>
      <c r="D67" s="28"/>
      <c r="E67" s="28"/>
      <c r="F67" s="28"/>
      <c r="G67" s="29">
        <v>4801685168.2600002</v>
      </c>
      <c r="H67" s="28"/>
      <c r="I67" s="28">
        <v>4505304912.0100002</v>
      </c>
      <c r="J67" s="28">
        <v>9306990080.2700005</v>
      </c>
      <c r="K67" s="29">
        <v>10900488.109999999</v>
      </c>
      <c r="L67" s="30">
        <v>186825830.72999999</v>
      </c>
      <c r="M67" s="28">
        <v>11379151499.690001</v>
      </c>
      <c r="N67" s="28">
        <v>166338828.05000001</v>
      </c>
      <c r="O67" s="31">
        <v>10690952158.75</v>
      </c>
      <c r="P67" s="32">
        <f t="shared" si="29"/>
        <v>4.1420309861876642E-2</v>
      </c>
      <c r="Q67" s="31">
        <v>11212812671.639999</v>
      </c>
      <c r="R67" s="32">
        <f t="shared" si="30"/>
        <v>4.1263018200172752E-2</v>
      </c>
      <c r="S67" s="130">
        <f t="shared" si="5"/>
        <v>4.8813286706449542E-2</v>
      </c>
      <c r="T67" s="33">
        <f t="shared" si="31"/>
        <v>9.721457433753489E-4</v>
      </c>
      <c r="U67" s="33">
        <f t="shared" si="32"/>
        <v>1.6661816816268511E-2</v>
      </c>
      <c r="V67" s="34">
        <f t="shared" si="35"/>
        <v>1140.4953555090974</v>
      </c>
      <c r="W67" s="34">
        <f t="shared" si="36"/>
        <v>19.002724693297615</v>
      </c>
      <c r="X67" s="28">
        <v>1128.94</v>
      </c>
      <c r="Y67" s="28">
        <v>1128.94</v>
      </c>
      <c r="Z67" s="105">
        <v>4103</v>
      </c>
      <c r="AA67" s="39">
        <v>9831528.5700000003</v>
      </c>
    </row>
    <row r="68" spans="1:29" ht="16.5">
      <c r="A68" s="25">
        <v>58</v>
      </c>
      <c r="B68" s="28" t="s">
        <v>63</v>
      </c>
      <c r="C68" s="53" t="s">
        <v>75</v>
      </c>
      <c r="D68" s="28"/>
      <c r="E68" s="28"/>
      <c r="F68" s="28">
        <v>21110883.75</v>
      </c>
      <c r="G68" s="28"/>
      <c r="H68" s="38"/>
      <c r="I68" s="28"/>
      <c r="J68" s="28">
        <v>54536610.079999998</v>
      </c>
      <c r="K68" s="28">
        <v>172080.58</v>
      </c>
      <c r="L68" s="37">
        <v>-40620.47</v>
      </c>
      <c r="M68" s="28">
        <v>56926552.469999999</v>
      </c>
      <c r="N68" s="28">
        <v>54869.33</v>
      </c>
      <c r="O68" s="31">
        <v>55285842.579999998</v>
      </c>
      <c r="P68" s="32">
        <f t="shared" si="29"/>
        <v>2.1419577008997468E-4</v>
      </c>
      <c r="Q68" s="31">
        <v>56510007.009999998</v>
      </c>
      <c r="R68" s="32">
        <f t="shared" si="30"/>
        <v>2.0795615837256929E-4</v>
      </c>
      <c r="S68" s="130">
        <f t="shared" si="5"/>
        <v>2.214245768667816E-2</v>
      </c>
      <c r="T68" s="33">
        <f t="shared" si="31"/>
        <v>3.0451346426049576E-3</v>
      </c>
      <c r="U68" s="33">
        <f t="shared" si="32"/>
        <v>-7.1881905788494791E-4</v>
      </c>
      <c r="V68" s="34">
        <f t="shared" si="35"/>
        <v>12.021955438567304</v>
      </c>
      <c r="W68" s="34">
        <f t="shared" si="36"/>
        <v>-8.6416106822857757E-3</v>
      </c>
      <c r="X68" s="28">
        <v>12.022</v>
      </c>
      <c r="Y68" s="28">
        <v>12.1106</v>
      </c>
      <c r="Z68" s="35">
        <v>47</v>
      </c>
      <c r="AA68" s="39">
        <v>4700567</v>
      </c>
    </row>
    <row r="69" spans="1:29" ht="18.75" customHeight="1">
      <c r="A69" s="25">
        <v>59</v>
      </c>
      <c r="B69" s="26" t="s">
        <v>40</v>
      </c>
      <c r="C69" s="27" t="s">
        <v>91</v>
      </c>
      <c r="D69" s="38"/>
      <c r="E69" s="28"/>
      <c r="F69" s="29">
        <v>26923697.210000001</v>
      </c>
      <c r="G69" s="29">
        <v>161119862.41999999</v>
      </c>
      <c r="H69" s="28"/>
      <c r="I69" s="28"/>
      <c r="J69" s="29">
        <v>190803133.78</v>
      </c>
      <c r="K69" s="29">
        <v>540831.81000000006</v>
      </c>
      <c r="L69" s="37">
        <v>900764.05</v>
      </c>
      <c r="M69" s="29">
        <v>190802133.78</v>
      </c>
      <c r="N69" s="29">
        <v>8567458.6300000008</v>
      </c>
      <c r="O69" s="31">
        <v>178745095.84</v>
      </c>
      <c r="P69" s="32">
        <f t="shared" si="29"/>
        <v>6.9251804198974972E-4</v>
      </c>
      <c r="Q69" s="31">
        <v>182234675.15000001</v>
      </c>
      <c r="R69" s="32">
        <f t="shared" si="30"/>
        <v>6.7062145222811437E-4</v>
      </c>
      <c r="S69" s="130">
        <f t="shared" si="5"/>
        <v>1.9522657634890455E-2</v>
      </c>
      <c r="T69" s="33">
        <f t="shared" si="31"/>
        <v>2.9677766295291143E-3</v>
      </c>
      <c r="U69" s="33">
        <f t="shared" si="32"/>
        <v>4.9428795549396297E-3</v>
      </c>
      <c r="V69" s="34">
        <f t="shared" si="35"/>
        <v>0.7884218868157632</v>
      </c>
      <c r="W69" s="34">
        <f t="shared" si="36"/>
        <v>3.897074425008563E-3</v>
      </c>
      <c r="X69" s="106">
        <v>0.85350000000000004</v>
      </c>
      <c r="Y69" s="106">
        <v>0.85350000000000004</v>
      </c>
      <c r="Z69" s="35">
        <v>840</v>
      </c>
      <c r="AA69" s="107">
        <v>231138529</v>
      </c>
      <c r="AB69" s="6"/>
      <c r="AC69" s="9"/>
    </row>
    <row r="70" spans="1:29" ht="16.5">
      <c r="A70" s="25">
        <v>60</v>
      </c>
      <c r="B70" s="27" t="s">
        <v>1</v>
      </c>
      <c r="C70" s="27" t="s">
        <v>87</v>
      </c>
      <c r="D70" s="28"/>
      <c r="E70" s="28"/>
      <c r="F70" s="28"/>
      <c r="G70" s="28">
        <f>380*263885363.02</f>
        <v>100276437947.60001</v>
      </c>
      <c r="H70" s="28"/>
      <c r="I70" s="28"/>
      <c r="J70" s="28">
        <f>380*264360311.47</f>
        <v>100456918358.60001</v>
      </c>
      <c r="K70" s="28">
        <f>380*377342.76</f>
        <v>143390248.80000001</v>
      </c>
      <c r="L70" s="37">
        <f>380*1238231.05</f>
        <v>470527799</v>
      </c>
      <c r="M70" s="28">
        <f>380*277995128.02</f>
        <v>105638148647.59999</v>
      </c>
      <c r="N70" s="28">
        <f>380*1319036.55</f>
        <v>501233889</v>
      </c>
      <c r="O70" s="31">
        <f>380*276676091.47</f>
        <v>105136914758.60001</v>
      </c>
      <c r="P70" s="32">
        <f t="shared" si="29"/>
        <v>0.40733542930119077</v>
      </c>
      <c r="Q70" s="31">
        <f>380*276676091.47</f>
        <v>105136914758.60001</v>
      </c>
      <c r="R70" s="32">
        <f t="shared" si="30"/>
        <v>0.38690260456831504</v>
      </c>
      <c r="S70" s="130">
        <f t="shared" ref="S70:S119" si="37">((Q70-O70)/O70)</f>
        <v>0</v>
      </c>
      <c r="T70" s="33">
        <f t="shared" si="31"/>
        <v>1.3638430339070887E-3</v>
      </c>
      <c r="U70" s="33">
        <f t="shared" si="32"/>
        <v>4.4753814593129068E-3</v>
      </c>
      <c r="V70" s="34">
        <f t="shared" si="35"/>
        <v>1208.6663522144308</v>
      </c>
      <c r="W70" s="34">
        <f t="shared" si="36"/>
        <v>5.4092429831958277</v>
      </c>
      <c r="X70" s="28">
        <f>380*1.2087</f>
        <v>459.30600000000004</v>
      </c>
      <c r="Y70" s="28">
        <f>380*1.2087</f>
        <v>459.30600000000004</v>
      </c>
      <c r="Z70" s="102">
        <v>2621</v>
      </c>
      <c r="AA70" s="103">
        <f>380*228910.229</f>
        <v>86985887.019999996</v>
      </c>
    </row>
    <row r="71" spans="1:29" ht="16.5">
      <c r="A71" s="25">
        <v>61</v>
      </c>
      <c r="B71" s="27" t="s">
        <v>84</v>
      </c>
      <c r="C71" s="27" t="s">
        <v>88</v>
      </c>
      <c r="D71" s="28"/>
      <c r="E71" s="38"/>
      <c r="F71" s="28">
        <v>70911583.769999996</v>
      </c>
      <c r="G71" s="28">
        <v>528208191</v>
      </c>
      <c r="H71" s="28"/>
      <c r="I71" s="28"/>
      <c r="J71" s="28">
        <v>742302934.52999997</v>
      </c>
      <c r="K71" s="28">
        <v>1268400</v>
      </c>
      <c r="L71" s="37">
        <v>4968327.45</v>
      </c>
      <c r="M71" s="28">
        <v>742302934.52999997</v>
      </c>
      <c r="N71" s="28">
        <v>4930320.74</v>
      </c>
      <c r="O71" s="31">
        <v>734268497.13999999</v>
      </c>
      <c r="P71" s="32">
        <f t="shared" si="29"/>
        <v>2.8448007456904831E-3</v>
      </c>
      <c r="Q71" s="31">
        <v>737334607.08000004</v>
      </c>
      <c r="R71" s="32">
        <f t="shared" si="30"/>
        <v>2.7133826455971034E-3</v>
      </c>
      <c r="S71" s="130">
        <f t="shared" si="37"/>
        <v>4.1757340154761598E-3</v>
      </c>
      <c r="T71" s="33">
        <f t="shared" si="31"/>
        <v>1.720250192816977E-3</v>
      </c>
      <c r="U71" s="33">
        <f t="shared" si="32"/>
        <v>6.73822631176315E-3</v>
      </c>
      <c r="V71" s="34">
        <f t="shared" si="35"/>
        <v>1194.3012412456103</v>
      </c>
      <c r="W71" s="34">
        <f t="shared" si="36"/>
        <v>8.0474720479325601</v>
      </c>
      <c r="X71" s="28">
        <v>1186.72</v>
      </c>
      <c r="Y71" s="28">
        <v>1202.3399999999999</v>
      </c>
      <c r="Z71" s="81">
        <v>142</v>
      </c>
      <c r="AA71" s="103">
        <v>617377.41</v>
      </c>
    </row>
    <row r="72" spans="1:29" ht="16.5">
      <c r="A72" s="25">
        <v>62</v>
      </c>
      <c r="B72" s="26" t="s">
        <v>26</v>
      </c>
      <c r="C72" s="27" t="s">
        <v>82</v>
      </c>
      <c r="D72" s="28">
        <v>26937414</v>
      </c>
      <c r="E72" s="28"/>
      <c r="F72" s="28">
        <v>235723446.11000001</v>
      </c>
      <c r="G72" s="28"/>
      <c r="H72" s="28"/>
      <c r="I72" s="28"/>
      <c r="J72" s="28">
        <v>262660860.11000001</v>
      </c>
      <c r="K72" s="28">
        <v>329029.34999999998</v>
      </c>
      <c r="L72" s="37">
        <v>5112442.28</v>
      </c>
      <c r="M72" s="28">
        <v>263929981.03999999</v>
      </c>
      <c r="N72" s="28">
        <v>4160693.73</v>
      </c>
      <c r="O72" s="31">
        <v>254825124.97999999</v>
      </c>
      <c r="P72" s="32">
        <f t="shared" si="29"/>
        <v>9.8727741743978928E-4</v>
      </c>
      <c r="Q72" s="31">
        <v>259769287.31</v>
      </c>
      <c r="R72" s="32">
        <f t="shared" si="30"/>
        <v>9.559479092368249E-4</v>
      </c>
      <c r="S72" s="130">
        <f t="shared" si="37"/>
        <v>1.9402177592920074E-2</v>
      </c>
      <c r="T72" s="33">
        <f t="shared" si="31"/>
        <v>1.2666214447720578E-3</v>
      </c>
      <c r="U72" s="33">
        <f t="shared" si="32"/>
        <v>1.9680703338493522E-2</v>
      </c>
      <c r="V72" s="34">
        <f t="shared" si="35"/>
        <v>140.11448183934525</v>
      </c>
      <c r="W72" s="34">
        <f t="shared" si="36"/>
        <v>2.7575515505068919</v>
      </c>
      <c r="X72" s="28">
        <v>153.94</v>
      </c>
      <c r="Y72" s="28">
        <v>154.80000000000001</v>
      </c>
      <c r="Z72" s="35">
        <v>18</v>
      </c>
      <c r="AA72" s="39">
        <v>1853978.86</v>
      </c>
    </row>
    <row r="73" spans="1:29" ht="16.5">
      <c r="A73" s="25">
        <v>63</v>
      </c>
      <c r="B73" s="28" t="s">
        <v>28</v>
      </c>
      <c r="C73" s="53" t="s">
        <v>104</v>
      </c>
      <c r="D73" s="28"/>
      <c r="E73" s="28"/>
      <c r="F73" s="28">
        <v>7374539483.8400002</v>
      </c>
      <c r="G73" s="28">
        <v>14451935246.08</v>
      </c>
      <c r="H73" s="28"/>
      <c r="I73" s="28"/>
      <c r="J73" s="28">
        <v>21826474729.919998</v>
      </c>
      <c r="K73" s="28">
        <v>36489732.630000003</v>
      </c>
      <c r="L73" s="37">
        <v>121087319.38</v>
      </c>
      <c r="M73" s="28">
        <v>21826474729.919998</v>
      </c>
      <c r="N73" s="28">
        <v>36489732.630000003</v>
      </c>
      <c r="O73" s="31">
        <v>17977112807.700001</v>
      </c>
      <c r="P73" s="32">
        <f t="shared" si="29"/>
        <v>6.9649323265132526E-2</v>
      </c>
      <c r="Q73" s="31">
        <v>21789984997.290001</v>
      </c>
      <c r="R73" s="32">
        <f t="shared" si="30"/>
        <v>8.0186887434476509E-2</v>
      </c>
      <c r="S73" s="130">
        <f t="shared" si="37"/>
        <v>0.21209591497678434</v>
      </c>
      <c r="T73" s="33">
        <f t="shared" si="31"/>
        <v>1.6746102686412219E-3</v>
      </c>
      <c r="U73" s="33">
        <f t="shared" si="32"/>
        <v>5.5570171064853648E-3</v>
      </c>
      <c r="V73" s="34">
        <f t="shared" si="35"/>
        <v>24.611317219446757</v>
      </c>
      <c r="W73" s="34">
        <f t="shared" si="36"/>
        <v>0.13676551080160346</v>
      </c>
      <c r="X73" s="28">
        <v>24.599699999999999</v>
      </c>
      <c r="Y73" s="28">
        <v>24.599699999999999</v>
      </c>
      <c r="Z73" s="35">
        <v>1411</v>
      </c>
      <c r="AA73" s="39">
        <v>885364436.32819998</v>
      </c>
      <c r="AC73" s="11"/>
    </row>
    <row r="74" spans="1:29" ht="16.5">
      <c r="A74" s="25">
        <v>64</v>
      </c>
      <c r="B74" s="28" t="s">
        <v>26</v>
      </c>
      <c r="C74" s="41" t="s">
        <v>123</v>
      </c>
      <c r="D74" s="38"/>
      <c r="E74" s="28"/>
      <c r="F74" s="28">
        <f>380*79950</f>
        <v>30381000</v>
      </c>
      <c r="G74" s="28">
        <f>380*3538000</f>
        <v>1344440000</v>
      </c>
      <c r="H74" s="38"/>
      <c r="I74" s="28">
        <f>380*499.92</f>
        <v>189969.6</v>
      </c>
      <c r="J74" s="28">
        <f>380*3618449.92</f>
        <v>1375010969.5999999</v>
      </c>
      <c r="K74" s="28">
        <f>380*6240.42</f>
        <v>2371359.6</v>
      </c>
      <c r="L74" s="37">
        <f>380*2347.83</f>
        <v>892175.4</v>
      </c>
      <c r="M74" s="28">
        <f>380*3659269.3</f>
        <v>1390522334</v>
      </c>
      <c r="N74" s="28">
        <f>380*41107.48</f>
        <v>15620842.4</v>
      </c>
      <c r="O74" s="31">
        <f>380*3773638.38</f>
        <v>1433982584.3999999</v>
      </c>
      <c r="P74" s="32">
        <f t="shared" si="29"/>
        <v>5.5557261972938544E-3</v>
      </c>
      <c r="Q74" s="31">
        <f>380*3618161.81</f>
        <v>1374901487.8</v>
      </c>
      <c r="R74" s="32">
        <f t="shared" si="30"/>
        <v>5.0596212365187241E-3</v>
      </c>
      <c r="S74" s="130">
        <f t="shared" si="37"/>
        <v>-4.1200707207138317E-2</v>
      </c>
      <c r="T74" s="33">
        <f t="shared" si="31"/>
        <v>1.7247487336670552E-3</v>
      </c>
      <c r="U74" s="33">
        <f t="shared" si="32"/>
        <v>6.4890132705258978E-4</v>
      </c>
      <c r="V74" s="34">
        <f t="shared" si="35"/>
        <v>363.88680031424713</v>
      </c>
      <c r="W74" s="34">
        <f t="shared" si="36"/>
        <v>0.23612662762083567</v>
      </c>
      <c r="X74" s="106">
        <f>380*1.02</f>
        <v>387.6</v>
      </c>
      <c r="Y74" s="106">
        <f>380*1.02</f>
        <v>387.6</v>
      </c>
      <c r="Z74" s="38">
        <v>267</v>
      </c>
      <c r="AA74" s="39">
        <v>3778376.92</v>
      </c>
    </row>
    <row r="75" spans="1:29" s="7" customFormat="1" ht="16.5">
      <c r="A75" s="25">
        <v>65</v>
      </c>
      <c r="B75" s="45" t="s">
        <v>89</v>
      </c>
      <c r="C75" s="41" t="s">
        <v>90</v>
      </c>
      <c r="D75" s="45"/>
      <c r="E75" s="48"/>
      <c r="F75" s="29">
        <v>380267471.50999999</v>
      </c>
      <c r="G75" s="29">
        <v>153773925.97</v>
      </c>
      <c r="H75" s="45"/>
      <c r="I75" s="45"/>
      <c r="J75" s="29">
        <v>534041397.48000002</v>
      </c>
      <c r="K75" s="29">
        <v>13574995.27</v>
      </c>
      <c r="L75" s="37">
        <v>9268046.3499999996</v>
      </c>
      <c r="M75" s="45">
        <v>661026180.26999998</v>
      </c>
      <c r="N75" s="137" t="s">
        <v>175</v>
      </c>
      <c r="O75" s="31">
        <v>554074819.19000006</v>
      </c>
      <c r="P75" s="32">
        <f t="shared" si="29"/>
        <v>2.1466704140781054E-3</v>
      </c>
      <c r="Q75" s="31">
        <v>554074819.19000006</v>
      </c>
      <c r="R75" s="32">
        <f t="shared" si="30"/>
        <v>2.0389887905931151E-3</v>
      </c>
      <c r="S75" s="130">
        <f t="shared" si="37"/>
        <v>0</v>
      </c>
      <c r="T75" s="33">
        <f t="shared" si="31"/>
        <v>2.4500292739968288E-2</v>
      </c>
      <c r="U75" s="33">
        <f t="shared" si="32"/>
        <v>1.6727066506196622E-2</v>
      </c>
      <c r="V75" s="34">
        <f t="shared" si="35"/>
        <v>143.34524453991364</v>
      </c>
      <c r="W75" s="34">
        <f t="shared" si="36"/>
        <v>2.3977454387661536</v>
      </c>
      <c r="X75" s="45">
        <v>170.27359999999999</v>
      </c>
      <c r="Y75" s="45">
        <v>171.0147</v>
      </c>
      <c r="Z75" s="89">
        <v>330</v>
      </c>
      <c r="AA75" s="108">
        <v>3865317.06</v>
      </c>
    </row>
    <row r="76" spans="1:29" ht="16.5">
      <c r="A76" s="25">
        <v>66</v>
      </c>
      <c r="B76" s="28" t="s">
        <v>97</v>
      </c>
      <c r="C76" s="53" t="s">
        <v>99</v>
      </c>
      <c r="D76" s="28"/>
      <c r="E76" s="28"/>
      <c r="F76" s="54">
        <v>642382369.92999995</v>
      </c>
      <c r="G76" s="28">
        <v>3093641235.1900001</v>
      </c>
      <c r="H76" s="28"/>
      <c r="I76" s="28"/>
      <c r="J76" s="28">
        <v>3736023605.1300001</v>
      </c>
      <c r="K76" s="28">
        <v>4999934.37</v>
      </c>
      <c r="L76" s="37">
        <v>274961050.25999999</v>
      </c>
      <c r="M76" s="28">
        <v>3803189686.79</v>
      </c>
      <c r="N76" s="28">
        <v>5076075.0999999996</v>
      </c>
      <c r="O76" s="31">
        <v>2649390454.2600002</v>
      </c>
      <c r="P76" s="32">
        <f t="shared" si="29"/>
        <v>1.0264621142349037E-2</v>
      </c>
      <c r="Q76" s="31">
        <v>3798113611.6799998</v>
      </c>
      <c r="R76" s="32">
        <f t="shared" si="30"/>
        <v>1.3977013232501761E-2</v>
      </c>
      <c r="S76" s="130">
        <f t="shared" si="37"/>
        <v>0.43358016768458874</v>
      </c>
      <c r="T76" s="33">
        <f t="shared" si="31"/>
        <v>1.3164257000170159E-3</v>
      </c>
      <c r="U76" s="33">
        <f t="shared" si="32"/>
        <v>7.239410885825974E-2</v>
      </c>
      <c r="V76" s="34">
        <f t="shared" si="35"/>
        <v>1.744813887903375</v>
      </c>
      <c r="W76" s="34">
        <f t="shared" si="36"/>
        <v>0.12631424653828036</v>
      </c>
      <c r="X76" s="28">
        <v>1.7444999999999999</v>
      </c>
      <c r="Y76" s="28">
        <v>1.7444999999999999</v>
      </c>
      <c r="Z76" s="35">
        <v>102</v>
      </c>
      <c r="AA76" s="39">
        <v>2176801570.6500001</v>
      </c>
    </row>
    <row r="77" spans="1:29" ht="16.5">
      <c r="A77" s="25">
        <v>67</v>
      </c>
      <c r="B77" s="28" t="s">
        <v>1</v>
      </c>
      <c r="C77" s="53" t="s">
        <v>142</v>
      </c>
      <c r="D77" s="28"/>
      <c r="E77" s="28"/>
      <c r="F77" s="28">
        <v>642116900.74000001</v>
      </c>
      <c r="G77" s="28">
        <v>5831145488.1300001</v>
      </c>
      <c r="H77" s="28"/>
      <c r="I77" s="28"/>
      <c r="J77" s="28">
        <v>6473262388.8699999</v>
      </c>
      <c r="K77" s="28">
        <v>10360019.279999999</v>
      </c>
      <c r="L77" s="37">
        <v>34841742.219999999</v>
      </c>
      <c r="M77" s="28">
        <v>7668521864.3000002</v>
      </c>
      <c r="N77" s="28">
        <v>12491404.82</v>
      </c>
      <c r="O77" s="31">
        <v>6483000817.6899996</v>
      </c>
      <c r="P77" s="32">
        <f t="shared" si="29"/>
        <v>2.5117304681205873E-2</v>
      </c>
      <c r="Q77" s="31">
        <v>7656030459.4799995</v>
      </c>
      <c r="R77" s="32">
        <f t="shared" si="30"/>
        <v>2.8174101667605461E-2</v>
      </c>
      <c r="S77" s="130">
        <f t="shared" si="37"/>
        <v>0.18093930184139168</v>
      </c>
      <c r="T77" s="33">
        <f t="shared" si="31"/>
        <v>1.3531841774704297E-3</v>
      </c>
      <c r="U77" s="33">
        <f t="shared" si="32"/>
        <v>4.5508886627870686E-3</v>
      </c>
      <c r="V77" s="34">
        <f t="shared" si="35"/>
        <v>110.23800040035933</v>
      </c>
      <c r="W77" s="34">
        <f t="shared" si="36"/>
        <v>0.5016808662303115</v>
      </c>
      <c r="X77" s="28">
        <v>110.24</v>
      </c>
      <c r="Y77" s="28">
        <v>110.24</v>
      </c>
      <c r="Z77" s="35">
        <v>855</v>
      </c>
      <c r="AA77" s="39">
        <v>69450012.079999998</v>
      </c>
    </row>
    <row r="78" spans="1:29" ht="16.5">
      <c r="A78" s="25">
        <v>68</v>
      </c>
      <c r="B78" s="66" t="s">
        <v>154</v>
      </c>
      <c r="C78" s="42" t="s">
        <v>156</v>
      </c>
      <c r="D78" s="28"/>
      <c r="E78" s="28"/>
      <c r="F78" s="28">
        <v>23883364.940000001</v>
      </c>
      <c r="G78" s="28">
        <v>510005964.54000002</v>
      </c>
      <c r="H78" s="28"/>
      <c r="I78" s="28"/>
      <c r="J78" s="28">
        <v>533891022.57999998</v>
      </c>
      <c r="K78" s="28">
        <v>672321.18</v>
      </c>
      <c r="L78" s="37">
        <v>2493572.2799999998</v>
      </c>
      <c r="M78" s="28">
        <v>538370359.65999997</v>
      </c>
      <c r="N78" s="28">
        <v>672321.18</v>
      </c>
      <c r="O78" s="31">
        <v>489168681.14999998</v>
      </c>
      <c r="P78" s="32">
        <f t="shared" si="29"/>
        <v>1.8952024148172352E-3</v>
      </c>
      <c r="Q78" s="31">
        <v>537698038.48000002</v>
      </c>
      <c r="R78" s="32">
        <f t="shared" si="30"/>
        <v>1.9787224310019911E-3</v>
      </c>
      <c r="S78" s="130">
        <f t="shared" si="37"/>
        <v>9.9207817671219375E-2</v>
      </c>
      <c r="T78" s="33">
        <f t="shared" si="31"/>
        <v>1.2503694116135545E-3</v>
      </c>
      <c r="U78" s="33">
        <f t="shared" si="32"/>
        <v>4.637495585903555E-3</v>
      </c>
      <c r="V78" s="34">
        <f t="shared" si="35"/>
        <v>1.4542318664383602</v>
      </c>
      <c r="W78" s="34">
        <f t="shared" si="36"/>
        <v>6.7439938614881831E-3</v>
      </c>
      <c r="X78" s="28">
        <v>1.46</v>
      </c>
      <c r="Y78" s="28">
        <v>1.46</v>
      </c>
      <c r="Z78" s="35">
        <v>173</v>
      </c>
      <c r="AA78" s="39">
        <v>369747115.91000003</v>
      </c>
    </row>
    <row r="79" spans="1:29" ht="16.5">
      <c r="A79" s="25">
        <v>69</v>
      </c>
      <c r="B79" s="42" t="s">
        <v>73</v>
      </c>
      <c r="C79" s="42" t="s">
        <v>163</v>
      </c>
      <c r="D79" s="28"/>
      <c r="E79" s="28"/>
      <c r="F79" s="28"/>
      <c r="G79" s="28">
        <v>1157505094.3499999</v>
      </c>
      <c r="H79" s="28"/>
      <c r="I79" s="28"/>
      <c r="J79" s="28">
        <v>1157505094.3499999</v>
      </c>
      <c r="K79" s="28">
        <v>2122778.79</v>
      </c>
      <c r="L79" s="37">
        <v>6504451.6399999997</v>
      </c>
      <c r="M79" s="109">
        <v>1345958709.8399999</v>
      </c>
      <c r="N79" s="28">
        <v>15900374.49</v>
      </c>
      <c r="O79" s="31">
        <v>1305746112.6900001</v>
      </c>
      <c r="P79" s="32">
        <f t="shared" si="29"/>
        <v>5.0588953898082281E-3</v>
      </c>
      <c r="Q79" s="31">
        <v>1330058335.3499999</v>
      </c>
      <c r="R79" s="32">
        <f t="shared" si="30"/>
        <v>4.8945989651329276E-3</v>
      </c>
      <c r="S79" s="130">
        <f t="shared" si="37"/>
        <v>1.8619410330782935E-2</v>
      </c>
      <c r="T79" s="33">
        <f t="shared" si="31"/>
        <v>1.5960042755879566E-3</v>
      </c>
      <c r="U79" s="33">
        <f t="shared" si="32"/>
        <v>4.8903506463785123E-3</v>
      </c>
      <c r="V79" s="34">
        <f t="shared" si="35"/>
        <v>39498.079686107973</v>
      </c>
      <c r="W79" s="34">
        <f t="shared" si="36"/>
        <v>193.15945952366809</v>
      </c>
      <c r="X79" s="28">
        <v>39293.43</v>
      </c>
      <c r="Y79" s="28">
        <v>39293.43</v>
      </c>
      <c r="Z79" s="35">
        <v>237</v>
      </c>
      <c r="AA79" s="39">
        <v>33674</v>
      </c>
    </row>
    <row r="80" spans="1:29" ht="16.5">
      <c r="A80" s="25">
        <v>70</v>
      </c>
      <c r="B80" s="104" t="s">
        <v>61</v>
      </c>
      <c r="C80" s="27" t="s">
        <v>164</v>
      </c>
      <c r="D80" s="28"/>
      <c r="E80" s="28"/>
      <c r="F80" s="28">
        <v>377199092.39999998</v>
      </c>
      <c r="G80" s="28">
        <v>808726308.13</v>
      </c>
      <c r="H80" s="28"/>
      <c r="I80" s="28"/>
      <c r="J80" s="28">
        <v>1185925400.53</v>
      </c>
      <c r="K80" s="28">
        <v>6311316.1600000001</v>
      </c>
      <c r="L80" s="37">
        <v>72295837.099999994</v>
      </c>
      <c r="M80" s="28">
        <v>2415648431</v>
      </c>
      <c r="N80" s="28">
        <v>4993912</v>
      </c>
      <c r="O80" s="31">
        <v>2257964295</v>
      </c>
      <c r="P80" s="32">
        <f t="shared" si="29"/>
        <v>8.7481058157582257E-3</v>
      </c>
      <c r="Q80" s="31">
        <v>2410654518</v>
      </c>
      <c r="R80" s="32">
        <f t="shared" si="30"/>
        <v>8.8711801546590835E-3</v>
      </c>
      <c r="S80" s="130">
        <f t="shared" si="37"/>
        <v>6.7622957253183666E-2</v>
      </c>
      <c r="T80" s="33">
        <f t="shared" si="31"/>
        <v>2.6180923532900871E-3</v>
      </c>
      <c r="U80" s="33">
        <f t="shared" si="32"/>
        <v>2.9990127809761912E-2</v>
      </c>
      <c r="V80" s="34">
        <f t="shared" si="35"/>
        <v>1.1210985143741805</v>
      </c>
      <c r="W80" s="34">
        <f t="shared" si="36"/>
        <v>3.3621887733415873E-2</v>
      </c>
      <c r="X80" s="28">
        <v>1.1299999999999999</v>
      </c>
      <c r="Y80" s="28">
        <v>1.1299999999999999</v>
      </c>
      <c r="Z80" s="35">
        <v>290</v>
      </c>
      <c r="AA80" s="39">
        <v>2150261094</v>
      </c>
    </row>
    <row r="81" spans="1:29" ht="16.5">
      <c r="A81" s="25">
        <v>71</v>
      </c>
      <c r="B81" s="104" t="s">
        <v>165</v>
      </c>
      <c r="C81" s="27" t="s">
        <v>166</v>
      </c>
      <c r="D81" s="53"/>
      <c r="E81" s="53"/>
      <c r="F81" s="53"/>
      <c r="G81" s="53">
        <f>380*899556.25</f>
        <v>341831375</v>
      </c>
      <c r="H81" s="53"/>
      <c r="I81" s="53"/>
      <c r="J81" s="53">
        <f>380*899556.25</f>
        <v>341831375</v>
      </c>
      <c r="K81" s="53">
        <f>380*1569.08</f>
        <v>596250.4</v>
      </c>
      <c r="L81" s="67">
        <f>380*5616.95</f>
        <v>2134441</v>
      </c>
      <c r="M81" s="53">
        <f>380*1135636.91</f>
        <v>431542025.79999995</v>
      </c>
      <c r="N81" s="53">
        <f>380*6661.78</f>
        <v>2531476.4</v>
      </c>
      <c r="O81" s="68">
        <v>427009572</v>
      </c>
      <c r="P81" s="32">
        <f t="shared" si="29"/>
        <v>1.6543773205225244E-3</v>
      </c>
      <c r="Q81" s="68">
        <f>380*1128922.7</f>
        <v>428990626</v>
      </c>
      <c r="R81" s="32">
        <f t="shared" si="30"/>
        <v>1.5786804369890954E-3</v>
      </c>
      <c r="S81" s="130">
        <f t="shared" si="37"/>
        <v>4.6393667259524568E-3</v>
      </c>
      <c r="T81" s="33">
        <f t="shared" si="31"/>
        <v>1.3898914425230354E-3</v>
      </c>
      <c r="U81" s="33">
        <f t="shared" si="32"/>
        <v>4.9754956650264895E-3</v>
      </c>
      <c r="V81" s="34">
        <f t="shared" si="35"/>
        <v>38115.559840071081</v>
      </c>
      <c r="W81" s="34">
        <f t="shared" si="36"/>
        <v>189.6438027543314</v>
      </c>
      <c r="X81" s="28">
        <f>380*100.3</f>
        <v>38114</v>
      </c>
      <c r="Y81" s="28">
        <f>380*100.3</f>
        <v>38114</v>
      </c>
      <c r="Z81" s="35">
        <v>40</v>
      </c>
      <c r="AA81" s="39">
        <v>11255</v>
      </c>
    </row>
    <row r="82" spans="1:29" ht="16.5">
      <c r="A82" s="90"/>
      <c r="B82" s="74"/>
      <c r="C82" s="75" t="s">
        <v>59</v>
      </c>
      <c r="D82" s="28"/>
      <c r="E82" s="28"/>
      <c r="F82" s="28"/>
      <c r="G82" s="28"/>
      <c r="H82" s="28"/>
      <c r="I82" s="28"/>
      <c r="J82" s="28"/>
      <c r="K82" s="28"/>
      <c r="L82" s="37"/>
      <c r="M82" s="28"/>
      <c r="N82" s="28"/>
      <c r="O82" s="76">
        <f>SUM(O59:O81)</f>
        <v>258108937243.61005</v>
      </c>
      <c r="P82" s="77">
        <f>(O82/$O$119)</f>
        <v>0.18820347471229565</v>
      </c>
      <c r="Q82" s="76">
        <f>SUM(Q59:Q81)</f>
        <v>271740002567.07001</v>
      </c>
      <c r="R82" s="77">
        <f>(Q82/$Q$119)</f>
        <v>0.18502692627648715</v>
      </c>
      <c r="S82" s="130">
        <f t="shared" si="37"/>
        <v>5.281128762540524E-2</v>
      </c>
      <c r="T82" s="33"/>
      <c r="U82" s="33"/>
      <c r="V82" s="34"/>
      <c r="W82" s="34"/>
      <c r="X82" s="28"/>
      <c r="Y82" s="28"/>
      <c r="Z82" s="78">
        <f>SUM(Z59:Z81)</f>
        <v>30735</v>
      </c>
      <c r="AA82" s="39"/>
    </row>
    <row r="83" spans="1:29" ht="16.5">
      <c r="A83" s="92"/>
      <c r="B83" s="93"/>
      <c r="C83" s="94" t="s">
        <v>31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30"/>
      <c r="Q83" s="95"/>
      <c r="R83" s="130"/>
      <c r="S83" s="130"/>
      <c r="T83" s="139"/>
      <c r="U83" s="139"/>
      <c r="V83" s="140"/>
      <c r="W83" s="140"/>
      <c r="X83" s="95"/>
      <c r="Y83" s="95"/>
      <c r="Z83" s="95"/>
      <c r="AA83" s="97"/>
    </row>
    <row r="84" spans="1:29" s="7" customFormat="1" ht="16.5">
      <c r="A84" s="40">
        <v>72</v>
      </c>
      <c r="B84" s="66" t="s">
        <v>29</v>
      </c>
      <c r="C84" s="42" t="s">
        <v>152</v>
      </c>
      <c r="D84" s="45"/>
      <c r="E84" s="45"/>
      <c r="F84" s="45"/>
      <c r="G84" s="45">
        <v>540060045.73000002</v>
      </c>
      <c r="H84" s="45">
        <v>1746390000</v>
      </c>
      <c r="I84" s="45">
        <v>380912.7</v>
      </c>
      <c r="J84" s="45">
        <v>2286830958.4299998</v>
      </c>
      <c r="K84" s="45">
        <v>3076511.65</v>
      </c>
      <c r="L84" s="37">
        <v>16152617.720000001</v>
      </c>
      <c r="M84" s="45">
        <v>2432591167</v>
      </c>
      <c r="N84" s="45">
        <v>171941.519</v>
      </c>
      <c r="O84" s="31">
        <v>2244497030</v>
      </c>
      <c r="P84" s="32">
        <f>(O84/$O$87)</f>
        <v>5.1299637127101373E-2</v>
      </c>
      <c r="Q84" s="31">
        <v>2260649648</v>
      </c>
      <c r="R84" s="32">
        <f>(Q84/$Q$87)</f>
        <v>5.3880858648558141E-2</v>
      </c>
      <c r="S84" s="130">
        <f t="shared" si="37"/>
        <v>7.1965423808112595E-3</v>
      </c>
      <c r="T84" s="33">
        <f>(K84/Q84)</f>
        <v>1.3608971442000287E-3</v>
      </c>
      <c r="U84" s="33">
        <f>L84/Q84</f>
        <v>7.1451220821812196E-3</v>
      </c>
      <c r="V84" s="34" t="e">
        <f t="shared" si="33"/>
        <v>#DIV/0!</v>
      </c>
      <c r="W84" s="34" t="e">
        <f>L84/AA84</f>
        <v>#DIV/0!</v>
      </c>
      <c r="X84" s="45"/>
      <c r="Y84" s="45"/>
      <c r="Z84" s="89">
        <v>2618</v>
      </c>
      <c r="AA84" s="50"/>
    </row>
    <row r="85" spans="1:29" ht="16.5">
      <c r="A85" s="25">
        <v>73</v>
      </c>
      <c r="B85" s="26" t="s">
        <v>29</v>
      </c>
      <c r="C85" s="27" t="s">
        <v>32</v>
      </c>
      <c r="D85" s="28"/>
      <c r="E85" s="28"/>
      <c r="F85" s="28"/>
      <c r="G85" s="28">
        <v>564637174.87</v>
      </c>
      <c r="H85" s="28"/>
      <c r="I85" s="138">
        <f>84961783.39+40183606.56</f>
        <v>125145389.95</v>
      </c>
      <c r="J85" s="28">
        <v>10621912620.799999</v>
      </c>
      <c r="K85" s="28">
        <v>13946761.310000001</v>
      </c>
      <c r="L85" s="37">
        <v>22465712.780000001</v>
      </c>
      <c r="M85" s="28">
        <v>10841904259.65</v>
      </c>
      <c r="N85" s="28">
        <v>1054397582.03</v>
      </c>
      <c r="O85" s="31">
        <v>9765040965</v>
      </c>
      <c r="P85" s="32">
        <f>(O85/$O$87)</f>
        <v>0.22318722250025869</v>
      </c>
      <c r="Q85" s="31">
        <v>9787506677.6700001</v>
      </c>
      <c r="R85" s="32">
        <f>(Q85/$Q$87)</f>
        <v>0.23327775017588934</v>
      </c>
      <c r="S85" s="130">
        <f t="shared" si="37"/>
        <v>2.3006265668031509E-3</v>
      </c>
      <c r="T85" s="33">
        <f>(K85/Q85)</f>
        <v>1.4249554834858255E-3</v>
      </c>
      <c r="U85" s="33">
        <f t="shared" ref="U85:U86" si="38">L85/Q85</f>
        <v>2.2953458444381013E-3</v>
      </c>
      <c r="V85" s="34">
        <f t="shared" ref="V85:V86" si="39">Q85/AA85</f>
        <v>52.026042215903161</v>
      </c>
      <c r="W85" s="34">
        <f t="shared" ref="W85:W86" si="40">L85/AA85</f>
        <v>0.11941775980283455</v>
      </c>
      <c r="X85" s="28">
        <v>40.700000000000003</v>
      </c>
      <c r="Y85" s="28">
        <v>40.700000000000003</v>
      </c>
      <c r="Z85" s="35">
        <v>5233</v>
      </c>
      <c r="AA85" s="39">
        <v>188127066</v>
      </c>
      <c r="AC85" s="12"/>
    </row>
    <row r="86" spans="1:29" ht="16.5">
      <c r="A86" s="52">
        <v>74</v>
      </c>
      <c r="B86" s="53" t="s">
        <v>24</v>
      </c>
      <c r="C86" s="27" t="s">
        <v>33</v>
      </c>
      <c r="D86" s="28"/>
      <c r="E86" s="28"/>
      <c r="F86" s="28">
        <v>3325956869.2800002</v>
      </c>
      <c r="G86" s="28">
        <v>587219262.29999995</v>
      </c>
      <c r="H86" s="28">
        <v>26241412000</v>
      </c>
      <c r="I86" s="38"/>
      <c r="J86" s="28">
        <v>30154588131.57</v>
      </c>
      <c r="K86" s="28">
        <v>57198329.710000001</v>
      </c>
      <c r="L86" s="37">
        <v>70664845.700000003</v>
      </c>
      <c r="M86" s="28">
        <v>30657071034.790001</v>
      </c>
      <c r="N86" s="28">
        <v>748775575.88</v>
      </c>
      <c r="O86" s="31">
        <v>31743150244.080002</v>
      </c>
      <c r="P86" s="32">
        <f>(O86/$O$87)</f>
        <v>0.72551314037263992</v>
      </c>
      <c r="Q86" s="31">
        <v>29908295458.91</v>
      </c>
      <c r="R86" s="32">
        <f>(Q86/$Q$87)</f>
        <v>0.71284139117555245</v>
      </c>
      <c r="S86" s="130">
        <f t="shared" si="37"/>
        <v>-5.7803172371406225E-2</v>
      </c>
      <c r="T86" s="33">
        <f>(K86/Q86)</f>
        <v>1.9124570234563471E-3</v>
      </c>
      <c r="U86" s="33">
        <f t="shared" si="38"/>
        <v>2.3627172533815595E-3</v>
      </c>
      <c r="V86" s="34">
        <f t="shared" si="39"/>
        <v>11.208873563524973</v>
      </c>
      <c r="W86" s="34">
        <f t="shared" si="40"/>
        <v>2.6483398959512898E-2</v>
      </c>
      <c r="X86" s="28">
        <v>11.21</v>
      </c>
      <c r="Y86" s="28">
        <v>11.21</v>
      </c>
      <c r="Z86" s="35">
        <v>894</v>
      </c>
      <c r="AA86" s="39">
        <v>2668269500</v>
      </c>
    </row>
    <row r="87" spans="1:29" ht="16.5">
      <c r="A87" s="90"/>
      <c r="B87" s="91"/>
      <c r="C87" s="75" t="s">
        <v>59</v>
      </c>
      <c r="D87" s="28"/>
      <c r="E87" s="28"/>
      <c r="F87" s="28"/>
      <c r="G87" s="28"/>
      <c r="H87" s="28"/>
      <c r="I87" s="28"/>
      <c r="J87" s="28" t="s">
        <v>150</v>
      </c>
      <c r="K87" s="28"/>
      <c r="L87" s="37"/>
      <c r="M87" s="28"/>
      <c r="N87" s="28"/>
      <c r="O87" s="76">
        <f>SUM(O84:O86)</f>
        <v>43752688239.080002</v>
      </c>
      <c r="P87" s="77">
        <f>(O87/$O$119)</f>
        <v>3.1902839330304925E-2</v>
      </c>
      <c r="Q87" s="76">
        <f>SUM(Q84:Q86)</f>
        <v>41956451784.580002</v>
      </c>
      <c r="R87" s="77">
        <f>(Q87/$Q$119)</f>
        <v>2.8568018097565203E-2</v>
      </c>
      <c r="S87" s="130">
        <f t="shared" si="37"/>
        <v>-4.1054310644519379E-2</v>
      </c>
      <c r="T87" s="33"/>
      <c r="U87" s="33"/>
      <c r="V87" s="34"/>
      <c r="W87" s="34"/>
      <c r="X87" s="28"/>
      <c r="Y87" s="28"/>
      <c r="Z87" s="78">
        <f>SUM(Z84:Z86)</f>
        <v>8745</v>
      </c>
      <c r="AA87" s="39"/>
    </row>
    <row r="88" spans="1:29" ht="16.5">
      <c r="A88" s="92"/>
      <c r="B88" s="93"/>
      <c r="C88" s="94" t="s">
        <v>34</v>
      </c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30"/>
      <c r="Q88" s="95"/>
      <c r="R88" s="130"/>
      <c r="S88" s="130"/>
      <c r="T88" s="139"/>
      <c r="U88" s="139"/>
      <c r="V88" s="140"/>
      <c r="W88" s="140"/>
      <c r="X88" s="95"/>
      <c r="Y88" s="95"/>
      <c r="Z88" s="95"/>
      <c r="AA88" s="97"/>
    </row>
    <row r="89" spans="1:29" s="7" customFormat="1" ht="16.5">
      <c r="A89" s="40">
        <v>75</v>
      </c>
      <c r="B89" s="66" t="s">
        <v>1</v>
      </c>
      <c r="C89" s="42" t="s">
        <v>10</v>
      </c>
      <c r="D89" s="45">
        <v>653311012.54999995</v>
      </c>
      <c r="E89" s="45"/>
      <c r="F89" s="45">
        <v>404323010.72000003</v>
      </c>
      <c r="G89" s="45">
        <v>307260094.98000002</v>
      </c>
      <c r="H89" s="110"/>
      <c r="I89" s="45"/>
      <c r="J89" s="45">
        <v>1366064610.05</v>
      </c>
      <c r="K89" s="45">
        <v>1899700.25</v>
      </c>
      <c r="L89" s="37">
        <v>88858239.019999996</v>
      </c>
      <c r="M89" s="45">
        <v>1384839832.53</v>
      </c>
      <c r="N89" s="45">
        <v>4780309.8600000003</v>
      </c>
      <c r="O89" s="31">
        <v>1221679637.8299999</v>
      </c>
      <c r="P89" s="32">
        <f t="shared" ref="P89:P109" si="41">(O89/$O$110)</f>
        <v>4.8270405092893737E-2</v>
      </c>
      <c r="Q89" s="31">
        <v>1380059522.6700001</v>
      </c>
      <c r="R89" s="32">
        <f t="shared" ref="R89:R109" si="42">(Q89/$Q$110)</f>
        <v>5.085122131518937E-2</v>
      </c>
      <c r="S89" s="130">
        <f t="shared" si="37"/>
        <v>0.1296410940607321</v>
      </c>
      <c r="T89" s="33">
        <f t="shared" ref="T89:T109" si="43">(K89/Q89)</f>
        <v>1.3765350108411638E-3</v>
      </c>
      <c r="U89" s="33">
        <f t="shared" ref="U89:U109" si="44">L89/Q89</f>
        <v>6.4387251100652548E-2</v>
      </c>
      <c r="V89" s="34">
        <f t="shared" ref="V89:V112" si="45">Q89/AA89</f>
        <v>3089.2955325900466</v>
      </c>
      <c r="W89" s="34">
        <f t="shared" ref="W89" si="46">L89/AA89</f>
        <v>198.91124718099951</v>
      </c>
      <c r="X89" s="28">
        <v>3074.31</v>
      </c>
      <c r="Y89" s="28">
        <v>3099.9</v>
      </c>
      <c r="Z89" s="35">
        <v>1030</v>
      </c>
      <c r="AA89" s="39">
        <v>446723.05</v>
      </c>
    </row>
    <row r="90" spans="1:29" ht="16.5">
      <c r="A90" s="25">
        <v>76</v>
      </c>
      <c r="B90" s="26" t="s">
        <v>6</v>
      </c>
      <c r="C90" s="42" t="s">
        <v>35</v>
      </c>
      <c r="D90" s="28">
        <v>85325601.700000003</v>
      </c>
      <c r="E90" s="28"/>
      <c r="F90" s="28">
        <v>49722126.670000002</v>
      </c>
      <c r="G90" s="26">
        <v>32000000</v>
      </c>
      <c r="H90" s="28"/>
      <c r="I90" s="28"/>
      <c r="J90" s="28">
        <v>171890487.72999999</v>
      </c>
      <c r="K90" s="28">
        <v>295957.28999999998</v>
      </c>
      <c r="L90" s="37">
        <v>44134.96</v>
      </c>
      <c r="M90" s="26">
        <v>171890487.72999999</v>
      </c>
      <c r="N90" s="28">
        <v>1573917.88</v>
      </c>
      <c r="O90" s="31">
        <v>155478620.80000001</v>
      </c>
      <c r="P90" s="32">
        <f t="shared" si="41"/>
        <v>6.1431948089362837E-3</v>
      </c>
      <c r="Q90" s="31">
        <v>170316569.86000001</v>
      </c>
      <c r="R90" s="32">
        <f t="shared" si="42"/>
        <v>6.2756753932168936E-3</v>
      </c>
      <c r="S90" s="130">
        <f t="shared" si="37"/>
        <v>9.5434015195483404E-2</v>
      </c>
      <c r="T90" s="33">
        <f t="shared" si="43"/>
        <v>1.737689352499739E-3</v>
      </c>
      <c r="U90" s="33">
        <f t="shared" si="44"/>
        <v>2.5913485714442743E-4</v>
      </c>
      <c r="V90" s="34">
        <f t="shared" ref="V90:V109" si="47">Q90/AA90</f>
        <v>126.01946701097292</v>
      </c>
      <c r="W90" s="34">
        <f t="shared" ref="W90:W109" si="48">L90/AA90</f>
        <v>3.2656036581305357E-2</v>
      </c>
      <c r="X90" s="28">
        <v>124.94</v>
      </c>
      <c r="Y90" s="28">
        <v>126.23</v>
      </c>
      <c r="Z90" s="35">
        <v>739</v>
      </c>
      <c r="AA90" s="39">
        <v>1351510</v>
      </c>
    </row>
    <row r="91" spans="1:29" ht="16.5">
      <c r="A91" s="40">
        <v>77</v>
      </c>
      <c r="B91" s="26" t="s">
        <v>8</v>
      </c>
      <c r="C91" s="42" t="s">
        <v>114</v>
      </c>
      <c r="D91" s="28">
        <v>371080735.67000002</v>
      </c>
      <c r="E91" s="28"/>
      <c r="F91" s="28">
        <v>58839760</v>
      </c>
      <c r="G91" s="28">
        <v>178286825</v>
      </c>
      <c r="H91" s="28"/>
      <c r="I91" s="28"/>
      <c r="J91" s="28">
        <v>608207321</v>
      </c>
      <c r="K91" s="28">
        <v>1355285</v>
      </c>
      <c r="L91" s="37">
        <v>78218365</v>
      </c>
      <c r="M91" s="28">
        <v>903000381</v>
      </c>
      <c r="N91" s="28">
        <v>77575162</v>
      </c>
      <c r="O91" s="31">
        <v>777527643.33000004</v>
      </c>
      <c r="P91" s="32">
        <f t="shared" si="41"/>
        <v>3.0721289896529093E-2</v>
      </c>
      <c r="Q91" s="31">
        <v>828011056.14999998</v>
      </c>
      <c r="R91" s="32">
        <f t="shared" si="42"/>
        <v>3.0509824232976636E-2</v>
      </c>
      <c r="S91" s="130">
        <f t="shared" si="37"/>
        <v>6.4928126032650454E-2</v>
      </c>
      <c r="T91" s="33">
        <f t="shared" si="43"/>
        <v>1.6367957769811237E-3</v>
      </c>
      <c r="U91" s="33">
        <f t="shared" si="44"/>
        <v>9.4465363015430792E-2</v>
      </c>
      <c r="V91" s="34">
        <f t="shared" si="47"/>
        <v>1.2852354984333056</v>
      </c>
      <c r="W91" s="34">
        <f t="shared" si="48"/>
        <v>0.12141023791982035</v>
      </c>
      <c r="X91" s="28">
        <v>1.2997000000000001</v>
      </c>
      <c r="Y91" s="28">
        <v>1.3172999999999999</v>
      </c>
      <c r="Z91" s="35">
        <v>1392</v>
      </c>
      <c r="AA91" s="39">
        <v>644248511</v>
      </c>
    </row>
    <row r="92" spans="1:29" ht="16.5">
      <c r="A92" s="25">
        <v>78</v>
      </c>
      <c r="B92" s="38" t="s">
        <v>61</v>
      </c>
      <c r="C92" s="27" t="s">
        <v>36</v>
      </c>
      <c r="D92" s="28">
        <v>2055258113.2</v>
      </c>
      <c r="E92" s="38"/>
      <c r="F92" s="28">
        <v>224786963.75</v>
      </c>
      <c r="G92" s="28">
        <v>578580082.36000001</v>
      </c>
      <c r="H92" s="28">
        <v>58000000</v>
      </c>
      <c r="I92" s="28"/>
      <c r="J92" s="133">
        <v>2916625159.3099999</v>
      </c>
      <c r="K92" s="28">
        <v>9855567.9900000002</v>
      </c>
      <c r="L92" s="37">
        <v>296774687.05000001</v>
      </c>
      <c r="M92" s="28">
        <v>3886362764</v>
      </c>
      <c r="N92" s="28">
        <v>19297884</v>
      </c>
      <c r="O92" s="31">
        <v>3571159056</v>
      </c>
      <c r="P92" s="32">
        <f t="shared" si="41"/>
        <v>0.14110188051465528</v>
      </c>
      <c r="Q92" s="31">
        <v>3867064881</v>
      </c>
      <c r="R92" s="32">
        <f t="shared" si="42"/>
        <v>0.1424902106566234</v>
      </c>
      <c r="S92" s="130">
        <f t="shared" si="37"/>
        <v>8.2859883964798681E-2</v>
      </c>
      <c r="T92" s="33">
        <f t="shared" si="43"/>
        <v>2.5485913201051358E-3</v>
      </c>
      <c r="U92" s="33">
        <f t="shared" si="44"/>
        <v>7.674417062618713E-2</v>
      </c>
      <c r="V92" s="34">
        <f t="shared" si="47"/>
        <v>382.87638419074784</v>
      </c>
      <c r="W92" s="34">
        <f t="shared" si="48"/>
        <v>29.383530557072326</v>
      </c>
      <c r="X92" s="28">
        <v>382</v>
      </c>
      <c r="Y92" s="28">
        <v>393</v>
      </c>
      <c r="Z92" s="134">
        <v>35482</v>
      </c>
      <c r="AA92" s="39">
        <v>10100035</v>
      </c>
    </row>
    <row r="93" spans="1:29" ht="16.5">
      <c r="A93" s="40">
        <v>79</v>
      </c>
      <c r="B93" s="26" t="s">
        <v>28</v>
      </c>
      <c r="C93" s="42" t="s">
        <v>37</v>
      </c>
      <c r="D93" s="28">
        <v>1207077875.5</v>
      </c>
      <c r="E93" s="132"/>
      <c r="F93" s="28"/>
      <c r="G93" s="28">
        <v>637967189.86000001</v>
      </c>
      <c r="H93" s="54"/>
      <c r="I93" s="28"/>
      <c r="J93" s="28">
        <v>2184186290.8299999</v>
      </c>
      <c r="K93" s="28">
        <v>21884014.870000001</v>
      </c>
      <c r="L93" s="37">
        <v>105373285.41</v>
      </c>
      <c r="M93" s="28">
        <v>2309527832.9200001</v>
      </c>
      <c r="N93" s="111">
        <v>7157318.04</v>
      </c>
      <c r="O93" s="31">
        <v>2146451660.3099999</v>
      </c>
      <c r="P93" s="32">
        <f t="shared" si="41"/>
        <v>8.4809542491446246E-2</v>
      </c>
      <c r="Q93" s="31">
        <v>2302370514.8800001</v>
      </c>
      <c r="R93" s="32">
        <f t="shared" si="42"/>
        <v>8.4835726777362452E-2</v>
      </c>
      <c r="S93" s="130">
        <f t="shared" si="37"/>
        <v>7.2640282310146076E-2</v>
      </c>
      <c r="T93" s="33">
        <f t="shared" si="43"/>
        <v>9.5049926710604176E-3</v>
      </c>
      <c r="U93" s="33">
        <f t="shared" si="44"/>
        <v>4.5767301452560541E-2</v>
      </c>
      <c r="V93" s="34">
        <f t="shared" si="47"/>
        <v>11.477617395479157</v>
      </c>
      <c r="W93" s="34">
        <f t="shared" si="48"/>
        <v>0.52529957529604743</v>
      </c>
      <c r="X93" s="28">
        <v>11.4011</v>
      </c>
      <c r="Y93" s="28">
        <v>11.527200000000001</v>
      </c>
      <c r="Z93" s="35">
        <v>6600</v>
      </c>
      <c r="AA93" s="39">
        <v>200596555.5</v>
      </c>
    </row>
    <row r="94" spans="1:29" ht="16.5">
      <c r="A94" s="25">
        <v>80</v>
      </c>
      <c r="B94" s="27" t="s">
        <v>92</v>
      </c>
      <c r="C94" s="42" t="s">
        <v>122</v>
      </c>
      <c r="D94" s="28">
        <v>471902363.39999998</v>
      </c>
      <c r="E94" s="28"/>
      <c r="F94" s="28">
        <v>270497303.26999998</v>
      </c>
      <c r="G94" s="28">
        <v>307753877.01999998</v>
      </c>
      <c r="H94" s="28">
        <v>24010664.010000002</v>
      </c>
      <c r="I94" s="28"/>
      <c r="J94" s="28">
        <v>1074164207.7</v>
      </c>
      <c r="K94" s="28">
        <v>1606025.69</v>
      </c>
      <c r="L94" s="37">
        <v>70554915.640000001</v>
      </c>
      <c r="M94" s="28">
        <v>1192399023.25</v>
      </c>
      <c r="N94" s="28">
        <v>38933557.530000001</v>
      </c>
      <c r="O94" s="31">
        <v>1083519015.0899999</v>
      </c>
      <c r="P94" s="32">
        <f t="shared" si="41"/>
        <v>4.2811470507234148E-2</v>
      </c>
      <c r="Q94" s="31">
        <v>1153465465.71</v>
      </c>
      <c r="R94" s="32">
        <f t="shared" si="42"/>
        <v>4.250188250052226E-2</v>
      </c>
      <c r="S94" s="130">
        <f t="shared" si="37"/>
        <v>6.4554889804301394E-2</v>
      </c>
      <c r="T94" s="33">
        <f t="shared" si="43"/>
        <v>1.3923483084180874E-3</v>
      </c>
      <c r="U94" s="33">
        <f t="shared" si="44"/>
        <v>6.116777462129816E-2</v>
      </c>
      <c r="V94" s="34">
        <f t="shared" si="47"/>
        <v>2.0270245526322608</v>
      </c>
      <c r="W94" s="34">
        <f t="shared" si="48"/>
        <v>0.12398858098724784</v>
      </c>
      <c r="X94" s="28">
        <v>2.1753</v>
      </c>
      <c r="Y94" s="28">
        <v>2.2119</v>
      </c>
      <c r="Z94" s="35">
        <v>2813</v>
      </c>
      <c r="AA94" s="39">
        <v>569043657.71599996</v>
      </c>
    </row>
    <row r="95" spans="1:29" ht="16.5">
      <c r="A95" s="40">
        <v>81</v>
      </c>
      <c r="B95" s="26" t="s">
        <v>16</v>
      </c>
      <c r="C95" s="42" t="s">
        <v>101</v>
      </c>
      <c r="D95" s="28">
        <v>20694984.050000001</v>
      </c>
      <c r="E95" s="28"/>
      <c r="F95" s="28">
        <v>23436159.879999999</v>
      </c>
      <c r="G95" s="54">
        <v>117449838.55</v>
      </c>
      <c r="H95" s="28"/>
      <c r="I95" s="28"/>
      <c r="J95" s="28">
        <v>169571615.69999999</v>
      </c>
      <c r="K95" s="28">
        <v>570083.13</v>
      </c>
      <c r="L95" s="37">
        <v>345399.38</v>
      </c>
      <c r="M95" s="28">
        <v>169571615.69999999</v>
      </c>
      <c r="N95" s="28">
        <v>5362031.97</v>
      </c>
      <c r="O95" s="31">
        <v>136348740.08000001</v>
      </c>
      <c r="P95" s="32">
        <f t="shared" si="41"/>
        <v>5.3873443689851572E-3</v>
      </c>
      <c r="Q95" s="31">
        <v>164209583.72999999</v>
      </c>
      <c r="R95" s="32">
        <f t="shared" si="42"/>
        <v>6.0506505314887517E-3</v>
      </c>
      <c r="S95" s="130">
        <f t="shared" si="37"/>
        <v>0.20433517488796127</v>
      </c>
      <c r="T95" s="33">
        <f t="shared" si="43"/>
        <v>3.4716800143489413E-3</v>
      </c>
      <c r="U95" s="33">
        <f t="shared" si="44"/>
        <v>2.1034057340277995E-3</v>
      </c>
      <c r="V95" s="34">
        <f t="shared" si="47"/>
        <v>3.7560526477808094</v>
      </c>
      <c r="W95" s="34">
        <f t="shared" si="48"/>
        <v>7.900502676652453E-3</v>
      </c>
      <c r="X95" s="28">
        <v>3.7582</v>
      </c>
      <c r="Y95" s="28">
        <v>3.8797999999999999</v>
      </c>
      <c r="Z95" s="35">
        <v>11818</v>
      </c>
      <c r="AA95" s="39">
        <v>43718658.689999998</v>
      </c>
    </row>
    <row r="96" spans="1:29" ht="16.5">
      <c r="A96" s="25">
        <v>82</v>
      </c>
      <c r="B96" s="53" t="s">
        <v>38</v>
      </c>
      <c r="C96" s="41" t="s">
        <v>140</v>
      </c>
      <c r="D96" s="53">
        <v>1587240416.4000001</v>
      </c>
      <c r="E96" s="53"/>
      <c r="F96" s="53">
        <v>696878989.97000003</v>
      </c>
      <c r="G96" s="53">
        <v>1072359788.5599999</v>
      </c>
      <c r="H96" s="53"/>
      <c r="I96" s="53"/>
      <c r="J96" s="53">
        <v>3357879599.3000002</v>
      </c>
      <c r="K96" s="53">
        <v>6527030.8399999999</v>
      </c>
      <c r="L96" s="67">
        <v>262827790.81999999</v>
      </c>
      <c r="M96" s="53">
        <v>3367576094.1999998</v>
      </c>
      <c r="N96" s="53">
        <v>9696494.9000000004</v>
      </c>
      <c r="O96" s="68">
        <v>3071240247.0599999</v>
      </c>
      <c r="P96" s="69">
        <f t="shared" si="41"/>
        <v>0.12134933436928956</v>
      </c>
      <c r="Q96" s="68">
        <v>3357879599.3000002</v>
      </c>
      <c r="R96" s="69">
        <f t="shared" si="42"/>
        <v>0.12372819856596431</v>
      </c>
      <c r="S96" s="130">
        <f t="shared" si="37"/>
        <v>9.3330162794783289E-2</v>
      </c>
      <c r="T96" s="33">
        <f t="shared" si="43"/>
        <v>1.943795376511015E-3</v>
      </c>
      <c r="U96" s="33">
        <f t="shared" si="44"/>
        <v>7.8271952000539366E-2</v>
      </c>
      <c r="V96" s="34">
        <f t="shared" si="47"/>
        <v>171.89230507813892</v>
      </c>
      <c r="W96" s="34">
        <f t="shared" si="48"/>
        <v>13.454346252338159</v>
      </c>
      <c r="X96" s="28">
        <v>171.89</v>
      </c>
      <c r="Y96" s="28">
        <v>173.23</v>
      </c>
      <c r="Z96" s="35">
        <v>5510</v>
      </c>
      <c r="AA96" s="39">
        <v>19534787.190000001</v>
      </c>
    </row>
    <row r="97" spans="1:29" ht="16.5">
      <c r="A97" s="40">
        <v>83</v>
      </c>
      <c r="B97" s="27" t="s">
        <v>64</v>
      </c>
      <c r="C97" s="42" t="s">
        <v>39</v>
      </c>
      <c r="D97" s="28">
        <v>261503515.09999999</v>
      </c>
      <c r="E97" s="132"/>
      <c r="F97" s="28">
        <v>50267269.450000003</v>
      </c>
      <c r="G97" s="28"/>
      <c r="H97" s="28"/>
      <c r="I97" s="28"/>
      <c r="J97" s="28">
        <v>311770784.55000001</v>
      </c>
      <c r="K97" s="28">
        <v>609292.21</v>
      </c>
      <c r="L97" s="37">
        <v>-506517.96</v>
      </c>
      <c r="M97" s="28">
        <v>320770961.25999999</v>
      </c>
      <c r="N97" s="28">
        <v>3192493.47</v>
      </c>
      <c r="O97" s="31">
        <v>278287255.19999999</v>
      </c>
      <c r="P97" s="32">
        <f t="shared" si="41"/>
        <v>1.0995549180596838E-2</v>
      </c>
      <c r="Q97" s="31">
        <v>317578467.79000002</v>
      </c>
      <c r="R97" s="32">
        <f t="shared" si="42"/>
        <v>1.170185248190171E-2</v>
      </c>
      <c r="S97" s="130">
        <f t="shared" si="37"/>
        <v>0.14118940718920869</v>
      </c>
      <c r="T97" s="33">
        <f t="shared" si="43"/>
        <v>1.9185564255662848E-3</v>
      </c>
      <c r="U97" s="33">
        <f t="shared" si="44"/>
        <v>-1.5949379802881881E-3</v>
      </c>
      <c r="V97" s="34">
        <f t="shared" si="47"/>
        <v>147.32183622603631</v>
      </c>
      <c r="W97" s="34">
        <f t="shared" si="48"/>
        <v>-0.23496919192270155</v>
      </c>
      <c r="X97" s="28">
        <v>147.32</v>
      </c>
      <c r="Y97" s="28">
        <v>148.80000000000001</v>
      </c>
      <c r="Z97" s="35">
        <v>1753</v>
      </c>
      <c r="AA97" s="39">
        <v>2155678.1800000002</v>
      </c>
    </row>
    <row r="98" spans="1:29" ht="16.5">
      <c r="A98" s="25">
        <v>84</v>
      </c>
      <c r="B98" s="26" t="s">
        <v>108</v>
      </c>
      <c r="C98" s="112" t="s">
        <v>109</v>
      </c>
      <c r="D98" s="28">
        <v>2348699182.8000002</v>
      </c>
      <c r="E98" s="28">
        <v>180036552.47</v>
      </c>
      <c r="F98" s="28">
        <v>834218971.95000005</v>
      </c>
      <c r="G98" s="28">
        <v>1176096912.27</v>
      </c>
      <c r="H98" s="28"/>
      <c r="I98" s="28"/>
      <c r="J98" s="28">
        <v>4549530767.5100002</v>
      </c>
      <c r="K98" s="28">
        <v>5526057.4000000004</v>
      </c>
      <c r="L98" s="37">
        <v>368196447.70999998</v>
      </c>
      <c r="M98" s="28">
        <v>5302896357.5200005</v>
      </c>
      <c r="N98" s="28">
        <v>25979453.890000001</v>
      </c>
      <c r="O98" s="31">
        <v>4908634205.8500004</v>
      </c>
      <c r="P98" s="32">
        <f t="shared" si="41"/>
        <v>0.19394754093641148</v>
      </c>
      <c r="Q98" s="31">
        <v>5276916903.6300001</v>
      </c>
      <c r="R98" s="32">
        <f t="shared" si="42"/>
        <v>0.19443919984639521</v>
      </c>
      <c r="S98" s="130">
        <f t="shared" si="37"/>
        <v>7.5027529519532885E-2</v>
      </c>
      <c r="T98" s="33">
        <f t="shared" si="43"/>
        <v>1.047213268831013E-3</v>
      </c>
      <c r="U98" s="33">
        <f t="shared" si="44"/>
        <v>6.9774918656899262E-2</v>
      </c>
      <c r="V98" s="34">
        <f t="shared" si="47"/>
        <v>164.40639581888354</v>
      </c>
      <c r="W98" s="34">
        <f t="shared" si="48"/>
        <v>11.471442894936583</v>
      </c>
      <c r="X98" s="28">
        <v>164.41</v>
      </c>
      <c r="Y98" s="28"/>
      <c r="Z98" s="35">
        <v>26</v>
      </c>
      <c r="AA98" s="57">
        <v>32096786</v>
      </c>
    </row>
    <row r="99" spans="1:29" ht="16.5">
      <c r="A99" s="40">
        <v>85</v>
      </c>
      <c r="B99" s="53" t="s">
        <v>40</v>
      </c>
      <c r="C99" s="42" t="s">
        <v>41</v>
      </c>
      <c r="D99" s="29">
        <v>722761223.38</v>
      </c>
      <c r="E99" s="29">
        <v>271011</v>
      </c>
      <c r="F99" s="29">
        <v>673845171.78999996</v>
      </c>
      <c r="G99" s="29">
        <v>368881967.20999998</v>
      </c>
      <c r="H99" s="29">
        <v>70618000</v>
      </c>
      <c r="I99" s="28"/>
      <c r="J99" s="29">
        <v>1850178949.28</v>
      </c>
      <c r="K99" s="28">
        <v>4836004.1100000003</v>
      </c>
      <c r="L99" s="37">
        <v>114080827.59999999</v>
      </c>
      <c r="M99" s="28">
        <v>1850178949.28</v>
      </c>
      <c r="N99" s="29">
        <v>76822005.519999996</v>
      </c>
      <c r="O99" s="31">
        <v>1646326848.03</v>
      </c>
      <c r="P99" s="32">
        <f t="shared" si="41"/>
        <v>6.5048856843411926E-2</v>
      </c>
      <c r="Q99" s="31">
        <v>1773356943.76</v>
      </c>
      <c r="R99" s="32">
        <f t="shared" si="42"/>
        <v>6.5343099291472223E-2</v>
      </c>
      <c r="S99" s="130">
        <f t="shared" si="37"/>
        <v>7.7159706094816247E-2</v>
      </c>
      <c r="T99" s="33">
        <f t="shared" si="43"/>
        <v>2.7270336787056271E-3</v>
      </c>
      <c r="U99" s="33">
        <f t="shared" si="44"/>
        <v>6.433043725428314E-2</v>
      </c>
      <c r="V99" s="34">
        <f t="shared" si="47"/>
        <v>1.0275596579239334</v>
      </c>
      <c r="W99" s="34">
        <f t="shared" si="48"/>
        <v>6.6103362099108248E-2</v>
      </c>
      <c r="X99" s="106">
        <v>0.99570999999999998</v>
      </c>
      <c r="Y99" s="28">
        <v>1.0116000000000001</v>
      </c>
      <c r="Z99" s="113">
        <v>10434</v>
      </c>
      <c r="AA99" s="107">
        <v>1725794634</v>
      </c>
    </row>
    <row r="100" spans="1:29" ht="16.5">
      <c r="A100" s="25">
        <v>86</v>
      </c>
      <c r="B100" s="26" t="s">
        <v>24</v>
      </c>
      <c r="C100" s="42" t="s">
        <v>42</v>
      </c>
      <c r="D100" s="28">
        <v>642797687.79999995</v>
      </c>
      <c r="E100" s="28"/>
      <c r="F100" s="28">
        <v>150919222.66</v>
      </c>
      <c r="G100" s="28">
        <v>586042913.83000004</v>
      </c>
      <c r="H100" s="28"/>
      <c r="I100" s="28"/>
      <c r="J100" s="28">
        <v>1379759824.29</v>
      </c>
      <c r="K100" s="28">
        <v>4690250.3899999997</v>
      </c>
      <c r="L100" s="37">
        <v>-69097772.450000003</v>
      </c>
      <c r="M100" s="28">
        <v>1921173444.4300001</v>
      </c>
      <c r="N100" s="28">
        <v>29947211.210000001</v>
      </c>
      <c r="O100" s="31">
        <v>1826035651.0899999</v>
      </c>
      <c r="P100" s="32">
        <f t="shared" si="41"/>
        <v>7.2149422698690888E-2</v>
      </c>
      <c r="Q100" s="31">
        <v>1914369851.48</v>
      </c>
      <c r="R100" s="32">
        <f t="shared" si="42"/>
        <v>7.0539019076797854E-2</v>
      </c>
      <c r="S100" s="130">
        <f t="shared" si="37"/>
        <v>4.8374849821399446E-2</v>
      </c>
      <c r="T100" s="33">
        <f t="shared" si="43"/>
        <v>2.4500231166793424E-3</v>
      </c>
      <c r="U100" s="33">
        <f t="shared" si="44"/>
        <v>-3.6094264855132611E-2</v>
      </c>
      <c r="V100" s="34">
        <f t="shared" si="47"/>
        <v>3440.7995956817067</v>
      </c>
      <c r="W100" s="34">
        <f t="shared" si="48"/>
        <v>-124.19313191996874</v>
      </c>
      <c r="X100" s="28">
        <v>3441.86</v>
      </c>
      <c r="Y100" s="28">
        <v>3478.83</v>
      </c>
      <c r="Z100" s="35">
        <v>809</v>
      </c>
      <c r="AA100" s="39">
        <v>556373.54</v>
      </c>
    </row>
    <row r="101" spans="1:29" ht="18">
      <c r="A101" s="40">
        <v>87</v>
      </c>
      <c r="B101" s="26" t="s">
        <v>8</v>
      </c>
      <c r="C101" s="42" t="s">
        <v>93</v>
      </c>
      <c r="D101" s="28">
        <v>100562384</v>
      </c>
      <c r="E101" s="28"/>
      <c r="F101" s="28">
        <v>27152422</v>
      </c>
      <c r="G101" s="28"/>
      <c r="H101" s="28"/>
      <c r="I101" s="28"/>
      <c r="J101" s="28">
        <v>127714806</v>
      </c>
      <c r="K101" s="28">
        <v>889688</v>
      </c>
      <c r="L101" s="37">
        <v>416068</v>
      </c>
      <c r="M101" s="28">
        <v>514445762</v>
      </c>
      <c r="N101" s="28">
        <v>23756668</v>
      </c>
      <c r="O101" s="31">
        <v>508485194</v>
      </c>
      <c r="P101" s="32">
        <f t="shared" si="41"/>
        <v>2.0091016939364045E-2</v>
      </c>
      <c r="Q101" s="31">
        <v>490689094</v>
      </c>
      <c r="R101" s="32">
        <f t="shared" si="42"/>
        <v>1.8080480809747158E-2</v>
      </c>
      <c r="S101" s="130">
        <f t="shared" si="37"/>
        <v>-3.4998265849211729E-2</v>
      </c>
      <c r="T101" s="33">
        <f t="shared" si="43"/>
        <v>1.8131399513028508E-3</v>
      </c>
      <c r="U101" s="33">
        <f t="shared" si="44"/>
        <v>8.4792591701661089E-4</v>
      </c>
      <c r="V101" s="34">
        <f t="shared" si="47"/>
        <v>0.98578450871569701</v>
      </c>
      <c r="W101" s="34">
        <f t="shared" si="48"/>
        <v>8.3587223353352659E-4</v>
      </c>
      <c r="X101" s="28">
        <v>1.0299</v>
      </c>
      <c r="Y101" s="28">
        <v>1.0371999999999999</v>
      </c>
      <c r="Z101" s="35">
        <v>204</v>
      </c>
      <c r="AA101" s="39">
        <v>497765069</v>
      </c>
      <c r="AB101" s="6"/>
      <c r="AC101" s="9"/>
    </row>
    <row r="102" spans="1:29" ht="16.5">
      <c r="A102" s="25">
        <v>88</v>
      </c>
      <c r="B102" s="28" t="s">
        <v>4</v>
      </c>
      <c r="C102" s="42" t="s">
        <v>43</v>
      </c>
      <c r="D102" s="29">
        <v>240813822.55000001</v>
      </c>
      <c r="E102" s="29"/>
      <c r="F102" s="29">
        <v>841976761.10000002</v>
      </c>
      <c r="G102" s="29"/>
      <c r="H102" s="28"/>
      <c r="I102" s="28"/>
      <c r="J102" s="29">
        <v>1082790583.6500001</v>
      </c>
      <c r="K102" s="29">
        <v>1759419.49</v>
      </c>
      <c r="L102" s="30">
        <v>2889946.47</v>
      </c>
      <c r="M102" s="29">
        <v>1084787658.5799999</v>
      </c>
      <c r="N102" s="29">
        <v>39029363.75</v>
      </c>
      <c r="O102" s="31">
        <v>1020123459.1900001</v>
      </c>
      <c r="P102" s="32">
        <f t="shared" si="41"/>
        <v>4.0306616477074723E-2</v>
      </c>
      <c r="Q102" s="31">
        <v>1045758295.08</v>
      </c>
      <c r="R102" s="32">
        <f t="shared" si="42"/>
        <v>3.8533183266200421E-2</v>
      </c>
      <c r="S102" s="130">
        <f t="shared" si="37"/>
        <v>2.5129150456313001E-2</v>
      </c>
      <c r="T102" s="33">
        <f t="shared" si="43"/>
        <v>1.6824341707616149E-3</v>
      </c>
      <c r="U102" s="33">
        <f t="shared" si="44"/>
        <v>2.7634937093938333E-3</v>
      </c>
      <c r="V102" s="34">
        <f t="shared" si="47"/>
        <v>1401.9147329981902</v>
      </c>
      <c r="W102" s="34">
        <f t="shared" si="48"/>
        <v>3.8741825457470345</v>
      </c>
      <c r="X102" s="28"/>
      <c r="Y102" s="28"/>
      <c r="Z102" s="35">
        <v>815</v>
      </c>
      <c r="AA102" s="114">
        <v>745950</v>
      </c>
      <c r="AC102" s="13"/>
    </row>
    <row r="103" spans="1:29" ht="16.5">
      <c r="A103" s="40">
        <v>89</v>
      </c>
      <c r="B103" s="28" t="s">
        <v>97</v>
      </c>
      <c r="C103" s="42" t="s">
        <v>102</v>
      </c>
      <c r="D103" s="29">
        <v>194979511.40000001</v>
      </c>
      <c r="E103" s="29"/>
      <c r="F103" s="29">
        <v>51188388.939999998</v>
      </c>
      <c r="G103" s="29">
        <v>82472231.599999994</v>
      </c>
      <c r="H103" s="28"/>
      <c r="I103" s="28"/>
      <c r="J103" s="29">
        <v>246167900.34</v>
      </c>
      <c r="K103" s="29">
        <v>943765.42</v>
      </c>
      <c r="L103" s="30">
        <v>29609168.600000001</v>
      </c>
      <c r="M103" s="29">
        <v>363191786.88999999</v>
      </c>
      <c r="N103" s="29">
        <v>2210828.81</v>
      </c>
      <c r="O103" s="115">
        <v>318535115.69999999</v>
      </c>
      <c r="P103" s="32">
        <f t="shared" si="41"/>
        <v>1.2585802852916472E-2</v>
      </c>
      <c r="Q103" s="115">
        <v>360980958.07999998</v>
      </c>
      <c r="R103" s="32">
        <f t="shared" si="42"/>
        <v>1.3301109327792769E-2</v>
      </c>
      <c r="S103" s="130">
        <f t="shared" si="37"/>
        <v>0.13325325933601612</v>
      </c>
      <c r="T103" s="33">
        <f t="shared" si="43"/>
        <v>2.6144465487036696E-3</v>
      </c>
      <c r="U103" s="33">
        <f t="shared" si="44"/>
        <v>8.2024184204857881E-2</v>
      </c>
      <c r="V103" s="34">
        <f t="shared" si="47"/>
        <v>1.0987869248760485</v>
      </c>
      <c r="W103" s="34">
        <f t="shared" si="48"/>
        <v>9.0127101127922354E-2</v>
      </c>
      <c r="X103" s="28">
        <v>1.0912999999999999</v>
      </c>
      <c r="Y103" s="28">
        <v>1.1042000000000001</v>
      </c>
      <c r="Z103" s="35">
        <v>75</v>
      </c>
      <c r="AA103" s="114">
        <v>328526805.25</v>
      </c>
      <c r="AC103" s="14"/>
    </row>
    <row r="104" spans="1:29" ht="16.5">
      <c r="A104" s="25">
        <v>90</v>
      </c>
      <c r="B104" s="28" t="s">
        <v>73</v>
      </c>
      <c r="C104" s="27" t="s">
        <v>105</v>
      </c>
      <c r="D104" s="29">
        <v>82994566.700000003</v>
      </c>
      <c r="E104" s="29"/>
      <c r="F104" s="136" t="s">
        <v>174</v>
      </c>
      <c r="G104" s="136" t="s">
        <v>173</v>
      </c>
      <c r="H104" s="54"/>
      <c r="I104" s="54"/>
      <c r="J104" s="29">
        <v>181098402.99000001</v>
      </c>
      <c r="K104" s="29">
        <v>478072.37</v>
      </c>
      <c r="L104" s="30">
        <v>848781.98</v>
      </c>
      <c r="M104" s="43">
        <v>280464400.95999998</v>
      </c>
      <c r="N104" s="29">
        <v>7427588.0700000003</v>
      </c>
      <c r="O104" s="31">
        <v>260037639.84</v>
      </c>
      <c r="P104" s="32">
        <f t="shared" si="41"/>
        <v>1.0274479352682364E-2</v>
      </c>
      <c r="Q104" s="31">
        <v>273036812.88999999</v>
      </c>
      <c r="R104" s="32">
        <f t="shared" si="42"/>
        <v>1.0060620698882234E-2</v>
      </c>
      <c r="S104" s="130">
        <f t="shared" si="37"/>
        <v>4.9989582500434608E-2</v>
      </c>
      <c r="T104" s="33">
        <f t="shared" si="43"/>
        <v>1.750944735033235E-3</v>
      </c>
      <c r="U104" s="33">
        <f t="shared" si="44"/>
        <v>3.1086723105794309E-3</v>
      </c>
      <c r="V104" s="34">
        <f t="shared" si="47"/>
        <v>119.76428167129795</v>
      </c>
      <c r="W104" s="34">
        <f t="shared" si="48"/>
        <v>0.37230790622799959</v>
      </c>
      <c r="X104" s="28">
        <v>123.84</v>
      </c>
      <c r="Y104" s="28">
        <v>124.4</v>
      </c>
      <c r="Z104" s="35">
        <v>438</v>
      </c>
      <c r="AA104" s="114">
        <v>2279785</v>
      </c>
    </row>
    <row r="105" spans="1:29" ht="16.5">
      <c r="A105" s="40">
        <v>91</v>
      </c>
      <c r="B105" s="53" t="s">
        <v>73</v>
      </c>
      <c r="C105" s="42" t="s">
        <v>106</v>
      </c>
      <c r="D105" s="131">
        <v>57564187.600000001</v>
      </c>
      <c r="E105" s="131"/>
      <c r="F105" s="131">
        <v>7622630.3300000001</v>
      </c>
      <c r="G105" s="29">
        <v>40280462.079999998</v>
      </c>
      <c r="H105" s="28"/>
      <c r="I105" s="28"/>
      <c r="J105" s="29">
        <v>105467280.01000001</v>
      </c>
      <c r="K105" s="29">
        <v>241427.31</v>
      </c>
      <c r="L105" s="30">
        <v>219943.08</v>
      </c>
      <c r="M105" s="109">
        <v>116839805.03</v>
      </c>
      <c r="N105" s="29">
        <v>4683160.16</v>
      </c>
      <c r="O105" s="31">
        <v>102982427.70999999</v>
      </c>
      <c r="P105" s="32">
        <f t="shared" si="41"/>
        <v>4.0689910423988528E-3</v>
      </c>
      <c r="Q105" s="31">
        <v>112156644.87</v>
      </c>
      <c r="R105" s="32">
        <f t="shared" si="42"/>
        <v>4.132649553563671E-3</v>
      </c>
      <c r="S105" s="130">
        <f t="shared" si="37"/>
        <v>8.9085267885068112E-2</v>
      </c>
      <c r="T105" s="33">
        <f t="shared" si="43"/>
        <v>2.1525903372005889E-3</v>
      </c>
      <c r="U105" s="33">
        <f t="shared" si="44"/>
        <v>1.961034767533698E-3</v>
      </c>
      <c r="V105" s="34">
        <f t="shared" si="47"/>
        <v>137.26267431571605</v>
      </c>
      <c r="W105" s="34">
        <f t="shared" si="48"/>
        <v>0.26917687661777395</v>
      </c>
      <c r="X105" s="28">
        <v>137</v>
      </c>
      <c r="Y105" s="28">
        <v>138</v>
      </c>
      <c r="Z105" s="35">
        <v>136</v>
      </c>
      <c r="AA105" s="114">
        <v>817095</v>
      </c>
    </row>
    <row r="106" spans="1:29" ht="16.5">
      <c r="A106" s="25">
        <v>92</v>
      </c>
      <c r="B106" s="28" t="s">
        <v>86</v>
      </c>
      <c r="C106" s="42" t="s">
        <v>110</v>
      </c>
      <c r="D106" s="29">
        <v>33827140.549999997</v>
      </c>
      <c r="E106" s="29"/>
      <c r="F106" s="29">
        <v>209697983.56</v>
      </c>
      <c r="G106" s="29"/>
      <c r="H106" s="28"/>
      <c r="I106" s="28"/>
      <c r="J106" s="29">
        <v>253318659.21000001</v>
      </c>
      <c r="K106" s="29">
        <v>325119.38</v>
      </c>
      <c r="L106" s="30">
        <v>121707.01</v>
      </c>
      <c r="M106" s="29">
        <v>253318659.21000001</v>
      </c>
      <c r="N106" s="29">
        <v>3149117.82</v>
      </c>
      <c r="O106" s="31">
        <v>243555391.18000001</v>
      </c>
      <c r="P106" s="32">
        <f t="shared" si="41"/>
        <v>9.6232408487213813E-3</v>
      </c>
      <c r="Q106" s="31">
        <v>252993539.83000001</v>
      </c>
      <c r="R106" s="32">
        <f t="shared" si="42"/>
        <v>9.3220837752842293E-3</v>
      </c>
      <c r="S106" s="130">
        <f t="shared" si="37"/>
        <v>3.8751548895194554E-2</v>
      </c>
      <c r="T106" s="33">
        <f t="shared" si="43"/>
        <v>1.2850896517692318E-3</v>
      </c>
      <c r="U106" s="33">
        <f t="shared" si="44"/>
        <v>4.8106765920498005E-4</v>
      </c>
      <c r="V106" s="34">
        <f t="shared" si="47"/>
        <v>125.87372831637197</v>
      </c>
      <c r="W106" s="34">
        <f t="shared" si="48"/>
        <v>6.0553779836560677E-2</v>
      </c>
      <c r="X106" s="28">
        <v>126.04</v>
      </c>
      <c r="Y106" s="28">
        <v>125.87</v>
      </c>
      <c r="Z106" s="35">
        <v>40</v>
      </c>
      <c r="AA106" s="114">
        <v>2009899.47</v>
      </c>
    </row>
    <row r="107" spans="1:29" ht="16.5">
      <c r="A107" s="40">
        <v>93</v>
      </c>
      <c r="B107" s="28" t="s">
        <v>26</v>
      </c>
      <c r="C107" s="42" t="s">
        <v>44</v>
      </c>
      <c r="D107" s="28">
        <v>939734516.10000002</v>
      </c>
      <c r="E107" s="28"/>
      <c r="F107" s="28">
        <v>484300925.67000002</v>
      </c>
      <c r="G107" s="28">
        <v>277627000</v>
      </c>
      <c r="H107" s="28">
        <v>123999999.97</v>
      </c>
      <c r="I107" s="28">
        <v>3911564.41</v>
      </c>
      <c r="J107" s="28">
        <v>1829574006.1500001</v>
      </c>
      <c r="K107" s="28">
        <v>4158516.27</v>
      </c>
      <c r="L107" s="37">
        <v>146309203.53999999</v>
      </c>
      <c r="M107" s="28">
        <v>1854919122.9300001</v>
      </c>
      <c r="N107" s="28">
        <v>91313518.900000006</v>
      </c>
      <c r="O107" s="31">
        <v>1654324699.0899999</v>
      </c>
      <c r="P107" s="32">
        <f t="shared" si="41"/>
        <v>6.5364864001577025E-2</v>
      </c>
      <c r="Q107" s="31">
        <v>1763605604.03</v>
      </c>
      <c r="R107" s="32">
        <f t="shared" si="42"/>
        <v>6.498379048878343E-2</v>
      </c>
      <c r="S107" s="130">
        <f t="shared" si="37"/>
        <v>6.6057712249664516E-2</v>
      </c>
      <c r="T107" s="33">
        <f t="shared" si="43"/>
        <v>2.3579627216523979E-3</v>
      </c>
      <c r="U107" s="33">
        <f t="shared" si="44"/>
        <v>8.2960273660772049E-2</v>
      </c>
      <c r="V107" s="34">
        <f t="shared" si="47"/>
        <v>2.4791867055829324</v>
      </c>
      <c r="W107" s="34">
        <f t="shared" si="48"/>
        <v>0.20567400755130799</v>
      </c>
      <c r="X107" s="28">
        <v>2.59</v>
      </c>
      <c r="Y107" s="28">
        <v>2.64</v>
      </c>
      <c r="Z107" s="35">
        <v>2017</v>
      </c>
      <c r="AA107" s="39">
        <v>711364577.76999998</v>
      </c>
    </row>
    <row r="108" spans="1:29" ht="16.5">
      <c r="A108" s="25">
        <v>94</v>
      </c>
      <c r="B108" s="28" t="s">
        <v>63</v>
      </c>
      <c r="C108" s="41" t="s">
        <v>45</v>
      </c>
      <c r="D108" s="28">
        <v>49044155.600000001</v>
      </c>
      <c r="E108" s="28"/>
      <c r="F108" s="28">
        <v>48967660.079999998</v>
      </c>
      <c r="G108" s="28">
        <v>49450504.060000002</v>
      </c>
      <c r="H108" s="28">
        <v>138600</v>
      </c>
      <c r="I108" s="28"/>
      <c r="J108" s="28">
        <v>147600919.74000001</v>
      </c>
      <c r="K108" s="28">
        <v>273230.05</v>
      </c>
      <c r="L108" s="37">
        <v>1811450.9</v>
      </c>
      <c r="M108" s="28">
        <v>148619433.91</v>
      </c>
      <c r="N108" s="28">
        <v>156122.54999999999</v>
      </c>
      <c r="O108" s="31">
        <v>138683124.68000001</v>
      </c>
      <c r="P108" s="32">
        <f t="shared" si="41"/>
        <v>5.4795794253742142E-3</v>
      </c>
      <c r="Q108" s="31">
        <v>145949500.87</v>
      </c>
      <c r="R108" s="32">
        <f t="shared" si="42"/>
        <v>5.377819034372529E-3</v>
      </c>
      <c r="S108" s="130">
        <f t="shared" si="37"/>
        <v>5.2395532670370441E-2</v>
      </c>
      <c r="T108" s="33">
        <f t="shared" si="43"/>
        <v>1.8720862241479756E-3</v>
      </c>
      <c r="U108" s="33">
        <f t="shared" si="44"/>
        <v>1.2411490886930087E-2</v>
      </c>
      <c r="V108" s="34">
        <f t="shared" si="47"/>
        <v>1.4934860033942514</v>
      </c>
      <c r="W108" s="34">
        <f t="shared" si="48"/>
        <v>1.853638792088539E-2</v>
      </c>
      <c r="X108" s="28">
        <v>1.4935</v>
      </c>
      <c r="Y108" s="28">
        <v>1.5207999999999999</v>
      </c>
      <c r="Z108" s="35">
        <v>99</v>
      </c>
      <c r="AA108" s="35">
        <v>97724050</v>
      </c>
    </row>
    <row r="109" spans="1:29" ht="16.5">
      <c r="A109" s="40">
        <v>95</v>
      </c>
      <c r="B109" s="28" t="s">
        <v>89</v>
      </c>
      <c r="C109" s="53" t="s">
        <v>151</v>
      </c>
      <c r="D109" s="28">
        <v>162841421.41999999</v>
      </c>
      <c r="E109" s="28"/>
      <c r="F109" s="28">
        <v>25944197.16</v>
      </c>
      <c r="G109" s="28"/>
      <c r="H109" s="28"/>
      <c r="I109" s="28"/>
      <c r="J109" s="28">
        <v>25944197.16</v>
      </c>
      <c r="K109" s="28">
        <v>5976709.1200000001</v>
      </c>
      <c r="L109" s="37">
        <v>5263795.33</v>
      </c>
      <c r="M109" s="28">
        <v>191668328.78</v>
      </c>
      <c r="N109" s="28">
        <v>3276344.9</v>
      </c>
      <c r="O109" s="31">
        <v>239666309.12</v>
      </c>
      <c r="P109" s="32">
        <f t="shared" si="41"/>
        <v>9.4695773508102956E-3</v>
      </c>
      <c r="Q109" s="31">
        <v>188391983.88999999</v>
      </c>
      <c r="R109" s="32">
        <f t="shared" si="42"/>
        <v>6.9417023754624971E-3</v>
      </c>
      <c r="S109" s="130">
        <f t="shared" si="37"/>
        <v>-0.21394048007109401</v>
      </c>
      <c r="T109" s="33">
        <f t="shared" si="43"/>
        <v>3.1724858970059652E-2</v>
      </c>
      <c r="U109" s="33">
        <f t="shared" si="44"/>
        <v>2.7940654487047988E-2</v>
      </c>
      <c r="V109" s="34">
        <f t="shared" si="47"/>
        <v>122.25782581370716</v>
      </c>
      <c r="W109" s="34">
        <f t="shared" si="48"/>
        <v>3.4159636693984883</v>
      </c>
      <c r="X109" s="28">
        <v>122.2578</v>
      </c>
      <c r="Y109" s="28">
        <v>124.384</v>
      </c>
      <c r="Z109" s="35">
        <v>91</v>
      </c>
      <c r="AA109" s="116">
        <v>1540940.08</v>
      </c>
    </row>
    <row r="110" spans="1:29" ht="16.5">
      <c r="A110" s="90"/>
      <c r="B110" s="117"/>
      <c r="C110" s="75" t="s">
        <v>59</v>
      </c>
      <c r="D110" s="28"/>
      <c r="E110" s="28"/>
      <c r="F110" s="28"/>
      <c r="G110" s="28"/>
      <c r="H110" s="28"/>
      <c r="I110" s="28"/>
      <c r="J110" s="28"/>
      <c r="K110" s="28"/>
      <c r="L110" s="37"/>
      <c r="M110" s="28"/>
      <c r="N110" s="28"/>
      <c r="O110" s="76">
        <f>SUM(O89:O109)</f>
        <v>25309081941.18</v>
      </c>
      <c r="P110" s="77">
        <f>(O110/$O$119)</f>
        <v>1.8454444909873854E-2</v>
      </c>
      <c r="Q110" s="76">
        <f>SUM(Q89:Q109)</f>
        <v>27139161793.5</v>
      </c>
      <c r="R110" s="77">
        <f>(Q110/$Q$119)</f>
        <v>1.8478971225932023E-2</v>
      </c>
      <c r="S110" s="130">
        <f t="shared" si="37"/>
        <v>7.2309215188967643E-2</v>
      </c>
      <c r="T110" s="33"/>
      <c r="U110" s="33"/>
      <c r="V110" s="34"/>
      <c r="W110" s="34"/>
      <c r="X110" s="28"/>
      <c r="Y110" s="28"/>
      <c r="Z110" s="78">
        <f>SUM(Z89:Z109)</f>
        <v>82321</v>
      </c>
      <c r="AA110" s="114"/>
    </row>
    <row r="111" spans="1:29" ht="16.5">
      <c r="A111" s="118"/>
      <c r="B111" s="119"/>
      <c r="C111" s="94" t="s">
        <v>68</v>
      </c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30"/>
      <c r="Q111" s="95"/>
      <c r="R111" s="130"/>
      <c r="S111" s="130"/>
      <c r="T111" s="139"/>
      <c r="U111" s="139"/>
      <c r="V111" s="140"/>
      <c r="W111" s="140"/>
      <c r="X111" s="95"/>
      <c r="Y111" s="95"/>
      <c r="Z111" s="95"/>
      <c r="AA111" s="97"/>
      <c r="AB111" s="14"/>
    </row>
    <row r="112" spans="1:29" ht="16.5">
      <c r="A112" s="25">
        <v>96</v>
      </c>
      <c r="B112" s="26" t="s">
        <v>28</v>
      </c>
      <c r="C112" s="53" t="s">
        <v>46</v>
      </c>
      <c r="D112" s="28">
        <v>231727416.59999999</v>
      </c>
      <c r="E112" s="54"/>
      <c r="F112" s="28">
        <v>150402358.81999999</v>
      </c>
      <c r="G112" s="28">
        <v>182105344.80000001</v>
      </c>
      <c r="H112" s="38"/>
      <c r="I112" s="28"/>
      <c r="J112" s="28">
        <v>564235120.22000003</v>
      </c>
      <c r="K112" s="28">
        <v>4580479.51</v>
      </c>
      <c r="L112" s="30">
        <v>24401763.329999998</v>
      </c>
      <c r="M112" s="28">
        <v>564235120.22000003</v>
      </c>
      <c r="N112" s="28">
        <v>4580479.51</v>
      </c>
      <c r="O112" s="31">
        <v>523610340.88999999</v>
      </c>
      <c r="P112" s="32">
        <f t="shared" ref="P112:P117" si="49">(O112/$O$118)</f>
        <v>9.371828005355326E-2</v>
      </c>
      <c r="Q112" s="31">
        <v>559654640.71000004</v>
      </c>
      <c r="R112" s="32">
        <f>(Q112/$Q$118)</f>
        <v>8.883576430355386E-2</v>
      </c>
      <c r="S112" s="130">
        <f t="shared" si="37"/>
        <v>6.8838021339941866E-2</v>
      </c>
      <c r="T112" s="33">
        <f>(K112/Q112)</f>
        <v>8.1844751688095047E-3</v>
      </c>
      <c r="U112" s="33">
        <f t="shared" ref="U112:U117" si="50">L112/Q112</f>
        <v>4.3601466967276382E-2</v>
      </c>
      <c r="V112" s="34">
        <f t="shared" si="45"/>
        <v>12.606516277498857</v>
      </c>
      <c r="W112" s="34">
        <f t="shared" ref="W112" si="51">L112/AA112</f>
        <v>0.54966260304579839</v>
      </c>
      <c r="X112" s="28">
        <v>12.5984</v>
      </c>
      <c r="Y112" s="28">
        <v>12.707700000000001</v>
      </c>
      <c r="Z112" s="35">
        <v>1588</v>
      </c>
      <c r="AA112" s="39">
        <v>44394075.920000002</v>
      </c>
      <c r="AB112" s="14"/>
    </row>
    <row r="113" spans="1:28" ht="16.5">
      <c r="A113" s="25">
        <v>97</v>
      </c>
      <c r="B113" s="26" t="s">
        <v>47</v>
      </c>
      <c r="C113" s="53" t="s">
        <v>48</v>
      </c>
      <c r="D113" s="29">
        <v>1026889887.13</v>
      </c>
      <c r="E113" s="28">
        <v>149850000</v>
      </c>
      <c r="F113" s="29"/>
      <c r="G113" s="29">
        <v>702666317.34000003</v>
      </c>
      <c r="H113" s="28"/>
      <c r="I113" s="81">
        <f>1369.36+657211535.4</f>
        <v>657212904.75999999</v>
      </c>
      <c r="J113" s="28">
        <v>2536619109.23</v>
      </c>
      <c r="K113" s="29">
        <v>393076.53</v>
      </c>
      <c r="L113" s="30">
        <v>164268296.34999999</v>
      </c>
      <c r="M113" s="29">
        <v>2715799293.5799999</v>
      </c>
      <c r="N113" s="29">
        <v>100260210.19</v>
      </c>
      <c r="O113" s="31">
        <v>2443302931.75</v>
      </c>
      <c r="P113" s="32">
        <f t="shared" si="49"/>
        <v>0.43731403017023068</v>
      </c>
      <c r="Q113" s="31">
        <v>2615539083.3899999</v>
      </c>
      <c r="R113" s="32">
        <f t="shared" ref="R113:R117" si="52">(Q113/$Q$118)</f>
        <v>0.4151728523933878</v>
      </c>
      <c r="S113" s="130">
        <f t="shared" si="37"/>
        <v>7.0493162923779093E-2</v>
      </c>
      <c r="T113" s="33">
        <f t="shared" ref="T113:T117" si="53">(K113/Q113)</f>
        <v>1.5028509132065181E-4</v>
      </c>
      <c r="U113" s="33">
        <f t="shared" si="50"/>
        <v>6.280475692112078E-2</v>
      </c>
      <c r="V113" s="34">
        <f t="shared" ref="V113:V117" si="54">Q113/AA113</f>
        <v>1.3262604438482928</v>
      </c>
      <c r="W113" s="34">
        <f t="shared" ref="W113:W117" si="55">L113/AA113</f>
        <v>8.3295464789989782E-2</v>
      </c>
      <c r="X113" s="28">
        <v>1.3</v>
      </c>
      <c r="Y113" s="28">
        <v>1.32</v>
      </c>
      <c r="Z113" s="35">
        <v>15148</v>
      </c>
      <c r="AA113" s="107">
        <v>1972115730</v>
      </c>
    </row>
    <row r="114" spans="1:28" ht="16.5">
      <c r="A114" s="25">
        <v>98</v>
      </c>
      <c r="B114" s="26" t="s">
        <v>1</v>
      </c>
      <c r="C114" s="53" t="s">
        <v>49</v>
      </c>
      <c r="D114" s="29">
        <v>1150919795.3</v>
      </c>
      <c r="E114" s="28"/>
      <c r="F114" s="29">
        <v>249312521.63</v>
      </c>
      <c r="G114" s="28">
        <v>16769102.960000001</v>
      </c>
      <c r="H114" s="28"/>
      <c r="I114" s="28"/>
      <c r="J114" s="29">
        <v>1418101039.9300001</v>
      </c>
      <c r="K114" s="29">
        <v>4623627.79</v>
      </c>
      <c r="L114" s="30">
        <v>152459453.08000001</v>
      </c>
      <c r="M114" s="29">
        <v>1438031513.6199999</v>
      </c>
      <c r="N114" s="29">
        <v>12387255.17</v>
      </c>
      <c r="O114" s="31">
        <v>1272115963.53</v>
      </c>
      <c r="P114" s="32">
        <f t="shared" si="49"/>
        <v>0.22768939193992374</v>
      </c>
      <c r="Q114" s="31">
        <v>1425644258.45</v>
      </c>
      <c r="R114" s="32">
        <f t="shared" si="52"/>
        <v>0.2262970555621733</v>
      </c>
      <c r="S114" s="130">
        <f t="shared" si="37"/>
        <v>0.12068734244476718</v>
      </c>
      <c r="T114" s="33">
        <f t="shared" si="53"/>
        <v>3.2431848005525141E-3</v>
      </c>
      <c r="U114" s="33">
        <f t="shared" si="50"/>
        <v>0.10694074077481164</v>
      </c>
      <c r="V114" s="34">
        <f t="shared" si="54"/>
        <v>1.0577516605569302</v>
      </c>
      <c r="W114" s="34">
        <f t="shared" si="55"/>
        <v>0.11311674613574521</v>
      </c>
      <c r="X114" s="28">
        <v>1.05</v>
      </c>
      <c r="Y114" s="28">
        <v>1.06</v>
      </c>
      <c r="Z114" s="35">
        <v>9475</v>
      </c>
      <c r="AA114" s="39">
        <v>1347806211.6199999</v>
      </c>
    </row>
    <row r="115" spans="1:28" ht="16.5">
      <c r="A115" s="25">
        <v>99</v>
      </c>
      <c r="B115" s="38" t="s">
        <v>61</v>
      </c>
      <c r="C115" s="53" t="s">
        <v>50</v>
      </c>
      <c r="D115" s="28">
        <v>94380600.450000003</v>
      </c>
      <c r="E115" s="38"/>
      <c r="F115" s="28">
        <v>80318734.799999997</v>
      </c>
      <c r="G115" s="28">
        <v>144666503.68000001</v>
      </c>
      <c r="H115" s="28">
        <v>37640000</v>
      </c>
      <c r="I115" s="28"/>
      <c r="J115" s="28">
        <v>357005838.93000001</v>
      </c>
      <c r="K115" s="28">
        <v>818704.68</v>
      </c>
      <c r="L115" s="37">
        <v>12111218.59</v>
      </c>
      <c r="M115" s="28">
        <v>343923739</v>
      </c>
      <c r="N115" s="28">
        <v>2620442</v>
      </c>
      <c r="O115" s="31">
        <v>317976539</v>
      </c>
      <c r="P115" s="32">
        <f t="shared" si="49"/>
        <v>5.6912959896493004E-2</v>
      </c>
      <c r="Q115" s="31">
        <v>341303297</v>
      </c>
      <c r="R115" s="32">
        <f t="shared" si="52"/>
        <v>5.4176159800717036E-2</v>
      </c>
      <c r="S115" s="130">
        <f t="shared" si="37"/>
        <v>7.335999716633182E-2</v>
      </c>
      <c r="T115" s="33">
        <f t="shared" si="53"/>
        <v>2.3987599510355744E-3</v>
      </c>
      <c r="U115" s="33">
        <f t="shared" si="50"/>
        <v>3.5485208307261096E-2</v>
      </c>
      <c r="V115" s="34">
        <f t="shared" si="54"/>
        <v>32.717066918840317</v>
      </c>
      <c r="W115" s="34">
        <f t="shared" si="55"/>
        <v>1.1609719348176495</v>
      </c>
      <c r="X115" s="28">
        <v>32.450000000000003</v>
      </c>
      <c r="Y115" s="28">
        <v>33.43</v>
      </c>
      <c r="Z115" s="35">
        <v>2029</v>
      </c>
      <c r="AA115" s="39">
        <v>10431965</v>
      </c>
    </row>
    <row r="116" spans="1:28" ht="16.5">
      <c r="A116" s="25">
        <v>100</v>
      </c>
      <c r="B116" s="26" t="s">
        <v>1</v>
      </c>
      <c r="C116" s="27" t="s">
        <v>81</v>
      </c>
      <c r="D116" s="28">
        <v>135223239.59999999</v>
      </c>
      <c r="E116" s="28"/>
      <c r="F116" s="28">
        <v>14140402.84</v>
      </c>
      <c r="G116" s="28">
        <v>30224480.66</v>
      </c>
      <c r="H116" s="28"/>
      <c r="I116" s="28"/>
      <c r="J116" s="28">
        <v>179588123.09999999</v>
      </c>
      <c r="K116" s="28">
        <v>429548.36</v>
      </c>
      <c r="L116" s="37">
        <v>15413605.949999999</v>
      </c>
      <c r="M116" s="28">
        <v>184715196.94999999</v>
      </c>
      <c r="N116" s="28">
        <v>2506422.86</v>
      </c>
      <c r="O116" s="31">
        <v>171736756.22999999</v>
      </c>
      <c r="P116" s="32">
        <f t="shared" si="49"/>
        <v>3.0738265001594298E-2</v>
      </c>
      <c r="Q116" s="31">
        <v>182208774.09</v>
      </c>
      <c r="R116" s="32">
        <f t="shared" si="52"/>
        <v>2.8922579268821389E-2</v>
      </c>
      <c r="S116" s="130">
        <f t="shared" si="37"/>
        <v>6.0977149504182267E-2</v>
      </c>
      <c r="T116" s="33">
        <f t="shared" si="53"/>
        <v>2.3574515670020881E-3</v>
      </c>
      <c r="U116" s="33">
        <f t="shared" si="50"/>
        <v>8.4593104953258835E-2</v>
      </c>
      <c r="V116" s="34">
        <f t="shared" si="54"/>
        <v>189.72763471929326</v>
      </c>
      <c r="W116" s="34">
        <f t="shared" si="55"/>
        <v>16.049649716342731</v>
      </c>
      <c r="X116" s="28">
        <v>188.28</v>
      </c>
      <c r="Y116" s="28">
        <v>190.75</v>
      </c>
      <c r="Z116" s="35">
        <v>365</v>
      </c>
      <c r="AA116" s="39">
        <v>960370.24</v>
      </c>
    </row>
    <row r="117" spans="1:28" ht="16.5">
      <c r="A117" s="25">
        <v>101</v>
      </c>
      <c r="B117" s="26" t="s">
        <v>38</v>
      </c>
      <c r="C117" s="27" t="s">
        <v>160</v>
      </c>
      <c r="D117" s="28"/>
      <c r="E117" s="28"/>
      <c r="F117" s="28"/>
      <c r="G117" s="28">
        <v>1131314346.3800001</v>
      </c>
      <c r="H117" s="28"/>
      <c r="I117" s="28"/>
      <c r="J117" s="28">
        <v>1175529787.52</v>
      </c>
      <c r="K117" s="28">
        <v>1877779.9</v>
      </c>
      <c r="L117" s="37">
        <v>20131295.43</v>
      </c>
      <c r="M117" s="28">
        <v>1176087685.48</v>
      </c>
      <c r="N117" s="28">
        <v>557897.96</v>
      </c>
      <c r="O117" s="31">
        <v>858324800.50999999</v>
      </c>
      <c r="P117" s="32">
        <f t="shared" si="49"/>
        <v>0.15362707293820502</v>
      </c>
      <c r="Q117" s="31">
        <v>1175529787.52</v>
      </c>
      <c r="R117" s="32">
        <f t="shared" si="52"/>
        <v>0.18659558867134665</v>
      </c>
      <c r="S117" s="130">
        <f t="shared" si="37"/>
        <v>0.36956288204829096</v>
      </c>
      <c r="T117" s="33">
        <f t="shared" si="53"/>
        <v>1.5973903170599598E-3</v>
      </c>
      <c r="U117" s="33">
        <f t="shared" si="50"/>
        <v>1.7125295882523515E-2</v>
      </c>
      <c r="V117" s="34">
        <f t="shared" si="54"/>
        <v>107.37749045935666</v>
      </c>
      <c r="W117" s="34">
        <f t="shared" si="55"/>
        <v>1.8388712952393287</v>
      </c>
      <c r="X117" s="28">
        <v>109.38</v>
      </c>
      <c r="Y117" s="28">
        <v>109.39</v>
      </c>
      <c r="Z117" s="35">
        <v>156</v>
      </c>
      <c r="AA117" s="39">
        <v>10947637</v>
      </c>
    </row>
    <row r="118" spans="1:28" ht="16.5">
      <c r="A118" s="73"/>
      <c r="B118" s="117"/>
      <c r="C118" s="75" t="s">
        <v>59</v>
      </c>
      <c r="D118" s="28"/>
      <c r="E118" s="28"/>
      <c r="F118" s="28"/>
      <c r="G118" s="28"/>
      <c r="H118" s="28"/>
      <c r="I118" s="28"/>
      <c r="J118" s="28"/>
      <c r="K118" s="28"/>
      <c r="L118" s="37"/>
      <c r="M118" s="28"/>
      <c r="N118" s="28"/>
      <c r="O118" s="76">
        <f>SUM(O112:O117)</f>
        <v>5587067331.9099998</v>
      </c>
      <c r="P118" s="77">
        <f>(O118/$O$119)</f>
        <v>4.0738825107965093E-3</v>
      </c>
      <c r="Q118" s="76">
        <f>SUM(Q112:Q117)</f>
        <v>6299879841.1599998</v>
      </c>
      <c r="R118" s="77">
        <f>(Q118/$Q$119)</f>
        <v>4.2895686756068878E-3</v>
      </c>
      <c r="S118" s="130">
        <f t="shared" si="37"/>
        <v>0.12758258794892977</v>
      </c>
      <c r="T118" s="33"/>
      <c r="U118" s="33"/>
      <c r="V118" s="34"/>
      <c r="W118" s="34"/>
      <c r="X118" s="28"/>
      <c r="Y118" s="28"/>
      <c r="Z118" s="78">
        <f>SUM(Z112:Z117)</f>
        <v>28761</v>
      </c>
      <c r="AA118" s="39"/>
    </row>
    <row r="119" spans="1:28" ht="17.25" thickBot="1">
      <c r="A119" s="120"/>
      <c r="B119" s="121"/>
      <c r="C119" s="122" t="s">
        <v>60</v>
      </c>
      <c r="D119" s="123">
        <f t="shared" ref="D119:N119" si="56">SUM(D4:D118)</f>
        <v>25789438245.449989</v>
      </c>
      <c r="E119" s="123">
        <f t="shared" si="56"/>
        <v>330157563.47000003</v>
      </c>
      <c r="F119" s="123">
        <f t="shared" si="56"/>
        <v>765341220705.47009</v>
      </c>
      <c r="G119" s="123">
        <f t="shared" si="56"/>
        <v>416825617286.93988</v>
      </c>
      <c r="H119" s="123">
        <f t="shared" si="56"/>
        <v>28302209263.98</v>
      </c>
      <c r="I119" s="123">
        <f t="shared" si="56"/>
        <v>5387592495.2000008</v>
      </c>
      <c r="J119" s="123">
        <f t="shared" si="56"/>
        <v>1256215701689.3606</v>
      </c>
      <c r="K119" s="123">
        <f t="shared" si="56"/>
        <v>2079761058.8599994</v>
      </c>
      <c r="L119" s="123">
        <f t="shared" si="56"/>
        <v>8456901808.2000027</v>
      </c>
      <c r="M119" s="123">
        <f t="shared" si="56"/>
        <v>1475726486060.8799</v>
      </c>
      <c r="N119" s="123">
        <f t="shared" si="56"/>
        <v>7607097998.4489994</v>
      </c>
      <c r="O119" s="124">
        <f>(O18+O44+O57+O82+O87+O110+O118)</f>
        <v>1371435557383.72</v>
      </c>
      <c r="P119" s="125"/>
      <c r="Q119" s="124">
        <f>(Q18+Q44+Q57+Q82+Q87+Q110+Q118)</f>
        <v>1468651120329.4102</v>
      </c>
      <c r="R119" s="125"/>
      <c r="S119" s="130">
        <f t="shared" si="37"/>
        <v>7.088598689328704E-2</v>
      </c>
      <c r="T119" s="126"/>
      <c r="U119" s="126"/>
      <c r="V119" s="127"/>
      <c r="W119" s="127"/>
      <c r="X119" s="123">
        <f>SUM(X4:X118)</f>
        <v>289320.97411000001</v>
      </c>
      <c r="Y119" s="123">
        <f>SUM(Y4:Y118)</f>
        <v>289744.24500000017</v>
      </c>
      <c r="Z119" s="123">
        <f>(Z18+Z44+Z57+Z82+Z87+Z110+Z118)</f>
        <v>467177</v>
      </c>
      <c r="AA119" s="128">
        <f>SUM(AA4:AA118)</f>
        <v>295491864886.37097</v>
      </c>
      <c r="AB119" s="4"/>
    </row>
    <row r="120" spans="1:28">
      <c r="A120" s="15"/>
      <c r="B120" s="15"/>
      <c r="C120" s="15"/>
    </row>
    <row r="121" spans="1:28">
      <c r="A121" s="15"/>
      <c r="B121" s="16"/>
      <c r="C121" s="17"/>
      <c r="Q121" s="12"/>
      <c r="AA121" s="11"/>
    </row>
    <row r="122" spans="1:28">
      <c r="A122" s="15"/>
      <c r="B122" s="18"/>
      <c r="C122" s="19"/>
      <c r="Q122" s="20"/>
      <c r="R122" s="11"/>
      <c r="S122" s="11"/>
    </row>
    <row r="123" spans="1:28">
      <c r="A123" s="15"/>
      <c r="B123" s="18"/>
      <c r="C123" s="19"/>
      <c r="Q123" s="20"/>
      <c r="R123" s="11"/>
      <c r="S123" s="11"/>
    </row>
    <row r="124" spans="1:28">
      <c r="A124" s="15"/>
      <c r="B124" s="18"/>
      <c r="C124" s="19"/>
      <c r="Q124" s="20"/>
      <c r="R124" s="11"/>
      <c r="S124" s="11"/>
    </row>
    <row r="125" spans="1:28">
      <c r="A125" s="15"/>
      <c r="B125" s="18"/>
      <c r="C125" s="19"/>
      <c r="Q125" s="20"/>
      <c r="R125" s="11"/>
      <c r="S125" s="11"/>
    </row>
  </sheetData>
  <mergeCells count="1">
    <mergeCell ref="A1:AA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15" sqref="Q15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R15" sqref="R15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11" sqref="Q11"/>
    </sheetView>
  </sheetViews>
  <sheetFormatPr defaultRowHeight="15"/>
  <cols>
    <col min="4" max="4" width="10.5703125" bestFit="1" customWidth="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2 4 6 D 2 C F 1 - 6 F 4 F - 4 B D 5 - B 1 1 B - E 0 7 C 7 2 8 4 8 4 2 F } "   T o u r I d = " b 4 3 f 8 a 2 1 - b d c 1 - 4 b 5 c - a 8 0 f - 3 7 d 2 b a 0 f 7 f b 3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4 4 d 5 6 3 0 - e 3 b 6 - 4 a f 1 - b 6 4 1 - 6 5 c 0 6 c 3 c b 6 0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 G u i d = " 2 a 2 b 4 1 9 c - a 8 d b - 4 5 e 1 - a 4 7 1 - 9 c 3 9 7 8 6 2 f 5 1 e "   R e v = " 1 "   R e v G u i d = " 3 2 8 a d 8 5 3 - 6 f 8 8 - 4 e 5 2 - b 5 2 8 - b d b 2 9 5 3 a 7 1 3 1 " 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2094F99D-54A4-4C9F-B35C-B51497C8AD4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46D2CF1-6F4F-4BD5-B11B-E07C7284842F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October 2020</vt:lpstr>
      <vt:lpstr>Market Share</vt:lpstr>
      <vt:lpstr>Unit Holders</vt:lpstr>
      <vt:lpstr>NAV Comparison Previous&amp;Current</vt:lpstr>
      <vt:lpstr>'October 2020'!_Hlk50391038</vt:lpstr>
      <vt:lpstr>'October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2020-11-23T15:08:53Z</dcterms:modified>
</cp:coreProperties>
</file>