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15000" yWindow="465" windowWidth="13800" windowHeight="16215"/>
  </bookViews>
  <sheets>
    <sheet name="September 2020" sheetId="9" r:id="rId1"/>
  </sheets>
  <externalReferences>
    <externalReference r:id="rId2"/>
  </externalReferences>
  <definedNames>
    <definedName name="_Hlk50391038" localSheetId="0">'September 2020'!$J$38</definedName>
    <definedName name="_xlcn.WorksheetConnection_Sheet12B4C11" hidden="1">'[1]Sheet1 (2)'!$B$4:$C$11</definedName>
    <definedName name="_xlnm.Print_Area" localSheetId="0">'September 2020'!$A$1:$Z$124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Range" name="Range" connection="WorksheetConnection_Sheet1 (2)!$B$4:$C$11"/>
        </x15:modelTables>
      </x15:dataModel>
    </ext>
  </extLst>
</workbook>
</file>

<file path=xl/calcChain.xml><?xml version="1.0" encoding="utf-8"?>
<calcChain xmlns="http://schemas.openxmlformats.org/spreadsheetml/2006/main">
  <c r="V112" i="9" l="1"/>
  <c r="W112" i="9"/>
  <c r="V113" i="9"/>
  <c r="W113" i="9"/>
  <c r="V114" i="9"/>
  <c r="W114" i="9"/>
  <c r="V115" i="9"/>
  <c r="W115" i="9"/>
  <c r="V116" i="9"/>
  <c r="W116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84" i="9"/>
  <c r="W84" i="9"/>
  <c r="V85" i="9"/>
  <c r="W85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5" i="9"/>
  <c r="W5" i="9"/>
  <c r="V6" i="9"/>
  <c r="W6" i="9"/>
  <c r="V7" i="9"/>
  <c r="W7" i="9"/>
  <c r="V8" i="9"/>
  <c r="W8" i="9"/>
  <c r="V9" i="9"/>
  <c r="W9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U112" i="9"/>
  <c r="U113" i="9"/>
  <c r="U114" i="9"/>
  <c r="U115" i="9"/>
  <c r="U116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U102" i="9"/>
  <c r="U103" i="9"/>
  <c r="U104" i="9"/>
  <c r="U105" i="9"/>
  <c r="U106" i="9"/>
  <c r="U107" i="9"/>
  <c r="U108" i="9"/>
  <c r="U84" i="9"/>
  <c r="U85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80" i="9"/>
  <c r="U46" i="9"/>
  <c r="U47" i="9"/>
  <c r="U48" i="9"/>
  <c r="U49" i="9"/>
  <c r="U50" i="9"/>
  <c r="U51" i="9"/>
  <c r="U52" i="9"/>
  <c r="U53" i="9"/>
  <c r="U54" i="9"/>
  <c r="U55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T112" i="9"/>
  <c r="T113" i="9"/>
  <c r="T114" i="9"/>
  <c r="T115" i="9"/>
  <c r="T116" i="9"/>
  <c r="T111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50" i="9"/>
  <c r="T51" i="9"/>
  <c r="T52" i="9"/>
  <c r="T53" i="9"/>
  <c r="T54" i="9"/>
  <c r="T55" i="9"/>
  <c r="T58" i="9"/>
  <c r="T26" i="9"/>
  <c r="S20" i="9" l="1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5" i="9"/>
  <c r="S46" i="9"/>
  <c r="S47" i="9"/>
  <c r="S48" i="9"/>
  <c r="S49" i="9"/>
  <c r="S50" i="9"/>
  <c r="S51" i="9"/>
  <c r="S52" i="9"/>
  <c r="S53" i="9"/>
  <c r="S54" i="9"/>
  <c r="S55" i="9"/>
  <c r="S56" i="9"/>
  <c r="S58" i="9"/>
  <c r="S59" i="9"/>
  <c r="S60" i="9"/>
  <c r="S61" i="9"/>
  <c r="S62" i="9"/>
  <c r="S63" i="9"/>
  <c r="S64" i="9"/>
  <c r="S65" i="9"/>
  <c r="S66" i="9"/>
  <c r="S67" i="9"/>
  <c r="S68" i="9"/>
  <c r="S69" i="9"/>
  <c r="S70" i="9"/>
  <c r="S71" i="9"/>
  <c r="S72" i="9"/>
  <c r="S73" i="9"/>
  <c r="S74" i="9"/>
  <c r="S75" i="9"/>
  <c r="S76" i="9"/>
  <c r="S77" i="9"/>
  <c r="S78" i="9"/>
  <c r="S79" i="9"/>
  <c r="S80" i="9"/>
  <c r="S81" i="9"/>
  <c r="S83" i="9"/>
  <c r="S84" i="9"/>
  <c r="S85" i="9"/>
  <c r="S86" i="9"/>
  <c r="S88" i="9"/>
  <c r="S89" i="9"/>
  <c r="S90" i="9"/>
  <c r="S91" i="9"/>
  <c r="S92" i="9"/>
  <c r="S93" i="9"/>
  <c r="S94" i="9"/>
  <c r="S95" i="9"/>
  <c r="S96" i="9"/>
  <c r="S97" i="9"/>
  <c r="S98" i="9"/>
  <c r="S99" i="9"/>
  <c r="S100" i="9"/>
  <c r="S101" i="9"/>
  <c r="S102" i="9"/>
  <c r="S103" i="9"/>
  <c r="S104" i="9"/>
  <c r="S105" i="9"/>
  <c r="S106" i="9"/>
  <c r="S107" i="9"/>
  <c r="S108" i="9"/>
  <c r="S109" i="9"/>
  <c r="S111" i="9"/>
  <c r="S112" i="9"/>
  <c r="S113" i="9"/>
  <c r="S114" i="9"/>
  <c r="S115" i="9"/>
  <c r="S116" i="9"/>
  <c r="S117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4" i="9"/>
  <c r="P117" i="9"/>
  <c r="P116" i="9"/>
  <c r="P115" i="9"/>
  <c r="P114" i="9"/>
  <c r="P113" i="9"/>
  <c r="P112" i="9"/>
  <c r="P111" i="9"/>
  <c r="P109" i="9"/>
  <c r="P108" i="9"/>
  <c r="P107" i="9"/>
  <c r="P106" i="9"/>
  <c r="P105" i="9"/>
  <c r="P104" i="9"/>
  <c r="P103" i="9"/>
  <c r="P102" i="9"/>
  <c r="P101" i="9"/>
  <c r="P100" i="9"/>
  <c r="P99" i="9"/>
  <c r="P98" i="9"/>
  <c r="P97" i="9"/>
  <c r="P96" i="9"/>
  <c r="P95" i="9"/>
  <c r="P94" i="9"/>
  <c r="P93" i="9"/>
  <c r="P92" i="9"/>
  <c r="P91" i="9"/>
  <c r="P90" i="9"/>
  <c r="P89" i="9"/>
  <c r="P86" i="9"/>
  <c r="P85" i="9"/>
  <c r="P84" i="9"/>
  <c r="P83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6" i="9"/>
  <c r="P55" i="9"/>
  <c r="P54" i="9"/>
  <c r="P53" i="9"/>
  <c r="P52" i="9"/>
  <c r="P51" i="9"/>
  <c r="P50" i="9"/>
  <c r="P49" i="9"/>
  <c r="P48" i="9"/>
  <c r="P47" i="9"/>
  <c r="P46" i="9"/>
  <c r="P45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O117" i="9"/>
  <c r="O109" i="9"/>
  <c r="O86" i="9"/>
  <c r="O81" i="9"/>
  <c r="O56" i="9"/>
  <c r="O43" i="9"/>
  <c r="O118" i="9" s="1"/>
  <c r="O18" i="9"/>
  <c r="Q117" i="9" l="1"/>
  <c r="R113" i="9" s="1"/>
  <c r="R112" i="9" l="1"/>
  <c r="R111" i="9"/>
  <c r="R115" i="9"/>
  <c r="R116" i="9"/>
  <c r="R114" i="9"/>
  <c r="G80" i="9"/>
  <c r="I63" i="9" l="1"/>
  <c r="Y51" i="9" l="1"/>
  <c r="X51" i="9"/>
  <c r="Q51" i="9"/>
  <c r="N51" i="9"/>
  <c r="M51" i="9"/>
  <c r="L51" i="9"/>
  <c r="K51" i="9"/>
  <c r="J51" i="9"/>
  <c r="I51" i="9"/>
  <c r="F51" i="9"/>
  <c r="G51" i="9"/>
  <c r="Y52" i="9"/>
  <c r="X52" i="9"/>
  <c r="Q52" i="9"/>
  <c r="N52" i="9"/>
  <c r="M52" i="9"/>
  <c r="L52" i="9"/>
  <c r="K52" i="9"/>
  <c r="J52" i="9"/>
  <c r="G52" i="9"/>
  <c r="Y55" i="9"/>
  <c r="X55" i="9"/>
  <c r="Q55" i="9"/>
  <c r="N55" i="9"/>
  <c r="M55" i="9"/>
  <c r="L55" i="9"/>
  <c r="K55" i="9"/>
  <c r="J55" i="9"/>
  <c r="F55" i="9"/>
  <c r="G55" i="9"/>
  <c r="Y80" i="9"/>
  <c r="X80" i="9"/>
  <c r="N80" i="9"/>
  <c r="M80" i="9"/>
  <c r="L80" i="9"/>
  <c r="K80" i="9"/>
  <c r="J80" i="9"/>
  <c r="Y73" i="9"/>
  <c r="X73" i="9"/>
  <c r="Q73" i="9"/>
  <c r="N73" i="9"/>
  <c r="M73" i="9"/>
  <c r="L73" i="9"/>
  <c r="K73" i="9"/>
  <c r="J73" i="9"/>
  <c r="I73" i="9"/>
  <c r="F73" i="9"/>
  <c r="G73" i="9"/>
  <c r="Y69" i="9" l="1"/>
  <c r="X69" i="9"/>
  <c r="Q69" i="9"/>
  <c r="N69" i="9"/>
  <c r="M69" i="9"/>
  <c r="L69" i="9"/>
  <c r="K69" i="9"/>
  <c r="J69" i="9"/>
  <c r="G69" i="9"/>
  <c r="Z56" i="9" l="1"/>
  <c r="Q56" i="9"/>
  <c r="Z117" i="9" l="1"/>
  <c r="T16" i="9" l="1"/>
  <c r="Z109" i="9" l="1"/>
  <c r="Z86" i="9"/>
  <c r="Z81" i="9"/>
  <c r="Z43" i="9"/>
  <c r="Z18" i="9"/>
  <c r="T49" i="9"/>
  <c r="T48" i="9"/>
  <c r="T47" i="9"/>
  <c r="T46" i="9"/>
  <c r="W45" i="9"/>
  <c r="V45" i="9"/>
  <c r="U45" i="9"/>
  <c r="T45" i="9"/>
  <c r="Q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5" i="9"/>
  <c r="T24" i="9"/>
  <c r="T23" i="9"/>
  <c r="T22" i="9"/>
  <c r="T21" i="9"/>
  <c r="W20" i="9"/>
  <c r="V20" i="9"/>
  <c r="U20" i="9"/>
  <c r="T20" i="9"/>
  <c r="Q18" i="9"/>
  <c r="R16" i="9" s="1"/>
  <c r="T17" i="9"/>
  <c r="T15" i="9"/>
  <c r="T14" i="9"/>
  <c r="T13" i="9"/>
  <c r="T12" i="9"/>
  <c r="T11" i="9"/>
  <c r="T10" i="9"/>
  <c r="T9" i="9"/>
  <c r="T8" i="9"/>
  <c r="T7" i="9"/>
  <c r="T6" i="9"/>
  <c r="T5" i="9"/>
  <c r="W4" i="9"/>
  <c r="V4" i="9"/>
  <c r="U4" i="9"/>
  <c r="T4" i="9"/>
  <c r="S43" i="9" l="1"/>
  <c r="R41" i="9"/>
  <c r="R55" i="9"/>
  <c r="R30" i="9"/>
  <c r="R38" i="9"/>
  <c r="R22" i="9"/>
  <c r="R24" i="9"/>
  <c r="R29" i="9"/>
  <c r="R20" i="9"/>
  <c r="R27" i="9"/>
  <c r="R32" i="9"/>
  <c r="R21" i="9"/>
  <c r="R28" i="9"/>
  <c r="R35" i="9"/>
  <c r="R40" i="9"/>
  <c r="R15" i="9"/>
  <c r="R17" i="9"/>
  <c r="R37" i="9"/>
  <c r="Z118" i="9"/>
  <c r="R9" i="9"/>
  <c r="R7" i="9"/>
  <c r="R4" i="9"/>
  <c r="R12" i="9"/>
  <c r="R6" i="9"/>
  <c r="R14" i="9"/>
  <c r="R11" i="9"/>
  <c r="R13" i="9"/>
  <c r="R8" i="9"/>
  <c r="R5" i="9"/>
  <c r="R10" i="9"/>
  <c r="R26" i="9"/>
  <c r="R34" i="9"/>
  <c r="R42" i="9"/>
  <c r="R23" i="9"/>
  <c r="R31" i="9"/>
  <c r="R39" i="9"/>
  <c r="R36" i="9"/>
  <c r="R25" i="9"/>
  <c r="R33" i="9"/>
  <c r="R51" i="9" l="1"/>
  <c r="R54" i="9"/>
  <c r="R48" i="9"/>
  <c r="R52" i="9"/>
  <c r="R46" i="9"/>
  <c r="R49" i="9"/>
  <c r="R53" i="9"/>
  <c r="R47" i="9"/>
  <c r="R50" i="9"/>
  <c r="R45" i="9"/>
  <c r="U111" i="9" l="1"/>
  <c r="W58" i="9"/>
  <c r="W111" i="9" l="1"/>
  <c r="T83" i="9" l="1"/>
  <c r="U83" i="9" l="1"/>
  <c r="V83" i="9"/>
  <c r="W83" i="9"/>
  <c r="Q109" i="9" l="1"/>
  <c r="R94" i="9" s="1"/>
  <c r="Q86" i="9"/>
  <c r="R83" i="9" s="1"/>
  <c r="Q81" i="9"/>
  <c r="R79" i="9" s="1"/>
  <c r="R78" i="9" l="1"/>
  <c r="R80" i="9"/>
  <c r="R76" i="9"/>
  <c r="R77" i="9"/>
  <c r="R74" i="9"/>
  <c r="R58" i="9" l="1"/>
  <c r="U58" i="9"/>
  <c r="V58" i="9"/>
  <c r="R62" i="9"/>
  <c r="R66" i="9"/>
  <c r="R70" i="9"/>
  <c r="R59" i="9"/>
  <c r="T84" i="9"/>
  <c r="T85" i="9"/>
  <c r="R84" i="9"/>
  <c r="T88" i="9"/>
  <c r="U88" i="9"/>
  <c r="V88" i="9"/>
  <c r="W88" i="9"/>
  <c r="R91" i="9"/>
  <c r="R95" i="9"/>
  <c r="R99" i="9"/>
  <c r="R103" i="9"/>
  <c r="R107" i="9"/>
  <c r="V111" i="9"/>
  <c r="R106" i="9" l="1"/>
  <c r="R102" i="9"/>
  <c r="R98" i="9"/>
  <c r="R90" i="9"/>
  <c r="R73" i="9"/>
  <c r="R69" i="9"/>
  <c r="R65" i="9"/>
  <c r="R61" i="9"/>
  <c r="R105" i="9"/>
  <c r="R101" i="9"/>
  <c r="R97" i="9"/>
  <c r="R93" i="9"/>
  <c r="R89" i="9"/>
  <c r="R85" i="9"/>
  <c r="R72" i="9"/>
  <c r="R68" i="9"/>
  <c r="R64" i="9"/>
  <c r="R60" i="9"/>
  <c r="R108" i="9"/>
  <c r="R104" i="9"/>
  <c r="R100" i="9"/>
  <c r="R96" i="9"/>
  <c r="R92" i="9"/>
  <c r="R75" i="9"/>
  <c r="R71" i="9"/>
  <c r="R67" i="9"/>
  <c r="R63" i="9"/>
  <c r="AA118" i="9"/>
  <c r="Y118" i="9"/>
  <c r="X118" i="9"/>
  <c r="N118" i="9"/>
  <c r="M118" i="9"/>
  <c r="L118" i="9"/>
  <c r="K118" i="9"/>
  <c r="J118" i="9"/>
  <c r="I118" i="9"/>
  <c r="H118" i="9"/>
  <c r="G118" i="9"/>
  <c r="F118" i="9"/>
  <c r="E118" i="9"/>
  <c r="D118" i="9"/>
  <c r="Q118" i="9" l="1"/>
  <c r="S118" i="9" s="1"/>
  <c r="R18" i="9" l="1"/>
  <c r="R43" i="9"/>
  <c r="R56" i="9"/>
  <c r="R81" i="9"/>
  <c r="R86" i="9"/>
  <c r="R117" i="9"/>
  <c r="R109" i="9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1 (2)!$B$4:$C$11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Sheet12B4C11"/>
        </x15:connection>
      </ext>
    </extLst>
  </connection>
</connections>
</file>

<file path=xl/sharedStrings.xml><?xml version="1.0" encoding="utf-8"?>
<sst xmlns="http://schemas.openxmlformats.org/spreadsheetml/2006/main" count="250" uniqueCount="174">
  <si>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</si>
  <si>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</si>
  <si>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</si>
  <si>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</si>
  <si>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</si>
  <si>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</si>
  <si>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</si>
  <si>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</si>
  <si>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</si>
  <si>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</si>
  <si>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</si>
  <si>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</si>
  <si>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</si>
  <si>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</si>
  <si>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</si>
  <si>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</si>
  <si>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</si>
  <si>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</si>
  <si>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</si>
  <si>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</si>
  <si>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</si>
  <si>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</si>
  <si>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</si>
  <si>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</si>
  <si>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</si>
  <si>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</si>
  <si>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</si>
  <si>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</si>
  <si>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</si>
  <si>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</si>
  <si>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</si>
  <si>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</si>
  <si>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</si>
  <si>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</si>
  <si>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</si>
  <si>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</si>
  <si>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</si>
  <si>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</si>
  <si>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</si>
  <si>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</si>
  <si>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</si>
  <si>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</si>
  <si>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</si>
  <si>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</si>
  <si>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</si>
  <si>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</si>
  <si>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</si>
  <si>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</si>
  <si>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</si>
  <si>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</si>
  <si>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</si>
  <si>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</si>
  <si>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</si>
  <si>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</si>
  <si>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</si>
  <si>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</si>
  <si>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</si>
  <si>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</si>
  <si>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</si>
  <si>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</si>
  <si>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</si>
  <si>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</si>
  <si>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</si>
  <si>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</si>
  <si>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</si>
  <si>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</si>
  <si>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</si>
  <si>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</si>
  <si>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</si>
  <si>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</si>
  <si>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</si>
  <si>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</si>
  <si>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</si>
  <si>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</si>
  <si>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</si>
  <si>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</si>
  <si>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</si>
  <si>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</si>
  <si>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</si>
  <si>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</si>
  <si>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</si>
  <si>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</si>
  <si>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</si>
  <si>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</si>
  <si>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</si>
  <si>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</si>
  <si>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</si>
  <si>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</si>
  <si>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</si>
  <si>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</si>
  <si>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</si>
  <si>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</si>
  <si>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</si>
  <si>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</si>
  <si>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EDC Money Market Class B</t>
  </si>
  <si>
    <t>Chapel Hill Denham Money Market Fund(Frml NGIF)</t>
  </si>
  <si>
    <t>CEAT Fixed Income Fund(Frml BGL Sapphire)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</si>
  <si>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</si>
  <si>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</si>
  <si>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</si>
  <si>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</si>
  <si>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</si>
  <si>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</si>
  <si>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</si>
  <si>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</si>
  <si>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</si>
  <si>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</si>
  <si>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</si>
  <si>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</si>
  <si>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</si>
  <si>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</si>
  <si>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</si>
  <si>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</si>
  <si>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</si>
  <si>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</si>
  <si>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</si>
  <si>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</si>
  <si>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</si>
  <si>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</si>
  <si>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</si>
  <si>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</si>
  <si>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</si>
  <si>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</si>
  <si>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</si>
  <si>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</si>
  <si>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</si>
  <si>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</si>
  <si>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</si>
  <si>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</si>
  <si>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</si>
  <si>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</si>
  <si>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</si>
  <si>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</si>
  <si>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</si>
  <si>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</si>
  <si>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</si>
  <si>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</si>
  <si>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</si>
  <si>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</si>
  <si>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</si>
  <si>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</si>
  <si>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</si>
  <si>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</si>
  <si>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</si>
  <si>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</si>
  <si>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</si>
  <si>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</si>
  <si>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</si>
  <si>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</si>
  <si>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</si>
  <si>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 xml:space="preserve"> </t>
  </si>
  <si>
    <t xml:space="preserve">Lead Balanced Fund </t>
  </si>
  <si>
    <t>SFS Real Estate Investment Trust Fund</t>
  </si>
  <si>
    <t>Anchoria Money Market Fund</t>
  </si>
  <si>
    <t>Anchoria Asset Management Limited</t>
  </si>
  <si>
    <t>Anchoria Equity Fund</t>
  </si>
  <si>
    <t>Anchoria Fixed Income Fund</t>
  </si>
  <si>
    <t>42a</t>
  </si>
  <si>
    <t>42b</t>
  </si>
  <si>
    <t>Stanbic IBTC Guaranteed Investment Fund</t>
  </si>
  <si>
    <t>Nigeria Eurobond Fund</t>
  </si>
  <si>
    <t>MONEY MARKET FUNDS</t>
  </si>
  <si>
    <t>FBN Nigeria Halal Fund</t>
  </si>
  <si>
    <t>Afrinvest Dollar Fund</t>
  </si>
  <si>
    <t>ARM Eurobond Fund</t>
  </si>
  <si>
    <t>Cordros Dollar Fund</t>
  </si>
  <si>
    <t>ARM Fixed Income Fund</t>
  </si>
  <si>
    <t>AVA Global Asset Managers Limited</t>
  </si>
  <si>
    <t>AVA GAM Fixed Income Dollar Fund</t>
  </si>
  <si>
    <t xml:space="preserve">9,921,297,230.86k </t>
  </si>
  <si>
    <t>SPREADSHEET OF REGISTERED MUTUAL FUNDS AS AT 30TH SEPTEMBER, 2020</t>
  </si>
  <si>
    <t>NET ASSET VALUE  (N) PREVIOUS (AUGUST)</t>
  </si>
  <si>
    <t>% CHANGE IN NAV</t>
  </si>
  <si>
    <t>AIICO Money Market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</si>
</sst>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name val="Calibri"/>
      <family val="2"/>
      <scheme val="minor"/>
    </font>
    <font>
      <b/>
      <sz val="12"/>
      <color theme="1"/>
      <name val="Arial Narrow"/>
      <family val="2"/>
    </font>
    <font>
      <i/>
      <sz val="12"/>
      <color theme="1"/>
      <name val="Arial Narrow"/>
      <family val="2"/>
    </font>
    <font>
      <i/>
      <sz val="12"/>
      <color theme="1"/>
      <name val="Californian FB"/>
      <family val="1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name val="Trebuchet MS"/>
      <family val="2"/>
    </font>
    <font>
      <b/>
      <sz val="8"/>
      <color rgb="FFFF0000"/>
      <name val="Trebuchet MS"/>
      <family val="2"/>
    </font>
    <font>
      <sz val="8"/>
      <color rgb="FFFF0000"/>
      <name val="Trebuchet MS"/>
      <family val="2"/>
    </font>
    <font>
      <b/>
      <sz val="8"/>
      <name val="Trebuchet MS"/>
      <family val="2"/>
    </font>
    <font>
      <sz val="8"/>
      <color rgb="FF000000"/>
      <name val="Trebuchet MS"/>
      <family val="2"/>
    </font>
    <font>
      <b/>
      <sz val="36"/>
      <color rgb="FFFF000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7" fillId="4" borderId="1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1" fillId="0" borderId="0" xfId="0" applyFont="1" applyBorder="1"/>
    <xf numFmtId="43" fontId="9" fillId="0" borderId="0" xfId="1" applyFont="1" applyBorder="1"/>
    <xf numFmtId="43" fontId="9" fillId="2" borderId="0" xfId="1" applyFont="1" applyFill="1" applyBorder="1"/>
    <xf numFmtId="0" fontId="1" fillId="2" borderId="0" xfId="0" applyFont="1" applyFill="1"/>
    <xf numFmtId="43" fontId="8" fillId="0" borderId="0" xfId="1" applyFont="1" applyBorder="1"/>
    <xf numFmtId="0" fontId="1" fillId="2" borderId="0" xfId="0" applyFont="1" applyFill="1" applyBorder="1"/>
    <xf numFmtId="0" fontId="10" fillId="0" borderId="0" xfId="0" applyFont="1"/>
    <xf numFmtId="164" fontId="1" fillId="0" borderId="0" xfId="0" applyNumberFormat="1" applyFont="1"/>
    <xf numFmtId="43" fontId="1" fillId="0" borderId="0" xfId="1" applyFont="1"/>
    <xf numFmtId="3" fontId="1" fillId="0" borderId="0" xfId="0" applyNumberFormat="1" applyFont="1"/>
    <xf numFmtId="4" fontId="1" fillId="0" borderId="0" xfId="0" applyNumberFormat="1" applyFont="1"/>
    <xf numFmtId="0" fontId="6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43" fontId="1" fillId="0" borderId="0" xfId="0" applyNumberFormat="1" applyFont="1"/>
    <xf numFmtId="3" fontId="14" fillId="0" borderId="0" xfId="0" applyNumberFormat="1" applyFont="1"/>
    <xf numFmtId="0" fontId="14" fillId="3" borderId="1" xfId="0" applyFont="1" applyFill="1" applyBorder="1"/>
    <xf numFmtId="0" fontId="15" fillId="3" borderId="1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165" fontId="14" fillId="0" borderId="1" xfId="1" applyNumberFormat="1" applyFont="1" applyBorder="1" applyAlignment="1">
      <alignment horizontal="center" wrapText="1"/>
    </xf>
    <xf numFmtId="43" fontId="14" fillId="0" borderId="1" xfId="1" applyFont="1" applyBorder="1" applyAlignment="1">
      <alignment wrapText="1"/>
    </xf>
    <xf numFmtId="43" fontId="16" fillId="0" borderId="1" xfId="1" applyFont="1" applyBorder="1" applyAlignment="1">
      <alignment wrapText="1"/>
    </xf>
    <xf numFmtId="43" fontId="14" fillId="0" borderId="1" xfId="1" applyFont="1" applyBorder="1"/>
    <xf numFmtId="4" fontId="14" fillId="0" borderId="1" xfId="0" applyNumberFormat="1" applyFont="1" applyBorder="1"/>
    <xf numFmtId="4" fontId="14" fillId="8" borderId="1" xfId="0" applyNumberFormat="1" applyFont="1" applyFill="1" applyBorder="1"/>
    <xf numFmtId="43" fontId="14" fillId="5" borderId="1" xfId="1" applyFont="1" applyFill="1" applyBorder="1"/>
    <xf numFmtId="10" fontId="14" fillId="7" borderId="1" xfId="2" applyNumberFormat="1" applyFont="1" applyFill="1" applyBorder="1"/>
    <xf numFmtId="10" fontId="14" fillId="4" borderId="1" xfId="2" applyNumberFormat="1" applyFont="1" applyFill="1" applyBorder="1" applyAlignment="1">
      <alignment horizontal="right" vertical="center"/>
    </xf>
    <xf numFmtId="43" fontId="14" fillId="4" borderId="1" xfId="1" applyFont="1" applyFill="1" applyBorder="1" applyAlignment="1">
      <alignment horizontal="right" vertical="center"/>
    </xf>
    <xf numFmtId="165" fontId="14" fillId="0" borderId="1" xfId="1" applyNumberFormat="1" applyFont="1" applyBorder="1"/>
    <xf numFmtId="4" fontId="14" fillId="0" borderId="4" xfId="0" applyNumberFormat="1" applyFont="1" applyBorder="1"/>
    <xf numFmtId="43" fontId="14" fillId="8" borderId="1" xfId="1" applyFont="1" applyFill="1" applyBorder="1"/>
    <xf numFmtId="0" fontId="14" fillId="0" borderId="1" xfId="0" applyFont="1" applyBorder="1"/>
    <xf numFmtId="43" fontId="14" fillId="0" borderId="4" xfId="1" applyFont="1" applyBorder="1"/>
    <xf numFmtId="165" fontId="14" fillId="2" borderId="1" xfId="1" applyNumberFormat="1" applyFont="1" applyFill="1" applyBorder="1" applyAlignment="1">
      <alignment horizontal="center" wrapText="1"/>
    </xf>
    <xf numFmtId="43" fontId="16" fillId="2" borderId="1" xfId="1" applyFont="1" applyFill="1" applyBorder="1"/>
    <xf numFmtId="43" fontId="16" fillId="2" borderId="1" xfId="1" applyFont="1" applyFill="1" applyBorder="1" applyAlignment="1">
      <alignment wrapText="1"/>
    </xf>
    <xf numFmtId="4" fontId="14" fillId="2" borderId="1" xfId="0" applyNumberFormat="1" applyFont="1" applyFill="1" applyBorder="1"/>
    <xf numFmtId="4" fontId="14" fillId="2" borderId="1" xfId="0" applyNumberFormat="1" applyFont="1" applyFill="1" applyBorder="1" applyAlignment="1">
      <alignment horizontal="right"/>
    </xf>
    <xf numFmtId="43" fontId="14" fillId="2" borderId="1" xfId="1" applyFont="1" applyFill="1" applyBorder="1"/>
    <xf numFmtId="43" fontId="14" fillId="8" borderId="1" xfId="1" applyFont="1" applyFill="1" applyBorder="1" applyAlignment="1">
      <alignment horizontal="right"/>
    </xf>
    <xf numFmtId="2" fontId="14" fillId="2" borderId="1" xfId="0" applyNumberFormat="1" applyFont="1" applyFill="1" applyBorder="1"/>
    <xf numFmtId="0" fontId="14" fillId="2" borderId="1" xfId="0" applyFont="1" applyFill="1" applyBorder="1"/>
    <xf numFmtId="165" fontId="14" fillId="2" borderId="1" xfId="0" applyNumberFormat="1" applyFont="1" applyFill="1" applyBorder="1"/>
    <xf numFmtId="43" fontId="14" fillId="2" borderId="4" xfId="1" applyFont="1" applyFill="1" applyBorder="1"/>
    <xf numFmtId="43" fontId="14" fillId="0" borderId="1" xfId="1" applyNumberFormat="1" applyFont="1" applyBorder="1"/>
    <xf numFmtId="165" fontId="16" fillId="0" borderId="1" xfId="1" applyNumberFormat="1" applyFont="1" applyBorder="1" applyAlignment="1">
      <alignment horizontal="center" wrapText="1"/>
    </xf>
    <xf numFmtId="43" fontId="16" fillId="0" borderId="1" xfId="1" applyFont="1" applyBorder="1"/>
    <xf numFmtId="43" fontId="14" fillId="0" borderId="1" xfId="1" applyFont="1" applyFill="1" applyBorder="1"/>
    <xf numFmtId="43" fontId="14" fillId="0" borderId="1" xfId="1" applyFont="1" applyBorder="1" applyAlignment="1">
      <alignment vertical="center" wrapText="1"/>
    </xf>
    <xf numFmtId="43" fontId="16" fillId="0" borderId="1" xfId="1" applyFont="1" applyBorder="1" applyAlignment="1">
      <alignment vertical="center" wrapText="1"/>
    </xf>
    <xf numFmtId="165" fontId="14" fillId="0" borderId="4" xfId="1" applyNumberFormat="1" applyFont="1" applyBorder="1"/>
    <xf numFmtId="43" fontId="17" fillId="2" borderId="1" xfId="1" applyFont="1" applyFill="1" applyBorder="1" applyAlignment="1">
      <alignment vertical="center" wrapText="1"/>
    </xf>
    <xf numFmtId="43" fontId="18" fillId="2" borderId="1" xfId="1" applyFont="1" applyFill="1" applyBorder="1"/>
    <xf numFmtId="43" fontId="18" fillId="8" borderId="1" xfId="1" applyFont="1" applyFill="1" applyBorder="1"/>
    <xf numFmtId="43" fontId="18" fillId="5" borderId="1" xfId="1" applyFont="1" applyFill="1" applyBorder="1"/>
    <xf numFmtId="10" fontId="18" fillId="7" borderId="1" xfId="2" applyNumberFormat="1" applyFont="1" applyFill="1" applyBorder="1"/>
    <xf numFmtId="10" fontId="18" fillId="4" borderId="1" xfId="2" applyNumberFormat="1" applyFont="1" applyFill="1" applyBorder="1" applyAlignment="1">
      <alignment horizontal="right" vertical="center"/>
    </xf>
    <xf numFmtId="165" fontId="18" fillId="2" borderId="1" xfId="1" applyNumberFormat="1" applyFont="1" applyFill="1" applyBorder="1"/>
    <xf numFmtId="43" fontId="18" fillId="2" borderId="4" xfId="1" applyFont="1" applyFill="1" applyBorder="1"/>
    <xf numFmtId="43" fontId="14" fillId="2" borderId="1" xfId="1" applyFont="1" applyFill="1" applyBorder="1" applyAlignment="1">
      <alignment wrapText="1"/>
    </xf>
    <xf numFmtId="43" fontId="16" fillId="8" borderId="1" xfId="1" applyFont="1" applyFill="1" applyBorder="1"/>
    <xf numFmtId="43" fontId="16" fillId="5" borderId="1" xfId="1" applyFont="1" applyFill="1" applyBorder="1"/>
    <xf numFmtId="10" fontId="16" fillId="7" borderId="1" xfId="2" applyNumberFormat="1" applyFont="1" applyFill="1" applyBorder="1"/>
    <xf numFmtId="10" fontId="16" fillId="4" borderId="1" xfId="2" applyNumberFormat="1" applyFont="1" applyFill="1" applyBorder="1" applyAlignment="1">
      <alignment horizontal="right" vertical="center"/>
    </xf>
    <xf numFmtId="165" fontId="16" fillId="2" borderId="1" xfId="1" applyNumberFormat="1" applyFont="1" applyFill="1" applyBorder="1"/>
    <xf numFmtId="43" fontId="16" fillId="2" borderId="4" xfId="1" applyFont="1" applyFill="1" applyBorder="1"/>
    <xf numFmtId="165" fontId="15" fillId="0" borderId="1" xfId="1" applyNumberFormat="1" applyFont="1" applyBorder="1" applyAlignment="1">
      <alignment horizontal="center"/>
    </xf>
    <xf numFmtId="43" fontId="15" fillId="0" borderId="1" xfId="1" applyFont="1" applyBorder="1" applyAlignment="1">
      <alignment vertical="top" wrapText="1"/>
    </xf>
    <xf numFmtId="43" fontId="19" fillId="0" borderId="1" xfId="1" applyFont="1" applyBorder="1" applyAlignment="1">
      <alignment horizontal="right"/>
    </xf>
    <xf numFmtId="43" fontId="15" fillId="5" borderId="1" xfId="1" applyFont="1" applyFill="1" applyBorder="1"/>
    <xf numFmtId="10" fontId="17" fillId="7" borderId="1" xfId="2" applyNumberFormat="1" applyFont="1" applyFill="1" applyBorder="1"/>
    <xf numFmtId="43" fontId="15" fillId="2" borderId="1" xfId="1" applyFont="1" applyFill="1" applyBorder="1"/>
    <xf numFmtId="0" fontId="15" fillId="3" borderId="1" xfId="0" applyFont="1" applyFill="1" applyBorder="1"/>
    <xf numFmtId="165" fontId="14" fillId="2" borderId="4" xfId="1" applyNumberFormat="1" applyFont="1" applyFill="1" applyBorder="1"/>
    <xf numFmtId="4" fontId="14" fillId="0" borderId="0" xfId="0" applyNumberFormat="1" applyFont="1"/>
    <xf numFmtId="0" fontId="14" fillId="0" borderId="0" xfId="0" applyFont="1"/>
    <xf numFmtId="165" fontId="16" fillId="0" borderId="1" xfId="1" applyNumberFormat="1" applyFont="1" applyBorder="1"/>
    <xf numFmtId="43" fontId="16" fillId="0" borderId="4" xfId="1" applyFont="1" applyBorder="1"/>
    <xf numFmtId="4" fontId="20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20" fillId="0" borderId="1" xfId="0" applyNumberFormat="1" applyFont="1" applyBorder="1"/>
    <xf numFmtId="4" fontId="14" fillId="5" borderId="1" xfId="0" applyNumberFormat="1" applyFont="1" applyFill="1" applyBorder="1"/>
    <xf numFmtId="165" fontId="14" fillId="2" borderId="1" xfId="1" applyNumberFormat="1" applyFont="1" applyFill="1" applyBorder="1"/>
    <xf numFmtId="165" fontId="15" fillId="0" borderId="1" xfId="1" applyNumberFormat="1" applyFont="1" applyBorder="1" applyAlignment="1">
      <alignment horizontal="center" wrapText="1"/>
    </xf>
    <xf numFmtId="43" fontId="15" fillId="0" borderId="1" xfId="1" applyFont="1" applyBorder="1" applyAlignment="1">
      <alignment wrapText="1"/>
    </xf>
    <xf numFmtId="165" fontId="15" fillId="3" borderId="1" xfId="1" applyNumberFormat="1" applyFont="1" applyFill="1" applyBorder="1" applyAlignment="1">
      <alignment horizontal="center" wrapText="1"/>
    </xf>
    <xf numFmtId="43" fontId="15" fillId="3" borderId="1" xfId="1" applyFont="1" applyFill="1" applyBorder="1" applyAlignment="1">
      <alignment wrapText="1"/>
    </xf>
    <xf numFmtId="0" fontId="19" fillId="3" borderId="1" xfId="0" applyFont="1" applyFill="1" applyBorder="1" applyAlignment="1">
      <alignment horizontal="left" vertical="top" wrapText="1"/>
    </xf>
    <xf numFmtId="43" fontId="14" fillId="3" borderId="1" xfId="1" applyFont="1" applyFill="1" applyBorder="1"/>
    <xf numFmtId="43" fontId="16" fillId="3" borderId="1" xfId="1" applyFont="1" applyFill="1" applyBorder="1"/>
    <xf numFmtId="10" fontId="15" fillId="7" borderId="1" xfId="2" applyNumberFormat="1" applyFont="1" applyFill="1" applyBorder="1"/>
    <xf numFmtId="43" fontId="14" fillId="3" borderId="4" xfId="1" applyFont="1" applyFill="1" applyBorder="1"/>
    <xf numFmtId="165" fontId="14" fillId="0" borderId="1" xfId="1" applyNumberFormat="1" applyFont="1" applyBorder="1" applyAlignment="1">
      <alignment horizontal="right" wrapText="1"/>
    </xf>
    <xf numFmtId="165" fontId="14" fillId="2" borderId="1" xfId="1" applyNumberFormat="1" applyFont="1" applyFill="1" applyBorder="1" applyAlignment="1">
      <alignment horizontal="right" wrapText="1"/>
    </xf>
    <xf numFmtId="43" fontId="18" fillId="0" borderId="1" xfId="1" applyFont="1" applyBorder="1"/>
    <xf numFmtId="43" fontId="16" fillId="5" borderId="1" xfId="1" applyFont="1" applyFill="1" applyBorder="1" applyAlignment="1">
      <alignment horizontal="right"/>
    </xf>
    <xf numFmtId="165" fontId="14" fillId="0" borderId="1" xfId="1" quotePrefix="1" applyNumberFormat="1" applyFont="1" applyBorder="1" applyAlignment="1">
      <alignment horizontal="center" wrapText="1"/>
    </xf>
    <xf numFmtId="43" fontId="14" fillId="0" borderId="4" xfId="1" quotePrefix="1" applyFont="1" applyBorder="1" applyAlignment="1">
      <alignment horizontal="center" wrapText="1"/>
    </xf>
    <xf numFmtId="0" fontId="16" fillId="0" borderId="1" xfId="0" applyFont="1" applyBorder="1"/>
    <xf numFmtId="165" fontId="14" fillId="0" borderId="1" xfId="0" applyNumberFormat="1" applyFont="1" applyBorder="1"/>
    <xf numFmtId="2" fontId="14" fillId="0" borderId="1" xfId="0" applyNumberFormat="1" applyFont="1" applyBorder="1"/>
    <xf numFmtId="3" fontId="14" fillId="0" borderId="4" xfId="0" applyNumberFormat="1" applyFont="1" applyBorder="1"/>
    <xf numFmtId="43" fontId="14" fillId="2" borderId="4" xfId="1" applyFont="1" applyFill="1" applyBorder="1" applyAlignment="1">
      <alignment horizontal="right"/>
    </xf>
    <xf numFmtId="43" fontId="14" fillId="0" borderId="0" xfId="1" applyFont="1"/>
    <xf numFmtId="0" fontId="14" fillId="2" borderId="0" xfId="0" applyFont="1" applyFill="1"/>
    <xf numFmtId="164" fontId="14" fillId="0" borderId="1" xfId="0" applyNumberFormat="1" applyFont="1" applyBorder="1"/>
    <xf numFmtId="43" fontId="16" fillId="2" borderId="1" xfId="1" applyFont="1" applyFill="1" applyBorder="1" applyAlignment="1">
      <alignment vertical="top" wrapText="1"/>
    </xf>
    <xf numFmtId="3" fontId="14" fillId="0" borderId="1" xfId="0" applyNumberFormat="1" applyFont="1" applyBorder="1"/>
    <xf numFmtId="43" fontId="14" fillId="0" borderId="4" xfId="1" applyFont="1" applyBorder="1" applyAlignment="1">
      <alignment wrapText="1"/>
    </xf>
    <xf numFmtId="4" fontId="16" fillId="5" borderId="1" xfId="0" applyNumberFormat="1" applyFont="1" applyFill="1" applyBorder="1"/>
    <xf numFmtId="43" fontId="14" fillId="0" borderId="4" xfId="1" applyFont="1" applyBorder="1" applyAlignment="1">
      <alignment horizontal="right"/>
    </xf>
    <xf numFmtId="43" fontId="15" fillId="0" borderId="1" xfId="1" applyFont="1" applyBorder="1"/>
    <xf numFmtId="165" fontId="15" fillId="3" borderId="1" xfId="1" applyNumberFormat="1" applyFont="1" applyFill="1" applyBorder="1"/>
    <xf numFmtId="43" fontId="15" fillId="3" borderId="1" xfId="1" applyFont="1" applyFill="1" applyBorder="1"/>
    <xf numFmtId="165" fontId="15" fillId="6" borderId="6" xfId="1" applyNumberFormat="1" applyFont="1" applyFill="1" applyBorder="1" applyAlignment="1">
      <alignment horizontal="center" wrapText="1"/>
    </xf>
    <xf numFmtId="43" fontId="15" fillId="6" borderId="7" xfId="1" applyFont="1" applyFill="1" applyBorder="1" applyAlignment="1">
      <alignment wrapText="1"/>
    </xf>
    <xf numFmtId="43" fontId="19" fillId="6" borderId="7" xfId="1" applyFont="1" applyFill="1" applyBorder="1" applyAlignment="1">
      <alignment horizontal="right"/>
    </xf>
    <xf numFmtId="43" fontId="15" fillId="6" borderId="7" xfId="1" applyFont="1" applyFill="1" applyBorder="1"/>
    <xf numFmtId="43" fontId="15" fillId="5" borderId="7" xfId="1" applyFont="1" applyFill="1" applyBorder="1"/>
    <xf numFmtId="10" fontId="15" fillId="7" borderId="7" xfId="2" applyNumberFormat="1" applyFont="1" applyFill="1" applyBorder="1"/>
    <xf numFmtId="10" fontId="14" fillId="4" borderId="7" xfId="2" applyNumberFormat="1" applyFont="1" applyFill="1" applyBorder="1" applyAlignment="1">
      <alignment horizontal="right" vertical="center"/>
    </xf>
    <xf numFmtId="43" fontId="14" fillId="4" borderId="7" xfId="1" applyFont="1" applyFill="1" applyBorder="1" applyAlignment="1">
      <alignment horizontal="right" vertical="center"/>
    </xf>
    <xf numFmtId="43" fontId="15" fillId="6" borderId="8" xfId="1" applyFont="1" applyFill="1" applyBorder="1"/>
    <xf numFmtId="0" fontId="7" fillId="4" borderId="3" xfId="0" applyFont="1" applyFill="1" applyBorder="1" applyAlignment="1">
      <alignment horizontal="center" vertical="top" wrapText="1"/>
    </xf>
    <xf numFmtId="10" fontId="14" fillId="3" borderId="1" xfId="2" applyNumberFormat="1" applyFont="1" applyFill="1" applyBorder="1"/>
    <xf numFmtId="165" fontId="16" fillId="2" borderId="1" xfId="1" applyNumberFormat="1" applyFont="1" applyFill="1" applyBorder="1" applyAlignment="1">
      <alignment horizontal="center" wrapText="1"/>
    </xf>
    <xf numFmtId="4" fontId="16" fillId="0" borderId="1" xfId="0" applyNumberFormat="1" applyFont="1" applyBorder="1"/>
    <xf numFmtId="10" fontId="14" fillId="0" borderId="1" xfId="2" applyNumberFormat="1" applyFont="1" applyBorder="1"/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</cellXfs>
  <cellStyles count="172">
    <cellStyle name="Comma" xfId="1" builtinId="3"/>
    <cellStyle name="Comma 2 3" xfId="17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4"/>
  <sheetViews>
    <sheetView tabSelected="1" zoomScaleNormal="100" workbookViewId="0">
      <pane ySplit="2" topLeftCell="A15" activePane="bottomLeft" state="frozen"/>
      <selection pane="bottomLeft" activeCell="A25" sqref="A25"/>
    </sheetView>
  </sheetViews>
  <sheetFormatPr defaultColWidth="8.85546875" defaultRowHeight="15.75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5703125" style="1" customWidth="1"/>
    <col min="6" max="6" width="20.28515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19.5703125" style="1" customWidth="1"/>
    <col min="16" max="16" width="9.28515625" style="1" customWidth="1"/>
    <col min="17" max="17" width="19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5703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16384" width="8.85546875" style="1"/>
  </cols>
  <sheetData>
    <row r="1" spans="1:28" ht="47.25" thickBot="1" x14ac:dyDescent="0.75">
      <c r="A1" s="135" t="s">
        <v>170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7"/>
    </row>
    <row r="2" spans="1:28" ht="54" customHeight="1" x14ac:dyDescent="0.25">
      <c r="A2" s="2" t="s">
        <v>51</v>
      </c>
      <c r="B2" s="2" t="s">
        <v>127</v>
      </c>
      <c r="C2" s="2" t="s">
        <v>128</v>
      </c>
      <c r="D2" s="2" t="s">
        <v>54</v>
      </c>
      <c r="E2" s="2" t="s">
        <v>80</v>
      </c>
      <c r="F2" s="2" t="s">
        <v>58</v>
      </c>
      <c r="G2" s="2" t="s">
        <v>55</v>
      </c>
      <c r="H2" s="2" t="s">
        <v>56</v>
      </c>
      <c r="I2" s="2" t="s">
        <v>57</v>
      </c>
      <c r="J2" s="2" t="s">
        <v>53</v>
      </c>
      <c r="K2" s="2" t="s">
        <v>65</v>
      </c>
      <c r="L2" s="2" t="s">
        <v>137</v>
      </c>
      <c r="M2" s="2" t="s">
        <v>136</v>
      </c>
      <c r="N2" s="2" t="s">
        <v>52</v>
      </c>
      <c r="O2" s="2" t="s">
        <v>171</v>
      </c>
      <c r="P2" s="2" t="s">
        <v>67</v>
      </c>
      <c r="Q2" s="2" t="s">
        <v>132</v>
      </c>
      <c r="R2" s="2" t="s">
        <v>67</v>
      </c>
      <c r="S2" s="130" t="s">
        <v>172</v>
      </c>
      <c r="T2" s="2" t="s">
        <v>66</v>
      </c>
      <c r="U2" s="2" t="s">
        <v>125</v>
      </c>
      <c r="V2" s="2" t="s">
        <v>126</v>
      </c>
      <c r="W2" s="2" t="s">
        <v>133</v>
      </c>
      <c r="X2" s="2" t="s">
        <v>134</v>
      </c>
      <c r="Y2" s="2" t="s">
        <v>135</v>
      </c>
      <c r="Z2" s="2" t="s">
        <v>130</v>
      </c>
      <c r="AA2" s="3" t="s">
        <v>129</v>
      </c>
      <c r="AB2" s="4"/>
    </row>
    <row r="3" spans="1:28" ht="18" customHeight="1" x14ac:dyDescent="0.3">
      <c r="A3" s="22"/>
      <c r="B3" s="23"/>
      <c r="C3" s="23" t="s">
        <v>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</row>
    <row r="4" spans="1:28" ht="18" x14ac:dyDescent="0.35">
      <c r="A4" s="25">
        <v>1</v>
      </c>
      <c r="B4" s="26" t="s">
        <v>1</v>
      </c>
      <c r="C4" s="27" t="s">
        <v>119</v>
      </c>
      <c r="D4" s="28">
        <v>3621331706.9200001</v>
      </c>
      <c r="E4" s="134"/>
      <c r="F4" s="28">
        <v>1239837434.71</v>
      </c>
      <c r="G4" s="28">
        <v>54020191.579999998</v>
      </c>
      <c r="H4" s="28"/>
      <c r="I4" s="28"/>
      <c r="J4" s="29">
        <v>4919365613.1099997</v>
      </c>
      <c r="K4" s="29">
        <v>13730261.48</v>
      </c>
      <c r="L4" s="30">
        <v>8012349.04</v>
      </c>
      <c r="M4" s="29">
        <v>5072354619.8100004</v>
      </c>
      <c r="N4" s="29">
        <v>54569977.090000004</v>
      </c>
      <c r="O4" s="31">
        <v>4804610494.6000004</v>
      </c>
      <c r="P4" s="32">
        <f t="shared" ref="P4:P17" si="0">(O4/$O$18)</f>
        <v>0.43815230225222646</v>
      </c>
      <c r="Q4" s="31">
        <v>5017784642.7200003</v>
      </c>
      <c r="R4" s="32">
        <f t="shared" ref="R4:R17" si="1">(Q4/$Q$18)</f>
        <v>0.43528829639392524</v>
      </c>
      <c r="S4" s="131">
        <f>((Q4-O4)/O4)</f>
        <v>4.4368663882241997E-2</v>
      </c>
      <c r="T4" s="33">
        <f t="shared" ref="T4:T17" si="2">(K4/Q4)</f>
        <v>2.736319403408515E-3</v>
      </c>
      <c r="U4" s="33">
        <f t="shared" ref="U4:U17" si="3">L4/Q4</f>
        <v>1.5967901395737723E-3</v>
      </c>
      <c r="V4" s="34">
        <f>Q4/AA4</f>
        <v>8001.6816734457443</v>
      </c>
      <c r="W4" s="34">
        <f t="shared" ref="W4" si="4">L4/AA4</f>
        <v>12.777006396166325</v>
      </c>
      <c r="X4" s="28">
        <v>7942.49</v>
      </c>
      <c r="Y4" s="28">
        <v>8043.55</v>
      </c>
      <c r="Z4" s="35">
        <v>17188</v>
      </c>
      <c r="AA4" s="36">
        <v>627091.26</v>
      </c>
      <c r="AB4" s="5"/>
    </row>
    <row r="5" spans="1:28" ht="18" x14ac:dyDescent="0.35">
      <c r="A5" s="25">
        <v>2</v>
      </c>
      <c r="B5" s="28" t="s">
        <v>2</v>
      </c>
      <c r="C5" s="27" t="s">
        <v>3</v>
      </c>
      <c r="D5" s="28">
        <v>452011374.69999999</v>
      </c>
      <c r="E5" s="28"/>
      <c r="F5" s="28">
        <v>101945444.77</v>
      </c>
      <c r="G5" s="28">
        <v>19291762.039999999</v>
      </c>
      <c r="H5" s="28"/>
      <c r="I5" s="28"/>
      <c r="J5" s="28">
        <v>608913454.03999996</v>
      </c>
      <c r="K5" s="28">
        <v>801862.65</v>
      </c>
      <c r="L5" s="37">
        <v>243688.24</v>
      </c>
      <c r="M5" s="28">
        <v>608913454.03999996</v>
      </c>
      <c r="N5" s="28">
        <v>2385865.84</v>
      </c>
      <c r="O5" s="31">
        <v>572009541.08000004</v>
      </c>
      <c r="P5" s="32">
        <f t="shared" si="0"/>
        <v>5.216391580881044E-2</v>
      </c>
      <c r="Q5" s="31">
        <v>606527588.20000005</v>
      </c>
      <c r="R5" s="32">
        <f t="shared" si="1"/>
        <v>5.2615721754128431E-2</v>
      </c>
      <c r="S5" s="131">
        <f t="shared" ref="S5:S68" si="5">((Q5-O5)/O5)</f>
        <v>6.0345229652685781E-2</v>
      </c>
      <c r="T5" s="33">
        <f t="shared" si="2"/>
        <v>1.322054702210164E-3</v>
      </c>
      <c r="U5" s="33">
        <f t="shared" si="3"/>
        <v>4.0177601932864557E-4</v>
      </c>
      <c r="V5" s="34">
        <f t="shared" ref="V5:V17" si="6">Q5/AA5</f>
        <v>1.2195730504149069</v>
      </c>
      <c r="W5" s="34">
        <f t="shared" ref="W5:W17" si="7">L5/AA5</f>
        <v>4.8999520547619488E-4</v>
      </c>
      <c r="X5" s="28">
        <v>1.2</v>
      </c>
      <c r="Y5" s="38">
        <v>1.23</v>
      </c>
      <c r="Z5" s="35">
        <v>3728</v>
      </c>
      <c r="AA5" s="39">
        <v>497327805</v>
      </c>
      <c r="AB5" s="5"/>
    </row>
    <row r="6" spans="1:28" s="7" customFormat="1" ht="18" x14ac:dyDescent="0.35">
      <c r="A6" s="40">
        <v>3</v>
      </c>
      <c r="B6" s="41" t="s">
        <v>4</v>
      </c>
      <c r="C6" s="42" t="s">
        <v>5</v>
      </c>
      <c r="D6" s="43">
        <v>130473106.65000001</v>
      </c>
      <c r="E6" s="43"/>
      <c r="F6" s="44">
        <v>40207773.450000003</v>
      </c>
      <c r="G6" s="45">
        <v>69929047.400000006</v>
      </c>
      <c r="H6" s="45"/>
      <c r="I6" s="45"/>
      <c r="J6" s="45">
        <v>240609927.5</v>
      </c>
      <c r="K6" s="43">
        <v>577999.85</v>
      </c>
      <c r="L6" s="46">
        <v>1732304.04</v>
      </c>
      <c r="M6" s="43">
        <v>257154186.05000001</v>
      </c>
      <c r="N6" s="43">
        <v>16831091.989999998</v>
      </c>
      <c r="O6" s="31">
        <v>227539720.56999999</v>
      </c>
      <c r="P6" s="32">
        <f t="shared" si="0"/>
        <v>2.0750288193730863E-2</v>
      </c>
      <c r="Q6" s="31">
        <v>240323094.06</v>
      </c>
      <c r="R6" s="32">
        <f t="shared" si="1"/>
        <v>2.0847811862405558E-2</v>
      </c>
      <c r="S6" s="131">
        <f t="shared" si="5"/>
        <v>5.6180843757639015E-2</v>
      </c>
      <c r="T6" s="33">
        <f t="shared" si="2"/>
        <v>2.4050949088384086E-3</v>
      </c>
      <c r="U6" s="33">
        <f t="shared" si="3"/>
        <v>7.2082295993056173E-3</v>
      </c>
      <c r="V6" s="34">
        <f t="shared" si="6"/>
        <v>120.76264308596036</v>
      </c>
      <c r="W6" s="34">
        <f t="shared" si="7"/>
        <v>0.87048485838259937</v>
      </c>
      <c r="X6" s="47">
        <v>120.76</v>
      </c>
      <c r="Y6" s="48">
        <v>122.09</v>
      </c>
      <c r="Z6" s="49">
        <v>2473</v>
      </c>
      <c r="AA6" s="50">
        <v>1990045</v>
      </c>
      <c r="AB6" s="6"/>
    </row>
    <row r="7" spans="1:28" ht="18" x14ac:dyDescent="0.35">
      <c r="A7" s="25">
        <v>4</v>
      </c>
      <c r="B7" s="26" t="s">
        <v>6</v>
      </c>
      <c r="C7" s="27" t="s">
        <v>7</v>
      </c>
      <c r="D7" s="28">
        <v>376844949.39999998</v>
      </c>
      <c r="E7" s="38"/>
      <c r="F7" s="28">
        <v>39654606.280000001</v>
      </c>
      <c r="G7" s="28"/>
      <c r="H7" s="28"/>
      <c r="I7" s="28"/>
      <c r="J7" s="28">
        <v>423742765.07999998</v>
      </c>
      <c r="K7" s="28">
        <v>657230.68000000005</v>
      </c>
      <c r="L7" s="37">
        <v>4556998.18</v>
      </c>
      <c r="M7" s="28">
        <v>423742765.07999998</v>
      </c>
      <c r="N7" s="28">
        <v>2254623.2799999998</v>
      </c>
      <c r="O7" s="31">
        <v>392553336.49000001</v>
      </c>
      <c r="P7" s="32">
        <f t="shared" si="0"/>
        <v>3.5798562304519513E-2</v>
      </c>
      <c r="Q7" s="31">
        <v>421488141.80000001</v>
      </c>
      <c r="R7" s="32">
        <f t="shared" si="1"/>
        <v>3.6563716511936607E-2</v>
      </c>
      <c r="S7" s="131">
        <f t="shared" si="5"/>
        <v>7.3709232912702788E-2</v>
      </c>
      <c r="T7" s="33">
        <f t="shared" si="2"/>
        <v>1.5593100133096081E-3</v>
      </c>
      <c r="U7" s="33">
        <f t="shared" si="3"/>
        <v>1.0811687751259055E-2</v>
      </c>
      <c r="V7" s="34">
        <f t="shared" si="6"/>
        <v>12.308992911193185</v>
      </c>
      <c r="W7" s="34">
        <f t="shared" si="7"/>
        <v>0.13308098788828188</v>
      </c>
      <c r="X7" s="28">
        <v>12.18</v>
      </c>
      <c r="Y7" s="28">
        <v>12.41</v>
      </c>
      <c r="Z7" s="35">
        <v>8866</v>
      </c>
      <c r="AA7" s="39">
        <v>34242293</v>
      </c>
      <c r="AB7" s="5"/>
    </row>
    <row r="8" spans="1:28" ht="18" x14ac:dyDescent="0.35">
      <c r="A8" s="25">
        <v>5</v>
      </c>
      <c r="B8" s="26" t="s">
        <v>8</v>
      </c>
      <c r="C8" s="27" t="s">
        <v>112</v>
      </c>
      <c r="D8" s="28">
        <v>1145228804</v>
      </c>
      <c r="E8" s="28"/>
      <c r="F8" s="28">
        <v>48791752</v>
      </c>
      <c r="G8" s="28"/>
      <c r="H8" s="28"/>
      <c r="I8" s="28"/>
      <c r="J8" s="28">
        <v>1194020557</v>
      </c>
      <c r="K8" s="28">
        <v>1818139</v>
      </c>
      <c r="L8" s="37">
        <v>76034187</v>
      </c>
      <c r="M8" s="28">
        <v>1331435369</v>
      </c>
      <c r="N8" s="28">
        <v>52235619.789999999</v>
      </c>
      <c r="O8" s="31">
        <v>1193715402</v>
      </c>
      <c r="P8" s="32">
        <f t="shared" si="0"/>
        <v>0.10885984456140307</v>
      </c>
      <c r="Q8" s="31">
        <v>1279199749</v>
      </c>
      <c r="R8" s="32">
        <f t="shared" si="1"/>
        <v>0.11096942558059046</v>
      </c>
      <c r="S8" s="131">
        <f t="shared" si="5"/>
        <v>7.1611999691698708E-2</v>
      </c>
      <c r="T8" s="33">
        <f t="shared" si="2"/>
        <v>1.4213096910168327E-3</v>
      </c>
      <c r="U8" s="33">
        <f t="shared" si="3"/>
        <v>5.9438869542805077E-2</v>
      </c>
      <c r="V8" s="34">
        <f t="shared" si="6"/>
        <v>0.72537255140416079</v>
      </c>
      <c r="W8" s="34">
        <f t="shared" si="7"/>
        <v>4.3115324452843586E-2</v>
      </c>
      <c r="X8" s="51">
        <v>0.70399999999999996</v>
      </c>
      <c r="Y8" s="51">
        <v>0.72450000000000003</v>
      </c>
      <c r="Z8" s="35">
        <v>7002</v>
      </c>
      <c r="AA8" s="39">
        <v>1763507244</v>
      </c>
      <c r="AB8" s="5"/>
    </row>
    <row r="9" spans="1:28" ht="18" x14ac:dyDescent="0.35">
      <c r="A9" s="25">
        <v>6</v>
      </c>
      <c r="B9" s="38" t="s">
        <v>61</v>
      </c>
      <c r="C9" s="27" t="s">
        <v>9</v>
      </c>
      <c r="D9" s="28">
        <v>1726017630.46</v>
      </c>
      <c r="E9" s="28"/>
      <c r="F9" s="28">
        <v>162125574.43000001</v>
      </c>
      <c r="G9" s="28">
        <v>83592022.159999996</v>
      </c>
      <c r="H9" s="28"/>
      <c r="I9" s="28"/>
      <c r="J9" s="28">
        <v>1971735227.05</v>
      </c>
      <c r="K9" s="28">
        <v>5620621.9900000002</v>
      </c>
      <c r="L9" s="37">
        <v>117757756.89</v>
      </c>
      <c r="M9" s="28">
        <v>2278354035</v>
      </c>
      <c r="N9" s="28">
        <v>21698063</v>
      </c>
      <c r="O9" s="31">
        <v>2176081510</v>
      </c>
      <c r="P9" s="32">
        <f t="shared" si="0"/>
        <v>0.19844587288951082</v>
      </c>
      <c r="Q9" s="31">
        <v>2256655972</v>
      </c>
      <c r="R9" s="32">
        <f t="shared" si="1"/>
        <v>0.19576287217192773</v>
      </c>
      <c r="S9" s="131">
        <f t="shared" si="5"/>
        <v>3.7027317970272172E-2</v>
      </c>
      <c r="T9" s="33">
        <f t="shared" si="2"/>
        <v>2.4906862453733377E-3</v>
      </c>
      <c r="U9" s="33">
        <f t="shared" si="3"/>
        <v>5.2182414311754917E-2</v>
      </c>
      <c r="V9" s="34">
        <f t="shared" si="6"/>
        <v>15.280699970065035</v>
      </c>
      <c r="W9" s="34">
        <f t="shared" si="7"/>
        <v>0.79738381681155457</v>
      </c>
      <c r="X9" s="28">
        <v>15.19</v>
      </c>
      <c r="Y9" s="28">
        <v>15.65</v>
      </c>
      <c r="Z9" s="35">
        <v>12099</v>
      </c>
      <c r="AA9" s="39">
        <v>147680144</v>
      </c>
      <c r="AB9" s="5"/>
    </row>
    <row r="10" spans="1:28" ht="20.25" customHeight="1" x14ac:dyDescent="0.35">
      <c r="A10" s="52">
        <v>7</v>
      </c>
      <c r="B10" s="27" t="s">
        <v>11</v>
      </c>
      <c r="C10" s="27" t="s">
        <v>62</v>
      </c>
      <c r="D10" s="28">
        <v>180145979.25</v>
      </c>
      <c r="E10" s="28"/>
      <c r="F10" s="28">
        <v>28242253.32</v>
      </c>
      <c r="G10" s="28"/>
      <c r="H10" s="28"/>
      <c r="I10" s="28"/>
      <c r="J10" s="53">
        <v>204648340.78</v>
      </c>
      <c r="K10" s="28">
        <v>436368.77</v>
      </c>
      <c r="L10" s="37">
        <v>6919264.9400000004</v>
      </c>
      <c r="M10" s="28">
        <v>209500573.34999999</v>
      </c>
      <c r="N10" s="28">
        <v>4852232.57</v>
      </c>
      <c r="O10" s="31">
        <v>196039429.13</v>
      </c>
      <c r="P10" s="32">
        <f t="shared" si="0"/>
        <v>1.787764633617251E-2</v>
      </c>
      <c r="Q10" s="31">
        <v>204648340.78</v>
      </c>
      <c r="R10" s="32">
        <f t="shared" si="1"/>
        <v>1.775305916072184E-2</v>
      </c>
      <c r="S10" s="131">
        <f t="shared" si="5"/>
        <v>4.3914184448533372E-2</v>
      </c>
      <c r="T10" s="33">
        <f t="shared" si="2"/>
        <v>2.1322858926528161E-3</v>
      </c>
      <c r="U10" s="33">
        <f t="shared" si="3"/>
        <v>3.3810510818840761E-2</v>
      </c>
      <c r="V10" s="34">
        <f t="shared" si="6"/>
        <v>119.66360646171172</v>
      </c>
      <c r="W10" s="34">
        <f t="shared" si="7"/>
        <v>4.0458876608952075</v>
      </c>
      <c r="X10" s="28">
        <v>119.66</v>
      </c>
      <c r="Y10" s="28">
        <v>121.52</v>
      </c>
      <c r="Z10" s="35">
        <v>1381</v>
      </c>
      <c r="AA10" s="39">
        <v>1710197</v>
      </c>
      <c r="AB10" s="8"/>
    </row>
    <row r="11" spans="1:28" ht="16.5" x14ac:dyDescent="0.3">
      <c r="A11" s="25">
        <v>8</v>
      </c>
      <c r="B11" s="26" t="s">
        <v>12</v>
      </c>
      <c r="C11" s="27" t="s">
        <v>13</v>
      </c>
      <c r="D11" s="54">
        <v>199712389.09999999</v>
      </c>
      <c r="E11" s="38"/>
      <c r="F11" s="28">
        <v>38913903.729999997</v>
      </c>
      <c r="G11" s="38"/>
      <c r="H11" s="28"/>
      <c r="I11" s="28"/>
      <c r="J11" s="28">
        <v>238626292.83000001</v>
      </c>
      <c r="K11" s="28">
        <v>556964.88</v>
      </c>
      <c r="L11" s="37">
        <v>19738703.640000001</v>
      </c>
      <c r="M11" s="28">
        <v>241998646.31999999</v>
      </c>
      <c r="N11" s="28">
        <v>3424759.99</v>
      </c>
      <c r="O11" s="31">
        <v>227085148.75</v>
      </c>
      <c r="P11" s="32">
        <f t="shared" si="0"/>
        <v>2.0708833909414612E-2</v>
      </c>
      <c r="Q11" s="31">
        <v>238573886.00999999</v>
      </c>
      <c r="R11" s="32">
        <f t="shared" si="1"/>
        <v>2.0696069640222362E-2</v>
      </c>
      <c r="S11" s="131">
        <f t="shared" si="5"/>
        <v>5.0592199988595647E-2</v>
      </c>
      <c r="T11" s="33">
        <f t="shared" si="2"/>
        <v>2.3345592818849186E-3</v>
      </c>
      <c r="U11" s="33">
        <f t="shared" si="3"/>
        <v>8.2736228889580307E-2</v>
      </c>
      <c r="V11" s="34">
        <f t="shared" si="6"/>
        <v>8.3625298896773934</v>
      </c>
      <c r="W11" s="34">
        <f t="shared" si="7"/>
        <v>0.69188418704830557</v>
      </c>
      <c r="X11" s="28">
        <v>8.43</v>
      </c>
      <c r="Y11" s="28">
        <v>8.4499999999999993</v>
      </c>
      <c r="Z11" s="35">
        <v>124</v>
      </c>
      <c r="AA11" s="39">
        <v>28528912.800000001</v>
      </c>
    </row>
    <row r="12" spans="1:28" ht="16.5" x14ac:dyDescent="0.3">
      <c r="A12" s="25">
        <v>9</v>
      </c>
      <c r="B12" s="26" t="s">
        <v>1</v>
      </c>
      <c r="C12" s="53" t="s">
        <v>71</v>
      </c>
      <c r="D12" s="28">
        <v>247845480.44</v>
      </c>
      <c r="E12" s="28"/>
      <c r="F12" s="28">
        <v>91868571.829999998</v>
      </c>
      <c r="G12" s="28">
        <v>249023795.55000001</v>
      </c>
      <c r="H12" s="28"/>
      <c r="I12" s="28"/>
      <c r="J12" s="29">
        <v>340892367.38</v>
      </c>
      <c r="K12" s="28">
        <v>312072.19</v>
      </c>
      <c r="L12" s="37">
        <v>21862549.059999999</v>
      </c>
      <c r="M12" s="29">
        <v>342674340.38</v>
      </c>
      <c r="N12" s="29">
        <v>2334371.2999999998</v>
      </c>
      <c r="O12" s="31">
        <v>322424718.44999999</v>
      </c>
      <c r="P12" s="32">
        <f t="shared" si="0"/>
        <v>2.9403243582527848E-2</v>
      </c>
      <c r="Q12" s="31">
        <v>340339969.07999998</v>
      </c>
      <c r="R12" s="32">
        <f t="shared" si="1"/>
        <v>2.9524185648447557E-2</v>
      </c>
      <c r="S12" s="131">
        <f t="shared" si="5"/>
        <v>5.5564135144862359E-2</v>
      </c>
      <c r="T12" s="33">
        <f t="shared" si="2"/>
        <v>9.1694252321755545E-4</v>
      </c>
      <c r="U12" s="33">
        <f t="shared" si="3"/>
        <v>6.4237383340835313E-2</v>
      </c>
      <c r="V12" s="34">
        <f t="shared" si="6"/>
        <v>1993.0905859577929</v>
      </c>
      <c r="W12" s="34">
        <f t="shared" si="7"/>
        <v>128.03092400318084</v>
      </c>
      <c r="X12" s="29">
        <v>1978.66</v>
      </c>
      <c r="Y12" s="29">
        <v>2003.43</v>
      </c>
      <c r="Z12" s="35">
        <v>23</v>
      </c>
      <c r="AA12" s="39">
        <v>170759.91</v>
      </c>
    </row>
    <row r="13" spans="1:28" ht="16.5" x14ac:dyDescent="0.3">
      <c r="A13" s="25">
        <v>10</v>
      </c>
      <c r="B13" s="26" t="s">
        <v>26</v>
      </c>
      <c r="C13" s="41" t="s">
        <v>124</v>
      </c>
      <c r="D13" s="29">
        <v>194714226.09999999</v>
      </c>
      <c r="E13" s="28"/>
      <c r="F13" s="28">
        <v>54450910.289999999</v>
      </c>
      <c r="G13" s="28"/>
      <c r="H13" s="28"/>
      <c r="I13" s="28"/>
      <c r="J13" s="28">
        <v>249165136.38999999</v>
      </c>
      <c r="K13" s="28">
        <v>424635.5</v>
      </c>
      <c r="L13" s="37">
        <v>8932865.4499999993</v>
      </c>
      <c r="M13" s="29">
        <v>249220091.59</v>
      </c>
      <c r="N13" s="29">
        <v>3736484.95</v>
      </c>
      <c r="O13" s="31">
        <v>219179372.52000001</v>
      </c>
      <c r="P13" s="32">
        <f t="shared" si="0"/>
        <v>1.9987873477729547E-2</v>
      </c>
      <c r="Q13" s="31">
        <v>245483606.63999999</v>
      </c>
      <c r="R13" s="32">
        <f t="shared" si="1"/>
        <v>2.1295481678751036E-2</v>
      </c>
      <c r="S13" s="131">
        <f t="shared" si="5"/>
        <v>0.12001236164502536</v>
      </c>
      <c r="T13" s="33">
        <f t="shared" si="2"/>
        <v>1.7297916786057532E-3</v>
      </c>
      <c r="U13" s="33">
        <f t="shared" si="3"/>
        <v>3.6388847191331945E-2</v>
      </c>
      <c r="V13" s="34">
        <f t="shared" si="6"/>
        <v>0.92442619479316412</v>
      </c>
      <c r="W13" s="34">
        <f t="shared" si="7"/>
        <v>3.3638803541992911E-2</v>
      </c>
      <c r="X13" s="51">
        <v>0.89</v>
      </c>
      <c r="Y13" s="28">
        <v>0.92</v>
      </c>
      <c r="Z13" s="35">
        <v>92</v>
      </c>
      <c r="AA13" s="39">
        <v>265552412.97</v>
      </c>
    </row>
    <row r="14" spans="1:28" ht="16.5" x14ac:dyDescent="0.3">
      <c r="A14" s="25">
        <v>11</v>
      </c>
      <c r="B14" s="55" t="s">
        <v>76</v>
      </c>
      <c r="C14" s="56" t="s">
        <v>77</v>
      </c>
      <c r="D14" s="28">
        <v>110667500.7</v>
      </c>
      <c r="E14" s="28"/>
      <c r="F14" s="28">
        <v>12831656.359999999</v>
      </c>
      <c r="G14" s="28"/>
      <c r="H14" s="28"/>
      <c r="I14" s="28"/>
      <c r="J14" s="28">
        <v>123499157.06</v>
      </c>
      <c r="K14" s="28">
        <v>380300.29</v>
      </c>
      <c r="L14" s="37">
        <v>1081989.78</v>
      </c>
      <c r="M14" s="28">
        <v>147719319.19</v>
      </c>
      <c r="N14" s="28">
        <v>567379.87</v>
      </c>
      <c r="O14" s="31">
        <v>140992636.44</v>
      </c>
      <c r="P14" s="32">
        <f t="shared" si="0"/>
        <v>1.2857701644332821E-2</v>
      </c>
      <c r="Q14" s="31">
        <v>147151939.33000001</v>
      </c>
      <c r="R14" s="32">
        <f t="shared" si="1"/>
        <v>1.2765298143065849E-2</v>
      </c>
      <c r="S14" s="131">
        <f t="shared" si="5"/>
        <v>4.3685280632518225E-2</v>
      </c>
      <c r="T14" s="33">
        <f t="shared" si="2"/>
        <v>2.5844055588499322E-3</v>
      </c>
      <c r="U14" s="33">
        <f t="shared" si="3"/>
        <v>7.3528747560271789E-3</v>
      </c>
      <c r="V14" s="34">
        <f t="shared" si="6"/>
        <v>102.14600147475642</v>
      </c>
      <c r="W14" s="34">
        <f t="shared" si="7"/>
        <v>0.75106675567285142</v>
      </c>
      <c r="X14" s="28">
        <v>101.79</v>
      </c>
      <c r="Y14" s="28">
        <v>102.5</v>
      </c>
      <c r="Z14" s="35">
        <v>479</v>
      </c>
      <c r="AA14" s="57">
        <v>1440604.01</v>
      </c>
    </row>
    <row r="15" spans="1:28" ht="16.5" x14ac:dyDescent="0.3">
      <c r="A15" s="25">
        <v>12</v>
      </c>
      <c r="B15" s="55" t="s">
        <v>63</v>
      </c>
      <c r="C15" s="56" t="s">
        <v>139</v>
      </c>
      <c r="D15" s="28">
        <v>168840295.55000001</v>
      </c>
      <c r="E15" s="28"/>
      <c r="F15" s="28">
        <v>40489549.329999998</v>
      </c>
      <c r="G15" s="28"/>
      <c r="H15" s="28"/>
      <c r="I15" s="28"/>
      <c r="J15" s="28">
        <v>215772255.84</v>
      </c>
      <c r="K15" s="28">
        <v>809114.56</v>
      </c>
      <c r="L15" s="37">
        <v>619442.55000000005</v>
      </c>
      <c r="M15" s="28">
        <v>217482461.87</v>
      </c>
      <c r="N15" s="28">
        <v>215930.12</v>
      </c>
      <c r="O15" s="31">
        <v>200185603.44</v>
      </c>
      <c r="P15" s="32">
        <f t="shared" si="0"/>
        <v>1.8255753119543881E-2</v>
      </c>
      <c r="Q15" s="31">
        <v>215488416.78</v>
      </c>
      <c r="R15" s="32">
        <f t="shared" si="1"/>
        <v>1.8693425986083017E-2</v>
      </c>
      <c r="S15" s="131">
        <f t="shared" si="5"/>
        <v>7.6443126164097971E-2</v>
      </c>
      <c r="T15" s="33">
        <f t="shared" si="2"/>
        <v>3.7547937475732383E-3</v>
      </c>
      <c r="U15" s="33">
        <f t="shared" si="3"/>
        <v>2.8745978983752596E-3</v>
      </c>
      <c r="V15" s="34">
        <f t="shared" si="6"/>
        <v>1.1711955179813422</v>
      </c>
      <c r="W15" s="34">
        <f t="shared" si="7"/>
        <v>3.3667161745756899E-3</v>
      </c>
      <c r="X15" s="28">
        <v>1.1712</v>
      </c>
      <c r="Y15" s="28">
        <v>1.1819999999999999</v>
      </c>
      <c r="Z15" s="35">
        <v>11</v>
      </c>
      <c r="AA15" s="39">
        <v>183990131</v>
      </c>
    </row>
    <row r="16" spans="1:28" ht="18" customHeight="1" x14ac:dyDescent="0.3">
      <c r="A16" s="25">
        <v>13</v>
      </c>
      <c r="B16" s="58" t="s">
        <v>147</v>
      </c>
      <c r="C16" s="58" t="s">
        <v>148</v>
      </c>
      <c r="D16" s="59">
        <v>1705425.46</v>
      </c>
      <c r="E16" s="59"/>
      <c r="F16" s="59"/>
      <c r="G16" s="59"/>
      <c r="H16" s="59"/>
      <c r="I16" s="59"/>
      <c r="J16" s="59">
        <v>1705435.46</v>
      </c>
      <c r="K16" s="59"/>
      <c r="L16" s="60">
        <v>0</v>
      </c>
      <c r="M16" s="59">
        <v>3349445.32</v>
      </c>
      <c r="N16" s="59">
        <v>0</v>
      </c>
      <c r="O16" s="61">
        <v>4251345.7</v>
      </c>
      <c r="P16" s="62">
        <f t="shared" si="0"/>
        <v>3.8769779740078228E-4</v>
      </c>
      <c r="Q16" s="61">
        <v>3349445.32</v>
      </c>
      <c r="R16" s="62">
        <f t="shared" si="1"/>
        <v>2.9056136343409884E-4</v>
      </c>
      <c r="S16" s="131">
        <f t="shared" si="5"/>
        <v>-0.21214468162398561</v>
      </c>
      <c r="T16" s="63">
        <f t="shared" si="2"/>
        <v>0</v>
      </c>
      <c r="U16" s="33">
        <f t="shared" si="3"/>
        <v>0</v>
      </c>
      <c r="V16" s="34">
        <f t="shared" si="6"/>
        <v>0.84748882141592019</v>
      </c>
      <c r="W16" s="34">
        <f t="shared" si="7"/>
        <v>0</v>
      </c>
      <c r="X16" s="59">
        <v>0.85</v>
      </c>
      <c r="Y16" s="59">
        <v>0.91</v>
      </c>
      <c r="Z16" s="64">
        <v>2405</v>
      </c>
      <c r="AA16" s="65">
        <v>3952200</v>
      </c>
    </row>
    <row r="17" spans="1:29" ht="16.5" x14ac:dyDescent="0.3">
      <c r="A17" s="40">
        <v>14</v>
      </c>
      <c r="B17" s="66" t="s">
        <v>154</v>
      </c>
      <c r="C17" s="42" t="s">
        <v>155</v>
      </c>
      <c r="D17" s="41">
        <v>231617596.94999999</v>
      </c>
      <c r="E17" s="41"/>
      <c r="F17" s="41">
        <v>71586001.989999995</v>
      </c>
      <c r="G17" s="41"/>
      <c r="H17" s="41"/>
      <c r="I17" s="41"/>
      <c r="J17" s="41">
        <v>308740105.33999997</v>
      </c>
      <c r="K17" s="41">
        <v>419939.63</v>
      </c>
      <c r="L17" s="67">
        <v>1687991.05</v>
      </c>
      <c r="M17" s="41">
        <v>311941744.51999998</v>
      </c>
      <c r="N17" s="41">
        <v>1459279.16</v>
      </c>
      <c r="O17" s="68">
        <v>288949106.99000001</v>
      </c>
      <c r="P17" s="69">
        <f t="shared" si="0"/>
        <v>2.6350464122676727E-2</v>
      </c>
      <c r="Q17" s="68">
        <v>310482465.36000001</v>
      </c>
      <c r="R17" s="69">
        <f t="shared" si="1"/>
        <v>2.6934074104360054E-2</v>
      </c>
      <c r="S17" s="131">
        <f t="shared" si="5"/>
        <v>7.4523014084778724E-2</v>
      </c>
      <c r="T17" s="70">
        <f t="shared" si="2"/>
        <v>1.3525389574354416E-3</v>
      </c>
      <c r="U17" s="33">
        <f t="shared" si="3"/>
        <v>5.436671111338923E-3</v>
      </c>
      <c r="V17" s="34">
        <f t="shared" si="6"/>
        <v>106.36644699949824</v>
      </c>
      <c r="W17" s="34">
        <f t="shared" si="7"/>
        <v>0.57827938961793479</v>
      </c>
      <c r="X17" s="41">
        <v>106.37</v>
      </c>
      <c r="Y17" s="41">
        <v>106.74</v>
      </c>
      <c r="Z17" s="71">
        <v>98</v>
      </c>
      <c r="AA17" s="72">
        <v>2918988.78</v>
      </c>
    </row>
    <row r="18" spans="1:29" ht="16.5" x14ac:dyDescent="0.3">
      <c r="A18" s="73"/>
      <c r="B18" s="74"/>
      <c r="C18" s="75" t="s">
        <v>59</v>
      </c>
      <c r="D18" s="28"/>
      <c r="E18" s="28"/>
      <c r="F18" s="28"/>
      <c r="G18" s="28"/>
      <c r="H18" s="28"/>
      <c r="I18" s="28"/>
      <c r="J18" s="28"/>
      <c r="K18" s="28"/>
      <c r="L18" s="37"/>
      <c r="M18" s="28"/>
      <c r="N18" s="28"/>
      <c r="O18" s="76">
        <f>SUM(O4:O17)</f>
        <v>10965617366.160002</v>
      </c>
      <c r="P18" s="77">
        <f>(O18/$O$118)</f>
        <v>8.2334381199444615E-3</v>
      </c>
      <c r="Q18" s="76">
        <f>SUM(Q4:Q17)</f>
        <v>11527497257.080002</v>
      </c>
      <c r="R18" s="77">
        <f>(Q18/$Q$118)</f>
        <v>8.4057251608754824E-3</v>
      </c>
      <c r="S18" s="131">
        <f t="shared" si="5"/>
        <v>5.1240151115792776E-2</v>
      </c>
      <c r="T18" s="33"/>
      <c r="U18" s="33"/>
      <c r="V18" s="34"/>
      <c r="W18" s="34"/>
      <c r="X18" s="28"/>
      <c r="Y18" s="28"/>
      <c r="Z18" s="78">
        <f>SUM(Z4:Z17)</f>
        <v>55969</v>
      </c>
      <c r="AA18" s="39"/>
      <c r="AB18" s="9"/>
      <c r="AC18" s="9"/>
    </row>
    <row r="19" spans="1:29" ht="15.75" customHeight="1" x14ac:dyDescent="0.3">
      <c r="A19" s="79"/>
      <c r="B19" s="23"/>
      <c r="C19" s="23" t="s">
        <v>161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131"/>
      <c r="T19" s="23"/>
      <c r="U19" s="23"/>
      <c r="V19" s="23"/>
      <c r="W19" s="23"/>
      <c r="X19" s="23"/>
      <c r="Y19" s="23"/>
      <c r="Z19" s="23"/>
      <c r="AA19" s="24"/>
      <c r="AB19" s="9"/>
      <c r="AC19" s="9"/>
    </row>
    <row r="20" spans="1:29" ht="18" x14ac:dyDescent="0.35">
      <c r="A20" s="25">
        <v>15</v>
      </c>
      <c r="B20" s="26" t="s">
        <v>1</v>
      </c>
      <c r="C20" s="27" t="s">
        <v>14</v>
      </c>
      <c r="D20" s="28"/>
      <c r="E20" s="28"/>
      <c r="F20" s="28">
        <v>306698030097.66998</v>
      </c>
      <c r="G20" s="28">
        <v>17544997617.799999</v>
      </c>
      <c r="H20" s="28"/>
      <c r="I20" s="28"/>
      <c r="J20" s="28">
        <v>324243027715.46997</v>
      </c>
      <c r="K20" s="28">
        <v>460905674.41000003</v>
      </c>
      <c r="L20" s="37">
        <v>949135963.39999998</v>
      </c>
      <c r="M20" s="28">
        <v>328407316269.88</v>
      </c>
      <c r="N20" s="28">
        <v>1449957468.6500001</v>
      </c>
      <c r="O20" s="31">
        <v>325575162525.96002</v>
      </c>
      <c r="P20" s="32">
        <f t="shared" ref="P20:P42" si="8">(O20/$O$43)</f>
        <v>0.4053996627685954</v>
      </c>
      <c r="Q20" s="31">
        <v>324559165106.52002</v>
      </c>
      <c r="R20" s="32">
        <f t="shared" ref="R20:R42" si="9">(Q20/$Q$43)</f>
        <v>0.40779683756498109</v>
      </c>
      <c r="S20" s="131">
        <f t="shared" si="5"/>
        <v>-3.1206232427481041E-3</v>
      </c>
      <c r="T20" s="33">
        <f t="shared" ref="T20:T26" si="10">(K20/Q20)</f>
        <v>1.4200975475726627E-3</v>
      </c>
      <c r="U20" s="33">
        <f t="shared" ref="U20:U42" si="11">L20/Q20</f>
        <v>2.9243850288082126E-3</v>
      </c>
      <c r="V20" s="34">
        <f t="shared" ref="V20:V45" si="12">Q20/AA20</f>
        <v>103.91940339359074</v>
      </c>
      <c r="W20" s="34">
        <f t="shared" ref="W20" si="13">L20/AA20</f>
        <v>0.30390034748689815</v>
      </c>
      <c r="X20" s="28">
        <v>100</v>
      </c>
      <c r="Y20" s="28">
        <v>100</v>
      </c>
      <c r="Z20" s="35">
        <v>103592</v>
      </c>
      <c r="AA20" s="39">
        <v>3123181566.75</v>
      </c>
      <c r="AB20" s="6"/>
      <c r="AC20" s="9"/>
    </row>
    <row r="21" spans="1:29" ht="18" x14ac:dyDescent="0.35">
      <c r="A21" s="25">
        <v>16</v>
      </c>
      <c r="B21" s="26" t="s">
        <v>38</v>
      </c>
      <c r="C21" s="27" t="s">
        <v>15</v>
      </c>
      <c r="D21" s="28"/>
      <c r="E21" s="28"/>
      <c r="F21" s="28">
        <v>225724104461.42001</v>
      </c>
      <c r="G21" s="28"/>
      <c r="H21" s="28"/>
      <c r="I21" s="28"/>
      <c r="J21" s="28">
        <v>222491935507.59</v>
      </c>
      <c r="K21" s="28">
        <v>266071924.31</v>
      </c>
      <c r="L21" s="37">
        <v>827899687.23000002</v>
      </c>
      <c r="M21" s="28">
        <v>225535686582.54999</v>
      </c>
      <c r="N21" s="28">
        <v>3043751074.9699998</v>
      </c>
      <c r="O21" s="31">
        <v>223053207817.10999</v>
      </c>
      <c r="P21" s="32">
        <f t="shared" si="8"/>
        <v>0.2777413809055525</v>
      </c>
      <c r="Q21" s="31">
        <v>222491935507.59</v>
      </c>
      <c r="R21" s="32">
        <f t="shared" si="9"/>
        <v>0.2795530597754925</v>
      </c>
      <c r="S21" s="131">
        <f t="shared" si="5"/>
        <v>-2.5163157930470025E-3</v>
      </c>
      <c r="T21" s="33">
        <f t="shared" si="10"/>
        <v>1.1958722175839194E-3</v>
      </c>
      <c r="U21" s="33">
        <f t="shared" si="11"/>
        <v>3.7210323391777831E-3</v>
      </c>
      <c r="V21" s="34">
        <f t="shared" ref="V21:V42" si="14">Q21/AA21</f>
        <v>100.01144779607415</v>
      </c>
      <c r="W21" s="34">
        <f t="shared" ref="W21:W42" si="15">L21/AA21</f>
        <v>0.3721458315371825</v>
      </c>
      <c r="X21" s="28">
        <v>100</v>
      </c>
      <c r="Y21" s="28">
        <v>100</v>
      </c>
      <c r="Z21" s="35">
        <v>22928</v>
      </c>
      <c r="AA21" s="39">
        <v>2224664680</v>
      </c>
      <c r="AB21" s="6"/>
      <c r="AC21" s="9"/>
    </row>
    <row r="22" spans="1:29" ht="18" x14ac:dyDescent="0.35">
      <c r="A22" s="25">
        <v>17</v>
      </c>
      <c r="B22" s="26" t="s">
        <v>8</v>
      </c>
      <c r="C22" s="27" t="s">
        <v>113</v>
      </c>
      <c r="D22" s="28"/>
      <c r="E22" s="28"/>
      <c r="F22" s="28">
        <v>8543459019</v>
      </c>
      <c r="G22" s="28"/>
      <c r="H22" s="38"/>
      <c r="I22" s="28"/>
      <c r="J22" s="28">
        <v>8543459019</v>
      </c>
      <c r="K22" s="28">
        <v>16764601</v>
      </c>
      <c r="L22" s="37">
        <v>68506170</v>
      </c>
      <c r="M22" s="28">
        <v>19294651597.540001</v>
      </c>
      <c r="N22" s="28">
        <v>330049306.81999999</v>
      </c>
      <c r="O22" s="31">
        <v>20698702024</v>
      </c>
      <c r="P22" s="32">
        <f t="shared" si="8"/>
        <v>2.5773608635173945E-2</v>
      </c>
      <c r="Q22" s="31">
        <v>18964602291</v>
      </c>
      <c r="R22" s="32">
        <f t="shared" si="9"/>
        <v>2.3828336005884167E-2</v>
      </c>
      <c r="S22" s="131">
        <f t="shared" si="5"/>
        <v>-8.3778187201754173E-2</v>
      </c>
      <c r="T22" s="33">
        <f t="shared" si="10"/>
        <v>8.8399433548658961E-4</v>
      </c>
      <c r="U22" s="33">
        <f t="shared" si="11"/>
        <v>3.612317777552913E-3</v>
      </c>
      <c r="V22" s="34">
        <f t="shared" si="14"/>
        <v>1.0912766404690519</v>
      </c>
      <c r="W22" s="34">
        <f t="shared" si="15"/>
        <v>3.9420380085945748E-3</v>
      </c>
      <c r="X22" s="28">
        <v>1</v>
      </c>
      <c r="Y22" s="28">
        <v>1</v>
      </c>
      <c r="Z22" s="35">
        <v>6615</v>
      </c>
      <c r="AA22" s="39">
        <v>17378363641</v>
      </c>
      <c r="AB22" s="6"/>
      <c r="AC22" s="9"/>
    </row>
    <row r="23" spans="1:29" ht="18" x14ac:dyDescent="0.35">
      <c r="A23" s="25">
        <v>18</v>
      </c>
      <c r="B23" s="26" t="s">
        <v>16</v>
      </c>
      <c r="C23" s="27" t="s">
        <v>173</v>
      </c>
      <c r="D23" s="28"/>
      <c r="E23" s="28"/>
      <c r="F23" s="28">
        <v>912710575.59000003</v>
      </c>
      <c r="G23" s="28"/>
      <c r="H23" s="28"/>
      <c r="I23" s="28"/>
      <c r="J23" s="28">
        <v>913283016.95000005</v>
      </c>
      <c r="K23" s="28">
        <v>1838494.87</v>
      </c>
      <c r="L23" s="37">
        <v>6275494.4000000004</v>
      </c>
      <c r="M23" s="28">
        <v>913283016.95000005</v>
      </c>
      <c r="N23" s="28">
        <v>38081738.619999997</v>
      </c>
      <c r="O23" s="31">
        <v>890232184.90999997</v>
      </c>
      <c r="P23" s="32">
        <f t="shared" si="8"/>
        <v>1.1084992624997528E-3</v>
      </c>
      <c r="Q23" s="31">
        <v>875201278.33000004</v>
      </c>
      <c r="R23" s="32">
        <f t="shared" si="9"/>
        <v>1.0996587122063467E-3</v>
      </c>
      <c r="S23" s="131">
        <f t="shared" si="5"/>
        <v>-1.6884254281953989E-2</v>
      </c>
      <c r="T23" s="33">
        <f t="shared" si="10"/>
        <v>2.1006537759040889E-3</v>
      </c>
      <c r="U23" s="33">
        <f t="shared" si="11"/>
        <v>7.1703441886813452E-3</v>
      </c>
      <c r="V23" s="34">
        <f t="shared" si="14"/>
        <v>100.9356711900482</v>
      </c>
      <c r="W23" s="34">
        <f t="shared" si="15"/>
        <v>0.72374350334821314</v>
      </c>
      <c r="X23" s="28">
        <v>100</v>
      </c>
      <c r="Y23" s="28">
        <v>100</v>
      </c>
      <c r="Z23" s="35">
        <v>716</v>
      </c>
      <c r="AA23" s="39">
        <v>8670881.8399999999</v>
      </c>
      <c r="AB23" s="6"/>
      <c r="AC23" s="9"/>
    </row>
    <row r="24" spans="1:29" ht="18" x14ac:dyDescent="0.35">
      <c r="A24" s="25">
        <v>19</v>
      </c>
      <c r="B24" s="38" t="s">
        <v>61</v>
      </c>
      <c r="C24" s="27" t="s">
        <v>17</v>
      </c>
      <c r="D24" s="28"/>
      <c r="E24" s="28"/>
      <c r="F24" s="28">
        <v>35870531171.489998</v>
      </c>
      <c r="G24" s="28"/>
      <c r="H24" s="28"/>
      <c r="I24" s="28"/>
      <c r="J24" s="28">
        <v>35870531171.489998</v>
      </c>
      <c r="K24" s="28">
        <v>139701894.44999999</v>
      </c>
      <c r="L24" s="37">
        <v>313370845.60000002</v>
      </c>
      <c r="M24" s="28">
        <v>93125368421</v>
      </c>
      <c r="N24" s="28">
        <v>479262489</v>
      </c>
      <c r="O24" s="31">
        <v>93228957745</v>
      </c>
      <c r="P24" s="32">
        <f t="shared" si="8"/>
        <v>0.1160868284203867</v>
      </c>
      <c r="Q24" s="31">
        <v>92646105932</v>
      </c>
      <c r="R24" s="32">
        <f t="shared" si="9"/>
        <v>0.1164064770729251</v>
      </c>
      <c r="S24" s="131">
        <f t="shared" si="5"/>
        <v>-6.2518323394134389E-3</v>
      </c>
      <c r="T24" s="33">
        <f t="shared" si="10"/>
        <v>1.5079089730175793E-3</v>
      </c>
      <c r="U24" s="33">
        <f t="shared" si="11"/>
        <v>3.3824502654219127E-3</v>
      </c>
      <c r="V24" s="34">
        <f t="shared" si="14"/>
        <v>1</v>
      </c>
      <c r="W24" s="34">
        <f t="shared" si="15"/>
        <v>3.3824502654219127E-3</v>
      </c>
      <c r="X24" s="28">
        <v>1</v>
      </c>
      <c r="Y24" s="28">
        <v>1</v>
      </c>
      <c r="Z24" s="35">
        <v>74572</v>
      </c>
      <c r="AA24" s="39">
        <v>92646105932</v>
      </c>
      <c r="AB24" s="6"/>
      <c r="AC24" s="9"/>
    </row>
    <row r="25" spans="1:29" ht="18" x14ac:dyDescent="0.35">
      <c r="A25" s="25">
        <v>20</v>
      </c>
      <c r="B25" s="26" t="s">
        <v>12</v>
      </c>
      <c r="C25" s="27" t="s">
        <v>18</v>
      </c>
      <c r="D25" s="28"/>
      <c r="E25" s="28"/>
      <c r="F25" s="28">
        <v>1218225277.26</v>
      </c>
      <c r="G25" s="28"/>
      <c r="H25" s="28"/>
      <c r="I25" s="28"/>
      <c r="J25" s="28">
        <v>1254225277.26</v>
      </c>
      <c r="K25" s="28">
        <v>1812400.22</v>
      </c>
      <c r="L25" s="37">
        <v>5013529.3899999997</v>
      </c>
      <c r="M25" s="28">
        <v>1274669741.03</v>
      </c>
      <c r="N25" s="28">
        <v>7720117.5</v>
      </c>
      <c r="O25" s="31">
        <v>1265842918.6300001</v>
      </c>
      <c r="P25" s="32">
        <f t="shared" si="8"/>
        <v>1.5762022150252275E-3</v>
      </c>
      <c r="Q25" s="31">
        <v>1267449623.53</v>
      </c>
      <c r="R25" s="32">
        <f t="shared" si="9"/>
        <v>1.5925045533033283E-3</v>
      </c>
      <c r="S25" s="131">
        <f t="shared" si="5"/>
        <v>1.2692766822432959E-3</v>
      </c>
      <c r="T25" s="33">
        <f t="shared" si="10"/>
        <v>1.4299583875785507E-3</v>
      </c>
      <c r="U25" s="33">
        <f t="shared" si="11"/>
        <v>3.9556044650017061E-3</v>
      </c>
      <c r="V25" s="34">
        <f t="shared" si="14"/>
        <v>9.8383643790533277</v>
      </c>
      <c r="W25" s="34">
        <f t="shared" si="15"/>
        <v>3.8916678066097082E-2</v>
      </c>
      <c r="X25" s="28">
        <v>10</v>
      </c>
      <c r="Y25" s="28">
        <v>10</v>
      </c>
      <c r="Z25" s="35">
        <v>1168</v>
      </c>
      <c r="AA25" s="39">
        <v>128827269.93000001</v>
      </c>
      <c r="AB25" s="6"/>
      <c r="AC25" s="9"/>
    </row>
    <row r="26" spans="1:29" ht="18" x14ac:dyDescent="0.35">
      <c r="A26" s="25">
        <v>21</v>
      </c>
      <c r="B26" s="26" t="s">
        <v>73</v>
      </c>
      <c r="C26" s="27" t="s">
        <v>74</v>
      </c>
      <c r="D26" s="28"/>
      <c r="E26" s="28"/>
      <c r="F26" s="28">
        <v>5717437435.9300003</v>
      </c>
      <c r="G26" s="28"/>
      <c r="H26" s="28"/>
      <c r="I26" s="28"/>
      <c r="J26" s="28">
        <v>5717437435.9300003</v>
      </c>
      <c r="K26" s="54">
        <v>8409878.1500000004</v>
      </c>
      <c r="L26" s="37">
        <v>32020117.850000001</v>
      </c>
      <c r="M26" s="28">
        <v>9376436448.7600002</v>
      </c>
      <c r="N26" s="45">
        <v>137443819.53</v>
      </c>
      <c r="O26" s="31">
        <v>8928055963.8600006</v>
      </c>
      <c r="P26" s="32">
        <f t="shared" si="8"/>
        <v>1.1117036228583293E-2</v>
      </c>
      <c r="Q26" s="31">
        <v>9238992629.2299995</v>
      </c>
      <c r="R26" s="32">
        <f t="shared" si="9"/>
        <v>1.160845966327782E-2</v>
      </c>
      <c r="S26" s="131">
        <f t="shared" si="5"/>
        <v>3.4826917150681369E-2</v>
      </c>
      <c r="T26" s="33">
        <f t="shared" si="10"/>
        <v>9.1025921196139111E-4</v>
      </c>
      <c r="U26" s="33">
        <f t="shared" si="11"/>
        <v>3.4657585664367649E-3</v>
      </c>
      <c r="V26" s="34">
        <f t="shared" si="14"/>
        <v>99.567781607903157</v>
      </c>
      <c r="W26" s="34">
        <f t="shared" si="15"/>
        <v>0.34507789204869532</v>
      </c>
      <c r="X26" s="28">
        <v>100</v>
      </c>
      <c r="Y26" s="28">
        <v>100</v>
      </c>
      <c r="Z26" s="35">
        <v>4635</v>
      </c>
      <c r="AA26" s="39">
        <v>92790986</v>
      </c>
      <c r="AB26" s="6"/>
      <c r="AC26" s="9"/>
    </row>
    <row r="27" spans="1:29" s="7" customFormat="1" ht="18" x14ac:dyDescent="0.35">
      <c r="A27" s="25">
        <v>22</v>
      </c>
      <c r="B27" s="66" t="s">
        <v>78</v>
      </c>
      <c r="C27" s="42" t="s">
        <v>131</v>
      </c>
      <c r="D27" s="45"/>
      <c r="E27" s="45"/>
      <c r="F27" s="45">
        <v>12320573339.73</v>
      </c>
      <c r="G27" s="45"/>
      <c r="H27" s="45"/>
      <c r="I27" s="45"/>
      <c r="J27" s="45">
        <v>12320573339.73</v>
      </c>
      <c r="K27" s="45">
        <v>38965187.490000002</v>
      </c>
      <c r="L27" s="37">
        <v>111974327.88</v>
      </c>
      <c r="M27" s="45">
        <v>34015095890.880001</v>
      </c>
      <c r="N27" s="45">
        <v>121704363.03</v>
      </c>
      <c r="O27" s="31">
        <v>34595921013.940002</v>
      </c>
      <c r="P27" s="32">
        <f t="shared" si="8"/>
        <v>4.3078147004232646E-2</v>
      </c>
      <c r="Q27" s="31">
        <v>33893391527.860001</v>
      </c>
      <c r="R27" s="32">
        <f t="shared" si="9"/>
        <v>4.2585819059759993E-2</v>
      </c>
      <c r="S27" s="131">
        <f t="shared" si="5"/>
        <v>-2.0306714360832485E-2</v>
      </c>
      <c r="T27" s="33">
        <f t="shared" ref="T27:T42" si="16">(K27/Q27)</f>
        <v>1.1496396711427076E-3</v>
      </c>
      <c r="U27" s="33">
        <f t="shared" si="11"/>
        <v>3.30372154666075E-3</v>
      </c>
      <c r="V27" s="34">
        <f t="shared" si="14"/>
        <v>1.0114993970365516</v>
      </c>
      <c r="W27" s="34">
        <f t="shared" si="15"/>
        <v>3.3417123524240116E-3</v>
      </c>
      <c r="X27" s="45">
        <v>1</v>
      </c>
      <c r="Y27" s="45">
        <v>1</v>
      </c>
      <c r="Z27" s="21">
        <v>17021</v>
      </c>
      <c r="AA27" s="80">
        <v>33508068939.200001</v>
      </c>
      <c r="AB27" s="6"/>
      <c r="AC27" s="9"/>
    </row>
    <row r="28" spans="1:29" ht="18" x14ac:dyDescent="0.35">
      <c r="A28" s="25">
        <v>23</v>
      </c>
      <c r="B28" s="28" t="s">
        <v>63</v>
      </c>
      <c r="C28" s="53" t="s">
        <v>79</v>
      </c>
      <c r="D28" s="38"/>
      <c r="E28" s="28"/>
      <c r="F28" s="28">
        <v>1068752445.48</v>
      </c>
      <c r="G28" s="28"/>
      <c r="H28" s="38"/>
      <c r="I28" s="28"/>
      <c r="J28" s="28">
        <v>1068752445.48</v>
      </c>
      <c r="K28" s="28">
        <v>1589061.84</v>
      </c>
      <c r="L28" s="37">
        <v>1997980.76</v>
      </c>
      <c r="M28" s="28">
        <v>1086990531.5899999</v>
      </c>
      <c r="N28" s="28">
        <v>967714.9</v>
      </c>
      <c r="O28" s="31">
        <v>942734032.62</v>
      </c>
      <c r="P28" s="32">
        <f t="shared" si="8"/>
        <v>1.1738735103116234E-3</v>
      </c>
      <c r="Q28" s="31">
        <v>1080354949.6600001</v>
      </c>
      <c r="R28" s="32">
        <f t="shared" si="9"/>
        <v>1.3574268709202195E-3</v>
      </c>
      <c r="S28" s="131">
        <f t="shared" si="5"/>
        <v>0.14598063958456109</v>
      </c>
      <c r="T28" s="33">
        <f t="shared" si="16"/>
        <v>1.4708701436505621E-3</v>
      </c>
      <c r="U28" s="33">
        <f t="shared" si="11"/>
        <v>1.8493743751799231E-3</v>
      </c>
      <c r="V28" s="34">
        <f t="shared" si="14"/>
        <v>10.057578871686978</v>
      </c>
      <c r="W28" s="34">
        <f t="shared" si="15"/>
        <v>1.8600228641648901E-2</v>
      </c>
      <c r="X28" s="28">
        <v>10</v>
      </c>
      <c r="Y28" s="28">
        <v>10</v>
      </c>
      <c r="Z28" s="35">
        <v>311</v>
      </c>
      <c r="AA28" s="39">
        <v>107417000</v>
      </c>
      <c r="AB28" s="6"/>
      <c r="AC28" s="9"/>
    </row>
    <row r="29" spans="1:29" ht="18" x14ac:dyDescent="0.35">
      <c r="A29" s="25">
        <v>24</v>
      </c>
      <c r="B29" s="28" t="s">
        <v>6</v>
      </c>
      <c r="C29" s="53" t="s">
        <v>95</v>
      </c>
      <c r="D29" s="28"/>
      <c r="E29" s="28"/>
      <c r="F29" s="28">
        <v>2988611104.4699998</v>
      </c>
      <c r="G29" s="28"/>
      <c r="H29" s="28"/>
      <c r="I29" s="28"/>
      <c r="J29" s="28">
        <v>3006261379.04</v>
      </c>
      <c r="K29" s="28">
        <v>4186516.27</v>
      </c>
      <c r="L29" s="37">
        <v>8563253.3100000005</v>
      </c>
      <c r="M29" s="28">
        <v>3006261379.04</v>
      </c>
      <c r="N29" s="28">
        <v>36015145.079999998</v>
      </c>
      <c r="O29" s="31">
        <v>3050569352.9299998</v>
      </c>
      <c r="P29" s="32">
        <f t="shared" si="8"/>
        <v>3.7985077772369228E-3</v>
      </c>
      <c r="Q29" s="31">
        <v>2968264181.3200002</v>
      </c>
      <c r="R29" s="32">
        <f t="shared" si="9"/>
        <v>3.72951645288598E-3</v>
      </c>
      <c r="S29" s="131">
        <f t="shared" si="5"/>
        <v>-2.6980265677601291E-2</v>
      </c>
      <c r="T29" s="33">
        <f t="shared" si="16"/>
        <v>1.4104257620823487E-3</v>
      </c>
      <c r="U29" s="33">
        <f t="shared" si="11"/>
        <v>2.8849363759097359E-3</v>
      </c>
      <c r="V29" s="34">
        <f t="shared" si="14"/>
        <v>99.999998899019843</v>
      </c>
      <c r="W29" s="34">
        <f t="shared" si="15"/>
        <v>0.28849363441471587</v>
      </c>
      <c r="X29" s="28">
        <v>100</v>
      </c>
      <c r="Y29" s="28">
        <v>100</v>
      </c>
      <c r="Z29" s="35">
        <v>821</v>
      </c>
      <c r="AA29" s="39">
        <v>29682642.140000001</v>
      </c>
      <c r="AB29" s="6"/>
      <c r="AC29" s="9"/>
    </row>
    <row r="30" spans="1:29" ht="16.5" x14ac:dyDescent="0.3">
      <c r="A30" s="25">
        <v>25</v>
      </c>
      <c r="B30" s="26" t="s">
        <v>26</v>
      </c>
      <c r="C30" s="27" t="s">
        <v>83</v>
      </c>
      <c r="D30" s="28"/>
      <c r="E30" s="28"/>
      <c r="F30" s="28">
        <v>11272941842.870001</v>
      </c>
      <c r="G30" s="28"/>
      <c r="H30" s="28"/>
      <c r="I30" s="28"/>
      <c r="J30" s="28">
        <v>11272941842.870001</v>
      </c>
      <c r="K30" s="81">
        <v>15284793.060000001</v>
      </c>
      <c r="L30" s="37">
        <v>31517119.469999999</v>
      </c>
      <c r="M30" s="28">
        <v>11402018014.48</v>
      </c>
      <c r="N30" s="28">
        <v>188725424.38</v>
      </c>
      <c r="O30" s="31">
        <v>10904866807.030001</v>
      </c>
      <c r="P30" s="32">
        <f t="shared" si="8"/>
        <v>1.3578521444349777E-2</v>
      </c>
      <c r="Q30" s="31">
        <v>11213292590.1</v>
      </c>
      <c r="R30" s="32">
        <f t="shared" si="9"/>
        <v>1.4089096067993783E-2</v>
      </c>
      <c r="S30" s="131">
        <f t="shared" si="5"/>
        <v>2.8283315012262961E-2</v>
      </c>
      <c r="T30" s="33">
        <f t="shared" si="16"/>
        <v>1.3630958915220538E-3</v>
      </c>
      <c r="U30" s="33">
        <f t="shared" si="11"/>
        <v>2.8106926860916709E-3</v>
      </c>
      <c r="V30" s="34">
        <f t="shared" si="14"/>
        <v>94.372198306153194</v>
      </c>
      <c r="W30" s="34">
        <f t="shared" si="15"/>
        <v>0.26525124754949758</v>
      </c>
      <c r="X30" s="28">
        <v>100</v>
      </c>
      <c r="Y30" s="28">
        <v>100</v>
      </c>
      <c r="Z30" s="35">
        <v>5620</v>
      </c>
      <c r="AA30" s="39">
        <v>118819872.70999999</v>
      </c>
    </row>
    <row r="31" spans="1:29" ht="16.5" x14ac:dyDescent="0.3">
      <c r="A31" s="25">
        <v>26</v>
      </c>
      <c r="B31" s="26" t="s">
        <v>84</v>
      </c>
      <c r="C31" s="27" t="s">
        <v>85</v>
      </c>
      <c r="D31" s="28"/>
      <c r="E31" s="28"/>
      <c r="F31" s="81">
        <v>8615659670.4899998</v>
      </c>
      <c r="G31" s="28">
        <v>170727731.24000001</v>
      </c>
      <c r="H31" s="28"/>
      <c r="I31" s="28"/>
      <c r="J31" s="28">
        <v>14478895169.030001</v>
      </c>
      <c r="K31" s="28">
        <v>12876272.439999999</v>
      </c>
      <c r="L31" s="37">
        <v>47263487.530000001</v>
      </c>
      <c r="M31" s="28">
        <v>14478895169.030001</v>
      </c>
      <c r="N31" s="28">
        <v>114298797.25</v>
      </c>
      <c r="O31" s="31">
        <v>14042116519.42</v>
      </c>
      <c r="P31" s="32">
        <f t="shared" si="8"/>
        <v>1.7484961866758741E-2</v>
      </c>
      <c r="Q31" s="31">
        <v>14364508807.43</v>
      </c>
      <c r="R31" s="32">
        <f t="shared" si="9"/>
        <v>1.8048485128810788E-2</v>
      </c>
      <c r="S31" s="131">
        <f t="shared" si="5"/>
        <v>2.2958952631117777E-2</v>
      </c>
      <c r="T31" s="33">
        <f t="shared" si="16"/>
        <v>8.9639490027948498E-4</v>
      </c>
      <c r="U31" s="33">
        <f t="shared" si="11"/>
        <v>3.2902961154893857E-3</v>
      </c>
      <c r="V31" s="34">
        <f t="shared" si="14"/>
        <v>99.794574596751346</v>
      </c>
      <c r="W31" s="34">
        <f t="shared" si="15"/>
        <v>0.3283537011426067</v>
      </c>
      <c r="X31" s="28">
        <v>100</v>
      </c>
      <c r="Y31" s="28">
        <v>100</v>
      </c>
      <c r="Z31" s="35">
        <v>2367</v>
      </c>
      <c r="AA31" s="39">
        <v>143940779</v>
      </c>
    </row>
    <row r="32" spans="1:29" ht="16.5" x14ac:dyDescent="0.3">
      <c r="A32" s="25">
        <v>27</v>
      </c>
      <c r="B32" s="26" t="s">
        <v>84</v>
      </c>
      <c r="C32" s="27" t="s">
        <v>94</v>
      </c>
      <c r="D32" s="28"/>
      <c r="E32" s="28"/>
      <c r="F32" s="28">
        <v>314544882.38999999</v>
      </c>
      <c r="G32" s="28"/>
      <c r="H32" s="28"/>
      <c r="I32" s="28"/>
      <c r="J32" s="28">
        <v>612764359.26999998</v>
      </c>
      <c r="K32" s="28">
        <v>4593106.0599999996</v>
      </c>
      <c r="L32" s="37">
        <v>26449093.940000001</v>
      </c>
      <c r="M32" s="28">
        <v>612764359.26999998</v>
      </c>
      <c r="N32" s="28">
        <v>4064009.64</v>
      </c>
      <c r="O32" s="31">
        <v>607124984.84000003</v>
      </c>
      <c r="P32" s="32">
        <f t="shared" si="8"/>
        <v>7.5597985486039454E-4</v>
      </c>
      <c r="Q32" s="31">
        <v>608700673.20000005</v>
      </c>
      <c r="R32" s="32">
        <f t="shared" si="9"/>
        <v>7.6481035275391916E-4</v>
      </c>
      <c r="S32" s="131">
        <f t="shared" si="5"/>
        <v>2.5953278144454335E-3</v>
      </c>
      <c r="T32" s="33">
        <f t="shared" si="16"/>
        <v>7.5457548549331867E-3</v>
      </c>
      <c r="U32" s="33">
        <f t="shared" si="11"/>
        <v>4.3451724475602235E-2</v>
      </c>
      <c r="V32" s="34">
        <f t="shared" si="14"/>
        <v>1011601.1985641163</v>
      </c>
      <c r="W32" s="34">
        <f t="shared" si="15"/>
        <v>43955.816559196966</v>
      </c>
      <c r="X32" s="28">
        <v>1000000</v>
      </c>
      <c r="Y32" s="28">
        <v>1000000</v>
      </c>
      <c r="Z32" s="35">
        <v>7</v>
      </c>
      <c r="AA32" s="39">
        <v>601.72</v>
      </c>
    </row>
    <row r="33" spans="1:31" ht="16.5" x14ac:dyDescent="0.3">
      <c r="A33" s="25">
        <v>28</v>
      </c>
      <c r="B33" s="26" t="s">
        <v>64</v>
      </c>
      <c r="C33" s="27" t="s">
        <v>107</v>
      </c>
      <c r="D33" s="28"/>
      <c r="E33" s="28"/>
      <c r="F33" s="28">
        <v>635089060.86000001</v>
      </c>
      <c r="G33" s="28"/>
      <c r="H33" s="38"/>
      <c r="I33" s="28"/>
      <c r="J33" s="28">
        <v>635089060.86000001</v>
      </c>
      <c r="K33" s="29">
        <v>1179855.54</v>
      </c>
      <c r="L33" s="37">
        <v>262465.32</v>
      </c>
      <c r="M33" s="28">
        <v>643391972.42999995</v>
      </c>
      <c r="N33" s="28">
        <v>23838829.460000001</v>
      </c>
      <c r="O33" s="31">
        <v>642127121.94000006</v>
      </c>
      <c r="P33" s="32">
        <f t="shared" si="8"/>
        <v>7.9956381398807745E-4</v>
      </c>
      <c r="Q33" s="31">
        <v>619553142.97000003</v>
      </c>
      <c r="R33" s="32">
        <f t="shared" si="9"/>
        <v>7.7844608801507897E-4</v>
      </c>
      <c r="S33" s="131">
        <f t="shared" si="5"/>
        <v>-3.515499999719577E-2</v>
      </c>
      <c r="T33" s="33">
        <f t="shared" si="16"/>
        <v>1.9043653532996941E-3</v>
      </c>
      <c r="U33" s="33">
        <f t="shared" si="11"/>
        <v>4.2363649184604183E-4</v>
      </c>
      <c r="V33" s="34">
        <f t="shared" si="14"/>
        <v>100.21588531724625</v>
      </c>
      <c r="W33" s="34">
        <f t="shared" si="15"/>
        <v>4.2455106083043453E-2</v>
      </c>
      <c r="X33" s="82">
        <v>100</v>
      </c>
      <c r="Y33" s="82">
        <v>100</v>
      </c>
      <c r="Z33" s="35">
        <v>670</v>
      </c>
      <c r="AA33" s="39">
        <v>6182185</v>
      </c>
    </row>
    <row r="34" spans="1:31" ht="16.5" x14ac:dyDescent="0.3">
      <c r="A34" s="25">
        <v>29</v>
      </c>
      <c r="B34" s="26" t="s">
        <v>2</v>
      </c>
      <c r="C34" s="27" t="s">
        <v>138</v>
      </c>
      <c r="D34" s="28"/>
      <c r="E34" s="28"/>
      <c r="F34" s="28">
        <v>17057466355.219999</v>
      </c>
      <c r="G34" s="28"/>
      <c r="H34" s="28"/>
      <c r="I34" s="21">
        <v>104484245</v>
      </c>
      <c r="J34" s="28">
        <v>17192035970.529999</v>
      </c>
      <c r="K34" s="28">
        <v>17506677.629999999</v>
      </c>
      <c r="L34" s="37">
        <v>39418277.07</v>
      </c>
      <c r="M34" s="54">
        <v>17087551725.540001</v>
      </c>
      <c r="N34" s="28">
        <v>54140287.030000001</v>
      </c>
      <c r="O34" s="31">
        <v>18069928190.759998</v>
      </c>
      <c r="P34" s="32">
        <f t="shared" si="8"/>
        <v>2.2500312179688248E-2</v>
      </c>
      <c r="Q34" s="31">
        <v>17033411438.51</v>
      </c>
      <c r="R34" s="32">
        <f t="shared" si="9"/>
        <v>2.1401864634720227E-2</v>
      </c>
      <c r="S34" s="131">
        <f t="shared" si="5"/>
        <v>-5.7361420660211465E-2</v>
      </c>
      <c r="T34" s="33">
        <f t="shared" si="16"/>
        <v>1.027784580510984E-3</v>
      </c>
      <c r="U34" s="33">
        <f t="shared" si="11"/>
        <v>2.31417395231123E-3</v>
      </c>
      <c r="V34" s="34">
        <f t="shared" si="14"/>
        <v>0.99849341994166219</v>
      </c>
      <c r="W34" s="34">
        <f t="shared" si="15"/>
        <v>2.3106874639831532E-3</v>
      </c>
      <c r="X34" s="28">
        <v>1</v>
      </c>
      <c r="Y34" s="28">
        <v>1</v>
      </c>
      <c r="Z34" s="35">
        <v>1131</v>
      </c>
      <c r="AA34" s="39">
        <v>17059112357</v>
      </c>
    </row>
    <row r="35" spans="1:31" ht="16.5" x14ac:dyDescent="0.3">
      <c r="A35" s="25">
        <v>30</v>
      </c>
      <c r="B35" s="26" t="s">
        <v>28</v>
      </c>
      <c r="C35" s="27" t="s">
        <v>103</v>
      </c>
      <c r="D35" s="28"/>
      <c r="E35" s="28"/>
      <c r="F35" s="28">
        <v>15301350920.049999</v>
      </c>
      <c r="G35" s="28"/>
      <c r="H35" s="28"/>
      <c r="I35" s="28"/>
      <c r="J35" s="29">
        <v>15301350920.049999</v>
      </c>
      <c r="K35" s="28">
        <v>15297742.67</v>
      </c>
      <c r="L35" s="37">
        <v>40849083.640000001</v>
      </c>
      <c r="M35" s="28">
        <v>15301350920.049999</v>
      </c>
      <c r="N35" s="28">
        <v>49108912.32</v>
      </c>
      <c r="O35" s="31">
        <v>16179860834.440001</v>
      </c>
      <c r="P35" s="32">
        <f t="shared" si="8"/>
        <v>2.0146838214053778E-2</v>
      </c>
      <c r="Q35" s="31">
        <v>15252242007.73</v>
      </c>
      <c r="R35" s="32">
        <f t="shared" si="9"/>
        <v>1.9163889747148919E-2</v>
      </c>
      <c r="S35" s="131">
        <f t="shared" si="5"/>
        <v>-5.7331693776716389E-2</v>
      </c>
      <c r="T35" s="33">
        <f t="shared" si="16"/>
        <v>1.0029832114024247E-3</v>
      </c>
      <c r="U35" s="33">
        <f t="shared" si="11"/>
        <v>2.6782346896474137E-3</v>
      </c>
      <c r="V35" s="34">
        <f t="shared" si="14"/>
        <v>0.98060100834407604</v>
      </c>
      <c r="W35" s="34">
        <f t="shared" si="15"/>
        <v>2.6262796372503376E-3</v>
      </c>
      <c r="X35" s="28">
        <v>1</v>
      </c>
      <c r="Y35" s="28">
        <v>1</v>
      </c>
      <c r="Z35" s="35">
        <v>1904</v>
      </c>
      <c r="AA35" s="39">
        <v>15553973408.09</v>
      </c>
      <c r="AB35" s="10"/>
      <c r="AC35" s="10"/>
      <c r="AD35" s="10"/>
      <c r="AE35" s="10"/>
    </row>
    <row r="36" spans="1:31" s="10" customFormat="1" ht="16.5" x14ac:dyDescent="0.3">
      <c r="A36" s="25">
        <v>31</v>
      </c>
      <c r="B36" s="27" t="s">
        <v>86</v>
      </c>
      <c r="C36" s="27" t="s">
        <v>100</v>
      </c>
      <c r="D36" s="53"/>
      <c r="E36" s="53"/>
      <c r="F36" s="53">
        <v>3099974045.5</v>
      </c>
      <c r="G36" s="53"/>
      <c r="H36" s="53"/>
      <c r="I36" s="53"/>
      <c r="J36" s="53">
        <v>6691629754.2700005</v>
      </c>
      <c r="K36" s="53">
        <v>9536584.5600000005</v>
      </c>
      <c r="L36" s="67">
        <v>22125102.960000001</v>
      </c>
      <c r="M36" s="53">
        <v>6691629754.2700005</v>
      </c>
      <c r="N36" s="53">
        <v>9536584.5600000005</v>
      </c>
      <c r="O36" s="68">
        <v>6971303829.04</v>
      </c>
      <c r="P36" s="69">
        <f t="shared" si="8"/>
        <v>8.680527714164582E-3</v>
      </c>
      <c r="Q36" s="68">
        <v>6682093169.71</v>
      </c>
      <c r="R36" s="69">
        <f t="shared" si="9"/>
        <v>8.3958080864177005E-3</v>
      </c>
      <c r="S36" s="131">
        <f t="shared" si="5"/>
        <v>-4.1485877882018289E-2</v>
      </c>
      <c r="T36" s="70">
        <f t="shared" si="16"/>
        <v>1.427185212446519E-3</v>
      </c>
      <c r="U36" s="33">
        <f t="shared" si="11"/>
        <v>3.3111036314628669E-3</v>
      </c>
      <c r="V36" s="34">
        <f t="shared" si="14"/>
        <v>100.92776683996034</v>
      </c>
      <c r="W36" s="34">
        <f t="shared" si="15"/>
        <v>0.33418229529923021</v>
      </c>
      <c r="X36" s="53">
        <v>100</v>
      </c>
      <c r="Y36" s="53">
        <v>100</v>
      </c>
      <c r="Z36" s="83">
        <v>711</v>
      </c>
      <c r="AA36" s="84">
        <v>66206688</v>
      </c>
      <c r="AB36" s="1"/>
      <c r="AC36" s="1"/>
      <c r="AD36" s="1"/>
      <c r="AE36" s="1"/>
    </row>
    <row r="37" spans="1:31" ht="16.5" x14ac:dyDescent="0.3">
      <c r="A37" s="25">
        <v>32</v>
      </c>
      <c r="B37" s="26" t="s">
        <v>97</v>
      </c>
      <c r="C37" s="27" t="s">
        <v>98</v>
      </c>
      <c r="D37" s="28"/>
      <c r="E37" s="28"/>
      <c r="F37" s="28">
        <v>9200761804.9099998</v>
      </c>
      <c r="G37" s="28"/>
      <c r="H37" s="28"/>
      <c r="I37" s="28"/>
      <c r="J37" s="28">
        <v>9200761804.9099998</v>
      </c>
      <c r="K37" s="28">
        <v>9286153.4399999995</v>
      </c>
      <c r="L37" s="37">
        <v>24919573.32</v>
      </c>
      <c r="M37" s="28">
        <v>9227958835.8999996</v>
      </c>
      <c r="N37" s="28">
        <v>32312163.149999999</v>
      </c>
      <c r="O37" s="31">
        <v>9203055320.2399998</v>
      </c>
      <c r="P37" s="32">
        <f t="shared" si="8"/>
        <v>1.145945991186762E-2</v>
      </c>
      <c r="Q37" s="31">
        <v>9195646672.75</v>
      </c>
      <c r="R37" s="32">
        <f t="shared" si="9"/>
        <v>1.1553997038665227E-2</v>
      </c>
      <c r="S37" s="131">
        <f t="shared" si="5"/>
        <v>-8.050204233485545E-4</v>
      </c>
      <c r="T37" s="33">
        <f t="shared" si="16"/>
        <v>1.0098423493714915E-3</v>
      </c>
      <c r="U37" s="33">
        <f t="shared" si="11"/>
        <v>2.709931580325464E-3</v>
      </c>
      <c r="V37" s="34">
        <f t="shared" si="14"/>
        <v>1.0090037944119716</v>
      </c>
      <c r="W37" s="34">
        <f t="shared" si="15"/>
        <v>2.7343312471452236E-3</v>
      </c>
      <c r="X37" s="28">
        <v>1</v>
      </c>
      <c r="Y37" s="28">
        <v>1</v>
      </c>
      <c r="Z37" s="35">
        <v>1326</v>
      </c>
      <c r="AA37" s="39">
        <v>9113589783.9799995</v>
      </c>
    </row>
    <row r="38" spans="1:31" ht="16.5" customHeight="1" x14ac:dyDescent="0.3">
      <c r="A38" s="25">
        <v>33</v>
      </c>
      <c r="B38" s="26" t="s">
        <v>117</v>
      </c>
      <c r="C38" s="42" t="s">
        <v>118</v>
      </c>
      <c r="D38" s="45"/>
      <c r="E38" s="28"/>
      <c r="F38" s="29">
        <v>542522767.07000005</v>
      </c>
      <c r="G38" s="28"/>
      <c r="H38" s="28"/>
      <c r="I38" s="28"/>
      <c r="J38" s="85">
        <v>797660080.88999999</v>
      </c>
      <c r="K38" s="86">
        <v>1399895.55</v>
      </c>
      <c r="L38" s="37">
        <v>2987622.07</v>
      </c>
      <c r="M38" s="87">
        <v>835585258.63</v>
      </c>
      <c r="N38" s="86">
        <v>18151605.370000001</v>
      </c>
      <c r="O38" s="31">
        <v>853385576.14999998</v>
      </c>
      <c r="P38" s="32">
        <f t="shared" si="8"/>
        <v>1.0626186042530436E-3</v>
      </c>
      <c r="Q38" s="31">
        <v>817433653.25999999</v>
      </c>
      <c r="R38" s="32">
        <f t="shared" si="9"/>
        <v>1.0270757832680929E-3</v>
      </c>
      <c r="S38" s="131">
        <f t="shared" si="5"/>
        <v>-4.2128580438627779E-2</v>
      </c>
      <c r="T38" s="33">
        <f t="shared" si="16"/>
        <v>1.7125494459606463E-3</v>
      </c>
      <c r="U38" s="33">
        <f t="shared" si="11"/>
        <v>3.6548801949676164E-3</v>
      </c>
      <c r="V38" s="34">
        <f t="shared" si="14"/>
        <v>9.8268205769046286</v>
      </c>
      <c r="W38" s="34">
        <f t="shared" si="15"/>
        <v>3.5915851906028973E-2</v>
      </c>
      <c r="X38" s="28">
        <v>10</v>
      </c>
      <c r="Y38" s="28">
        <v>10</v>
      </c>
      <c r="Z38" s="35">
        <v>307</v>
      </c>
      <c r="AA38" s="39">
        <v>83183940</v>
      </c>
    </row>
    <row r="39" spans="1:31" ht="16.5" customHeight="1" x14ac:dyDescent="0.3">
      <c r="A39" s="25">
        <v>34</v>
      </c>
      <c r="B39" s="26" t="s">
        <v>143</v>
      </c>
      <c r="C39" s="42" t="s">
        <v>144</v>
      </c>
      <c r="D39" s="45"/>
      <c r="E39" s="28"/>
      <c r="F39" s="28">
        <v>806083371.00999999</v>
      </c>
      <c r="G39" s="28"/>
      <c r="H39" s="28"/>
      <c r="I39" s="28">
        <v>60034057.380000003</v>
      </c>
      <c r="J39" s="28">
        <v>866117428.38999999</v>
      </c>
      <c r="K39" s="28">
        <v>1766726.75</v>
      </c>
      <c r="L39" s="37">
        <v>2886806.7</v>
      </c>
      <c r="M39" s="28">
        <v>1274176484.21</v>
      </c>
      <c r="N39" s="28">
        <v>6572471.5599999996</v>
      </c>
      <c r="O39" s="31">
        <v>1280801615.1300001</v>
      </c>
      <c r="P39" s="32">
        <f t="shared" si="8"/>
        <v>1.5948284839012331E-3</v>
      </c>
      <c r="Q39" s="31">
        <v>1266719012.6500001</v>
      </c>
      <c r="R39" s="32">
        <f t="shared" si="9"/>
        <v>1.5915865671905136E-3</v>
      </c>
      <c r="S39" s="131">
        <f t="shared" si="5"/>
        <v>-1.0995147346508185E-2</v>
      </c>
      <c r="T39" s="33">
        <f t="shared" si="16"/>
        <v>1.3947266381547194E-3</v>
      </c>
      <c r="U39" s="33">
        <f t="shared" si="11"/>
        <v>2.2789637411068349E-3</v>
      </c>
      <c r="V39" s="34">
        <f t="shared" si="14"/>
        <v>0.99596257644759145</v>
      </c>
      <c r="W39" s="34">
        <f t="shared" si="15"/>
        <v>2.2697625992234051E-3</v>
      </c>
      <c r="X39" s="28"/>
      <c r="Y39" s="28"/>
      <c r="Z39" s="35">
        <v>196</v>
      </c>
      <c r="AA39" s="39">
        <v>1271854026.05</v>
      </c>
    </row>
    <row r="40" spans="1:31" ht="16.5" customHeight="1" x14ac:dyDescent="0.3">
      <c r="A40" s="25">
        <v>35</v>
      </c>
      <c r="B40" s="26" t="s">
        <v>24</v>
      </c>
      <c r="C40" s="42" t="s">
        <v>149</v>
      </c>
      <c r="D40" s="45"/>
      <c r="E40" s="28"/>
      <c r="F40" s="28">
        <v>10261909752.309999</v>
      </c>
      <c r="G40" s="28"/>
      <c r="H40" s="28"/>
      <c r="I40" s="28"/>
      <c r="J40" s="28">
        <v>10261909752.309999</v>
      </c>
      <c r="K40" s="28">
        <v>5227845.91</v>
      </c>
      <c r="L40" s="37">
        <v>35379803.5</v>
      </c>
      <c r="M40" s="28">
        <v>10349561388.77</v>
      </c>
      <c r="N40" s="28">
        <v>522641900.13</v>
      </c>
      <c r="O40" s="88">
        <v>11094634423.450001</v>
      </c>
      <c r="P40" s="32">
        <f t="shared" si="8"/>
        <v>1.3814816274410514E-2</v>
      </c>
      <c r="Q40" s="88">
        <v>9826919488.6399994</v>
      </c>
      <c r="R40" s="32">
        <f t="shared" si="9"/>
        <v>1.2347168471295064E-2</v>
      </c>
      <c r="S40" s="131">
        <f t="shared" si="5"/>
        <v>-0.11426378611723478</v>
      </c>
      <c r="T40" s="33">
        <f t="shared" si="16"/>
        <v>5.3199234165329562E-4</v>
      </c>
      <c r="U40" s="33">
        <f t="shared" si="11"/>
        <v>3.6002944301008416E-3</v>
      </c>
      <c r="V40" s="34">
        <f t="shared" si="14"/>
        <v>99.881275283500457</v>
      </c>
      <c r="W40" s="34">
        <f t="shared" si="15"/>
        <v>0.35960199907455553</v>
      </c>
      <c r="X40" s="28">
        <v>100</v>
      </c>
      <c r="Y40" s="28">
        <v>100</v>
      </c>
      <c r="Z40" s="35">
        <v>1026</v>
      </c>
      <c r="AA40" s="39">
        <v>98386003.390000001</v>
      </c>
    </row>
    <row r="41" spans="1:31" ht="16.5" customHeight="1" x14ac:dyDescent="0.3">
      <c r="A41" s="25">
        <v>36</v>
      </c>
      <c r="B41" s="66" t="s">
        <v>145</v>
      </c>
      <c r="C41" s="42" t="s">
        <v>146</v>
      </c>
      <c r="D41" s="45"/>
      <c r="E41" s="45"/>
      <c r="F41" s="45">
        <v>439774610</v>
      </c>
      <c r="G41" s="45"/>
      <c r="H41" s="45"/>
      <c r="I41" s="45">
        <v>1944721.36</v>
      </c>
      <c r="J41" s="45">
        <v>439774610</v>
      </c>
      <c r="K41" s="45">
        <v>1692517.43</v>
      </c>
      <c r="L41" s="45">
        <v>2074434.8</v>
      </c>
      <c r="M41" s="45">
        <v>729515821.54999995</v>
      </c>
      <c r="N41" s="45">
        <v>12574783.390000001</v>
      </c>
      <c r="O41" s="31">
        <v>716305579.24000001</v>
      </c>
      <c r="P41" s="32">
        <f t="shared" si="8"/>
        <v>8.9192934132377162E-4</v>
      </c>
      <c r="Q41" s="31">
        <v>716941038.15999997</v>
      </c>
      <c r="R41" s="32">
        <f t="shared" si="9"/>
        <v>9.0081045157436269E-4</v>
      </c>
      <c r="S41" s="131">
        <f t="shared" si="5"/>
        <v>8.8713384122203649E-4</v>
      </c>
      <c r="T41" s="33">
        <f t="shared" si="16"/>
        <v>2.360748429666932E-3</v>
      </c>
      <c r="U41" s="33">
        <f t="shared" si="11"/>
        <v>2.8934524453000385E-3</v>
      </c>
      <c r="V41" s="34">
        <f t="shared" si="14"/>
        <v>1.0128978970686917</v>
      </c>
      <c r="W41" s="34">
        <f t="shared" si="15"/>
        <v>2.9307718971126723E-3</v>
      </c>
      <c r="X41" s="45">
        <v>1</v>
      </c>
      <c r="Y41" s="45">
        <v>1</v>
      </c>
      <c r="Z41" s="89">
        <v>423</v>
      </c>
      <c r="AA41" s="50">
        <v>707811755</v>
      </c>
      <c r="AB41" s="7"/>
      <c r="AC41" s="7"/>
      <c r="AD41" s="7"/>
      <c r="AE41" s="7"/>
    </row>
    <row r="42" spans="1:31" s="7" customFormat="1" ht="16.5" customHeight="1" x14ac:dyDescent="0.3">
      <c r="A42" s="25">
        <v>37</v>
      </c>
      <c r="B42" s="66" t="s">
        <v>154</v>
      </c>
      <c r="C42" s="42" t="s">
        <v>153</v>
      </c>
      <c r="D42" s="45"/>
      <c r="E42" s="45"/>
      <c r="F42" s="45">
        <v>300470835.29000002</v>
      </c>
      <c r="G42" s="45"/>
      <c r="H42" s="45"/>
      <c r="I42" s="45"/>
      <c r="J42" s="45">
        <v>300470835.29000002</v>
      </c>
      <c r="K42" s="45">
        <v>427639.51</v>
      </c>
      <c r="L42" s="45">
        <v>582779.18000000005</v>
      </c>
      <c r="M42" s="29">
        <v>302943351.37</v>
      </c>
      <c r="N42" s="29">
        <v>1409909.22</v>
      </c>
      <c r="O42" s="31">
        <v>301880519.74000001</v>
      </c>
      <c r="P42" s="32">
        <f t="shared" si="8"/>
        <v>3.7589556878205065E-4</v>
      </c>
      <c r="Q42" s="31">
        <v>301533442.14999998</v>
      </c>
      <c r="R42" s="32">
        <f t="shared" si="9"/>
        <v>3.7886585050986429E-4</v>
      </c>
      <c r="S42" s="131">
        <f t="shared" si="5"/>
        <v>-1.1497184061394891E-3</v>
      </c>
      <c r="T42" s="33">
        <f t="shared" si="16"/>
        <v>1.4182158600745442E-3</v>
      </c>
      <c r="U42" s="33">
        <f t="shared" si="11"/>
        <v>1.932718228016952E-3</v>
      </c>
      <c r="V42" s="34">
        <f t="shared" si="14"/>
        <v>97.505112856490072</v>
      </c>
      <c r="W42" s="34">
        <f t="shared" si="15"/>
        <v>0.18844990894258842</v>
      </c>
      <c r="X42" s="45">
        <v>100</v>
      </c>
      <c r="Y42" s="45">
        <v>100</v>
      </c>
      <c r="Z42" s="89">
        <v>444</v>
      </c>
      <c r="AA42" s="81">
        <v>3092488.52</v>
      </c>
      <c r="AB42" s="1"/>
      <c r="AC42" s="1"/>
      <c r="AD42" s="1"/>
      <c r="AE42" s="1"/>
    </row>
    <row r="43" spans="1:31" ht="16.5" x14ac:dyDescent="0.3">
      <c r="A43" s="90" t="s">
        <v>150</v>
      </c>
      <c r="B43" s="91"/>
      <c r="C43" s="75" t="s">
        <v>59</v>
      </c>
      <c r="D43" s="28"/>
      <c r="E43" s="28"/>
      <c r="F43" s="28"/>
      <c r="G43" s="28"/>
      <c r="H43" s="28"/>
      <c r="I43" s="28"/>
      <c r="J43" s="28"/>
      <c r="K43" s="28"/>
      <c r="L43" s="37"/>
      <c r="M43" s="28"/>
      <c r="N43" s="28"/>
      <c r="O43" s="76">
        <f>SUM(O20:O42)</f>
        <v>803096776900.38013</v>
      </c>
      <c r="P43" s="77">
        <f>(O43/$O$118)</f>
        <v>0.60299820759217626</v>
      </c>
      <c r="Q43" s="76">
        <f>SUM(Q20:Q42)</f>
        <v>795884458164.29993</v>
      </c>
      <c r="R43" s="77">
        <f>(Q43/$Q$118)</f>
        <v>0.58035025868538159</v>
      </c>
      <c r="S43" s="131">
        <f t="shared" si="5"/>
        <v>-8.9806346427098779E-3</v>
      </c>
      <c r="T43" s="33"/>
      <c r="U43" s="33"/>
      <c r="V43" s="34"/>
      <c r="W43" s="34"/>
      <c r="X43" s="28"/>
      <c r="Y43" s="28"/>
      <c r="Z43" s="78">
        <f>SUM(Z20:Z42)</f>
        <v>248511</v>
      </c>
      <c r="AA43" s="39"/>
    </row>
    <row r="44" spans="1:31" ht="16.5" x14ac:dyDescent="0.3">
      <c r="A44" s="92"/>
      <c r="B44" s="93"/>
      <c r="C44" s="94" t="s">
        <v>19</v>
      </c>
      <c r="D44" s="95"/>
      <c r="E44" s="95"/>
      <c r="F44" s="95"/>
      <c r="G44" s="95"/>
      <c r="H44" s="95"/>
      <c r="I44" s="95"/>
      <c r="J44" s="96"/>
      <c r="K44" s="95"/>
      <c r="L44" s="95"/>
      <c r="M44" s="95"/>
      <c r="N44" s="95"/>
      <c r="O44" s="31"/>
      <c r="P44" s="97"/>
      <c r="Q44" s="31"/>
      <c r="R44" s="97"/>
      <c r="S44" s="131"/>
      <c r="T44" s="33"/>
      <c r="U44" s="33"/>
      <c r="V44" s="34"/>
      <c r="W44" s="34"/>
      <c r="X44" s="95"/>
      <c r="Y44" s="95"/>
      <c r="Z44" s="95"/>
      <c r="AA44" s="98"/>
    </row>
    <row r="45" spans="1:31" ht="16.5" x14ac:dyDescent="0.3">
      <c r="A45" s="25">
        <v>38</v>
      </c>
      <c r="B45" s="26" t="s">
        <v>1</v>
      </c>
      <c r="C45" s="27" t="s">
        <v>20</v>
      </c>
      <c r="D45" s="28"/>
      <c r="E45" s="28"/>
      <c r="F45" s="28">
        <v>19818190363.75</v>
      </c>
      <c r="G45" s="28">
        <v>87325395987.440002</v>
      </c>
      <c r="H45" s="28"/>
      <c r="I45" s="28"/>
      <c r="J45" s="28">
        <v>107148651583.42999</v>
      </c>
      <c r="K45" s="28">
        <v>147622781.87</v>
      </c>
      <c r="L45" s="37">
        <v>521718278.60000002</v>
      </c>
      <c r="M45" s="28">
        <v>108724952758.53999</v>
      </c>
      <c r="N45" s="28">
        <v>405059232.13999999</v>
      </c>
      <c r="O45" s="31">
        <v>98094202112.649994</v>
      </c>
      <c r="P45" s="97">
        <f t="shared" ref="P45:P52" si="17">(O45/$O$56)</f>
        <v>0.47873707507768648</v>
      </c>
      <c r="Q45" s="31">
        <v>108319893526.39999</v>
      </c>
      <c r="R45" s="97">
        <f t="shared" ref="R45:R52" si="18">(Q45/$Q$56)</f>
        <v>0.46847785080307397</v>
      </c>
      <c r="S45" s="131">
        <f t="shared" si="5"/>
        <v>0.10424358620101686</v>
      </c>
      <c r="T45" s="33">
        <f t="shared" ref="T45:T55" si="19">(K45/Q45)</f>
        <v>1.3628409063568827E-3</v>
      </c>
      <c r="U45" s="33">
        <f t="shared" ref="U45:U55" si="20">L45/Q45</f>
        <v>4.8164585619062256E-3</v>
      </c>
      <c r="V45" s="34">
        <f t="shared" si="12"/>
        <v>222.29790869585585</v>
      </c>
      <c r="W45" s="34">
        <f t="shared" ref="W45" si="21">L45/AA45</f>
        <v>1.0706886656320034</v>
      </c>
      <c r="X45" s="38">
        <v>222.3</v>
      </c>
      <c r="Y45" s="38">
        <v>222.3</v>
      </c>
      <c r="Z45" s="35">
        <v>5002</v>
      </c>
      <c r="AA45" s="39">
        <v>487273560.79000002</v>
      </c>
    </row>
    <row r="46" spans="1:31" ht="16.5" x14ac:dyDescent="0.3">
      <c r="A46" s="25">
        <v>39</v>
      </c>
      <c r="B46" s="26" t="s">
        <v>8</v>
      </c>
      <c r="C46" s="27" t="s">
        <v>111</v>
      </c>
      <c r="D46" s="28"/>
      <c r="E46" s="28"/>
      <c r="F46" s="28">
        <v>3195125338</v>
      </c>
      <c r="G46" s="28">
        <v>40485459233</v>
      </c>
      <c r="H46" s="28"/>
      <c r="I46" s="28"/>
      <c r="J46" s="28">
        <v>43680584571</v>
      </c>
      <c r="K46" s="28">
        <v>78885393</v>
      </c>
      <c r="L46" s="37">
        <v>356069471</v>
      </c>
      <c r="M46" s="28">
        <v>62998817204.709999</v>
      </c>
      <c r="N46" s="28">
        <v>23876904.510000002</v>
      </c>
      <c r="O46" s="31">
        <v>54567133006</v>
      </c>
      <c r="P46" s="32">
        <f t="shared" si="17"/>
        <v>0.26630839629714187</v>
      </c>
      <c r="Q46" s="31">
        <v>67709537229</v>
      </c>
      <c r="R46" s="32">
        <f t="shared" si="18"/>
        <v>0.29284019257442923</v>
      </c>
      <c r="S46" s="131">
        <f t="shared" si="5"/>
        <v>0.24084835502636559</v>
      </c>
      <c r="T46" s="33">
        <f t="shared" si="19"/>
        <v>1.1650558581312144E-3</v>
      </c>
      <c r="U46" s="33">
        <f t="shared" si="20"/>
        <v>5.258778682768717E-3</v>
      </c>
      <c r="V46" s="34">
        <f t="shared" ref="V46:V55" si="22">Q46/AA46</f>
        <v>1.8717998948626173</v>
      </c>
      <c r="W46" s="34">
        <f t="shared" ref="W46:W55" si="23">L46/AA46</f>
        <v>9.8433813855122575E-3</v>
      </c>
      <c r="X46" s="28">
        <v>1.8584000000000001</v>
      </c>
      <c r="Y46" s="28">
        <v>1.8584000000000001</v>
      </c>
      <c r="Z46" s="35">
        <v>2229</v>
      </c>
      <c r="AA46" s="39">
        <v>36173491309</v>
      </c>
    </row>
    <row r="47" spans="1:31" ht="16.5" x14ac:dyDescent="0.3">
      <c r="A47" s="25">
        <v>40</v>
      </c>
      <c r="B47" s="26" t="s">
        <v>64</v>
      </c>
      <c r="C47" s="27" t="s">
        <v>21</v>
      </c>
      <c r="D47" s="28"/>
      <c r="E47" s="28"/>
      <c r="F47" s="28">
        <v>457635166.95999998</v>
      </c>
      <c r="G47" s="28">
        <v>1443319080.3800001</v>
      </c>
      <c r="H47" s="28"/>
      <c r="I47" s="28"/>
      <c r="J47" s="28">
        <v>1900954247.3399999</v>
      </c>
      <c r="K47" s="28">
        <v>2179098.37</v>
      </c>
      <c r="L47" s="37">
        <v>12171878</v>
      </c>
      <c r="M47" s="28">
        <v>1944982470.1800001</v>
      </c>
      <c r="N47" s="28">
        <v>18084301.859999999</v>
      </c>
      <c r="O47" s="31">
        <v>1836351794.1900001</v>
      </c>
      <c r="P47" s="32">
        <f t="shared" si="17"/>
        <v>8.9620963097758032E-3</v>
      </c>
      <c r="Q47" s="31">
        <v>1926898168.3199999</v>
      </c>
      <c r="R47" s="32">
        <f t="shared" si="18"/>
        <v>8.3337333819565006E-3</v>
      </c>
      <c r="S47" s="131">
        <f t="shared" si="5"/>
        <v>4.9307749428229325E-2</v>
      </c>
      <c r="T47" s="33">
        <f t="shared" si="19"/>
        <v>1.1308840320814074E-3</v>
      </c>
      <c r="U47" s="33">
        <f t="shared" si="20"/>
        <v>6.3168247290474443E-3</v>
      </c>
      <c r="V47" s="34">
        <f t="shared" si="22"/>
        <v>367.82576126948078</v>
      </c>
      <c r="W47" s="34">
        <f t="shared" si="23"/>
        <v>2.3234908647677579</v>
      </c>
      <c r="X47" s="82">
        <v>367.76</v>
      </c>
      <c r="Y47" s="82">
        <v>367.76</v>
      </c>
      <c r="Z47" s="35">
        <v>105</v>
      </c>
      <c r="AA47" s="39">
        <v>5238616.68</v>
      </c>
    </row>
    <row r="48" spans="1:31" ht="16.5" x14ac:dyDescent="0.3">
      <c r="A48" s="25">
        <v>41</v>
      </c>
      <c r="B48" s="26" t="s">
        <v>11</v>
      </c>
      <c r="C48" s="27" t="s">
        <v>22</v>
      </c>
      <c r="D48" s="28"/>
      <c r="E48" s="28"/>
      <c r="F48" s="28">
        <v>5627566418.8100004</v>
      </c>
      <c r="G48" s="28">
        <v>11263825293.91</v>
      </c>
      <c r="H48" s="28"/>
      <c r="I48" s="28"/>
      <c r="J48" s="28">
        <v>16806338295.08</v>
      </c>
      <c r="K48" s="28">
        <v>15971436.91</v>
      </c>
      <c r="L48" s="37">
        <v>99365230.810000002</v>
      </c>
      <c r="M48" s="28">
        <v>16932546087.59</v>
      </c>
      <c r="N48" s="28">
        <v>126207792.51000001</v>
      </c>
      <c r="O48" s="31">
        <v>15157280948.98</v>
      </c>
      <c r="P48" s="32">
        <f t="shared" si="17"/>
        <v>7.3973305163462497E-2</v>
      </c>
      <c r="Q48" s="31">
        <v>16806338295.08</v>
      </c>
      <c r="R48" s="32">
        <f t="shared" si="18"/>
        <v>7.2686530498015614E-2</v>
      </c>
      <c r="S48" s="131">
        <f t="shared" si="5"/>
        <v>0.10879638318051846</v>
      </c>
      <c r="T48" s="33">
        <f t="shared" si="19"/>
        <v>9.5032223138549971E-4</v>
      </c>
      <c r="U48" s="33">
        <f t="shared" si="20"/>
        <v>5.9123664575458914E-3</v>
      </c>
      <c r="V48" s="34">
        <f t="shared" si="22"/>
        <v>1431.8478341782168</v>
      </c>
      <c r="W48" s="34">
        <f t="shared" si="23"/>
        <v>8.4656091071050206</v>
      </c>
      <c r="X48" s="28">
        <v>1431.84</v>
      </c>
      <c r="Y48" s="28">
        <v>1433.57</v>
      </c>
      <c r="Z48" s="35">
        <v>1384</v>
      </c>
      <c r="AA48" s="39">
        <v>11737517</v>
      </c>
    </row>
    <row r="49" spans="1:27" ht="15.75" customHeight="1" x14ac:dyDescent="0.3">
      <c r="A49" s="99" t="s">
        <v>157</v>
      </c>
      <c r="B49" s="27" t="s">
        <v>11</v>
      </c>
      <c r="C49" s="27" t="s">
        <v>120</v>
      </c>
      <c r="D49" s="45"/>
      <c r="E49" s="28"/>
      <c r="F49" s="28"/>
      <c r="G49" s="28"/>
      <c r="H49" s="38"/>
      <c r="I49" s="28"/>
      <c r="J49" s="28"/>
      <c r="K49" s="38"/>
      <c r="L49" s="37"/>
      <c r="M49" s="28"/>
      <c r="N49" s="38"/>
      <c r="O49" s="31"/>
      <c r="P49" s="32">
        <f t="shared" si="17"/>
        <v>0</v>
      </c>
      <c r="Q49" s="31"/>
      <c r="R49" s="32">
        <f t="shared" si="18"/>
        <v>0</v>
      </c>
      <c r="S49" s="131" t="e">
        <f t="shared" si="5"/>
        <v>#DIV/0!</v>
      </c>
      <c r="T49" s="33" t="e">
        <f t="shared" si="19"/>
        <v>#DIV/0!</v>
      </c>
      <c r="U49" s="33" t="e">
        <f t="shared" si="20"/>
        <v>#DIV/0!</v>
      </c>
      <c r="V49" s="34" t="e">
        <f t="shared" si="22"/>
        <v>#DIV/0!</v>
      </c>
      <c r="W49" s="34" t="e">
        <f t="shared" si="23"/>
        <v>#DIV/0!</v>
      </c>
      <c r="X49" s="28">
        <v>46153.25</v>
      </c>
      <c r="Y49" s="28">
        <v>46323.01</v>
      </c>
      <c r="Z49" s="35"/>
      <c r="AA49" s="39"/>
    </row>
    <row r="50" spans="1:27" s="7" customFormat="1" ht="15.75" customHeight="1" x14ac:dyDescent="0.3">
      <c r="A50" s="100" t="s">
        <v>158</v>
      </c>
      <c r="B50" s="42" t="s">
        <v>11</v>
      </c>
      <c r="C50" s="42" t="s">
        <v>121</v>
      </c>
      <c r="D50" s="48"/>
      <c r="E50" s="45"/>
      <c r="F50" s="45">
        <v>1172779077.0899999</v>
      </c>
      <c r="G50" s="45">
        <v>3541029532.6999998</v>
      </c>
      <c r="H50" s="45"/>
      <c r="I50" s="45"/>
      <c r="J50" s="45">
        <v>4745420306.0100002</v>
      </c>
      <c r="K50" s="45">
        <v>6552035.7400000002</v>
      </c>
      <c r="L50" s="45">
        <v>23703870.16</v>
      </c>
      <c r="M50" s="45">
        <v>4774427397.71</v>
      </c>
      <c r="N50" s="45">
        <v>29007091.699999999</v>
      </c>
      <c r="O50" s="31">
        <v>5353395452.3100004</v>
      </c>
      <c r="P50" s="32">
        <f t="shared" si="17"/>
        <v>2.6126609171354651E-2</v>
      </c>
      <c r="Q50" s="31">
        <v>4745420306.0100002</v>
      </c>
      <c r="R50" s="32">
        <f t="shared" si="18"/>
        <v>2.0523693605505669E-2</v>
      </c>
      <c r="S50" s="131">
        <f t="shared" si="5"/>
        <v>-0.11356813665571031</v>
      </c>
      <c r="T50" s="33">
        <f t="shared" si="19"/>
        <v>1.3807071486801601E-3</v>
      </c>
      <c r="U50" s="33">
        <f t="shared" si="20"/>
        <v>4.9951044652418713E-3</v>
      </c>
      <c r="V50" s="34">
        <f t="shared" si="22"/>
        <v>46152.185299735058</v>
      </c>
      <c r="W50" s="34">
        <f t="shared" si="23"/>
        <v>230.53498687137684</v>
      </c>
      <c r="X50" s="45">
        <v>46141.68</v>
      </c>
      <c r="Y50" s="45">
        <v>46307.57</v>
      </c>
      <c r="Z50" s="89">
        <v>1350</v>
      </c>
      <c r="AA50" s="50">
        <v>102821.14</v>
      </c>
    </row>
    <row r="51" spans="1:27" ht="16.5" x14ac:dyDescent="0.3">
      <c r="A51" s="25">
        <v>43</v>
      </c>
      <c r="B51" s="27" t="s">
        <v>2</v>
      </c>
      <c r="C51" s="27" t="s">
        <v>115</v>
      </c>
      <c r="D51" s="28"/>
      <c r="E51" s="28"/>
      <c r="F51" s="29">
        <f>380*398156.93</f>
        <v>151299633.40000001</v>
      </c>
      <c r="G51" s="28">
        <f>380*8882115.44</f>
        <v>3375203867.1999998</v>
      </c>
      <c r="H51" s="28"/>
      <c r="I51" s="28">
        <f>380*21821.23</f>
        <v>8292067.3999999994</v>
      </c>
      <c r="J51" s="28">
        <f>380*9335561.08</f>
        <v>3547513210.4000001</v>
      </c>
      <c r="K51" s="28">
        <f>380*12972.02</f>
        <v>4929367.6000000006</v>
      </c>
      <c r="L51" s="28">
        <f>380*37894.86</f>
        <v>14400046.800000001</v>
      </c>
      <c r="M51" s="29">
        <f>380*9357382.31</f>
        <v>3555805277.8000002</v>
      </c>
      <c r="N51" s="28">
        <f>380*37034</f>
        <v>14072920</v>
      </c>
      <c r="O51" s="31">
        <v>3174338238.4000001</v>
      </c>
      <c r="P51" s="32">
        <f t="shared" si="17"/>
        <v>1.5491979860478405E-2</v>
      </c>
      <c r="Q51" s="31">
        <f>380*9320348.48</f>
        <v>3541732422.4000001</v>
      </c>
      <c r="R51" s="32">
        <f t="shared" si="18"/>
        <v>1.5317806723666387E-2</v>
      </c>
      <c r="S51" s="131">
        <f t="shared" si="5"/>
        <v>0.11573882693269073</v>
      </c>
      <c r="T51" s="33">
        <f t="shared" si="19"/>
        <v>1.391795599470976E-3</v>
      </c>
      <c r="U51" s="33">
        <f t="shared" si="20"/>
        <v>4.065820079723028E-3</v>
      </c>
      <c r="V51" s="34">
        <f t="shared" si="22"/>
        <v>465.39434670030585</v>
      </c>
      <c r="W51" s="34">
        <f t="shared" si="23"/>
        <v>1.892209679803684</v>
      </c>
      <c r="X51" s="28">
        <f>380*1.12</f>
        <v>425.6</v>
      </c>
      <c r="Y51" s="28">
        <f>380*1.12</f>
        <v>425.6</v>
      </c>
      <c r="Z51" s="35">
        <v>100</v>
      </c>
      <c r="AA51" s="39">
        <v>7610175</v>
      </c>
    </row>
    <row r="52" spans="1:27" ht="16.5" x14ac:dyDescent="0.3">
      <c r="A52" s="52">
        <v>44</v>
      </c>
      <c r="B52" s="27" t="s">
        <v>8</v>
      </c>
      <c r="C52" s="27" t="s">
        <v>160</v>
      </c>
      <c r="D52" s="101"/>
      <c r="E52" s="101"/>
      <c r="F52" s="101"/>
      <c r="G52" s="53">
        <f>380*53796763</f>
        <v>20442769940</v>
      </c>
      <c r="H52" s="101"/>
      <c r="I52" s="101"/>
      <c r="J52" s="53">
        <f>380*53796763</f>
        <v>20442769940</v>
      </c>
      <c r="K52" s="53">
        <f>380*78596</f>
        <v>29866480</v>
      </c>
      <c r="L52" s="53">
        <f>380*283396</f>
        <v>107690480</v>
      </c>
      <c r="M52" s="53">
        <f>380*60277359</f>
        <v>22905396420</v>
      </c>
      <c r="N52" s="53">
        <f>380*697799.17</f>
        <v>265163684.60000002</v>
      </c>
      <c r="O52" s="102">
        <v>21674690420</v>
      </c>
      <c r="P52" s="32">
        <f t="shared" si="17"/>
        <v>0.10578074617467148</v>
      </c>
      <c r="Q52" s="102">
        <f>380*60117217</f>
        <v>22844542460</v>
      </c>
      <c r="R52" s="32">
        <f t="shared" si="18"/>
        <v>9.8801446399428103E-2</v>
      </c>
      <c r="S52" s="131">
        <f t="shared" si="5"/>
        <v>5.3973183345702433E-2</v>
      </c>
      <c r="T52" s="33">
        <f t="shared" si="19"/>
        <v>1.3073792155082627E-3</v>
      </c>
      <c r="U52" s="33">
        <f t="shared" si="20"/>
        <v>4.7140572059415188E-3</v>
      </c>
      <c r="V52" s="34">
        <f t="shared" si="22"/>
        <v>44104.328199148207</v>
      </c>
      <c r="W52" s="34">
        <f t="shared" si="23"/>
        <v>207.91032616040434</v>
      </c>
      <c r="X52" s="28">
        <f>380*114.99</f>
        <v>43696.2</v>
      </c>
      <c r="Y52" s="28">
        <f>380*114.99</f>
        <v>43696.2</v>
      </c>
      <c r="Z52" s="35">
        <v>304</v>
      </c>
      <c r="AA52" s="39">
        <v>517966</v>
      </c>
    </row>
    <row r="53" spans="1:27" ht="16.5" x14ac:dyDescent="0.3">
      <c r="A53" s="25">
        <v>45</v>
      </c>
      <c r="B53" s="27" t="s">
        <v>63</v>
      </c>
      <c r="C53" s="27" t="s">
        <v>141</v>
      </c>
      <c r="D53" s="28"/>
      <c r="E53" s="28"/>
      <c r="F53" s="28"/>
      <c r="G53" s="28">
        <v>560387615</v>
      </c>
      <c r="H53" s="28"/>
      <c r="I53" s="28"/>
      <c r="J53" s="28">
        <v>560387615</v>
      </c>
      <c r="K53" s="28">
        <v>626825.19999999995</v>
      </c>
      <c r="L53" s="37">
        <v>1008539</v>
      </c>
      <c r="M53" s="28">
        <v>568081611.79999995</v>
      </c>
      <c r="N53" s="81">
        <v>599655.19999999995</v>
      </c>
      <c r="O53" s="31">
        <v>553110896.20000005</v>
      </c>
      <c r="P53" s="32">
        <f>(O52/$O$56)</f>
        <v>0.10578074617467148</v>
      </c>
      <c r="Q53" s="31">
        <v>554733986.39999998</v>
      </c>
      <c r="R53" s="32">
        <f>(Q52/$Q$56)</f>
        <v>9.8801446399428103E-2</v>
      </c>
      <c r="S53" s="131">
        <f t="shared" si="5"/>
        <v>2.9344751859906107E-3</v>
      </c>
      <c r="T53" s="33">
        <f t="shared" si="19"/>
        <v>1.1299563671370542E-3</v>
      </c>
      <c r="U53" s="33">
        <f t="shared" si="20"/>
        <v>1.8180587898445012E-3</v>
      </c>
      <c r="V53" s="34">
        <f t="shared" si="22"/>
        <v>41192.098195589213</v>
      </c>
      <c r="W53" s="34">
        <f t="shared" si="23"/>
        <v>74.889656196628792</v>
      </c>
      <c r="X53" s="28">
        <v>108.39409999999999</v>
      </c>
      <c r="Y53" s="28">
        <v>111.0022</v>
      </c>
      <c r="Z53" s="103">
        <v>29</v>
      </c>
      <c r="AA53" s="104">
        <v>13467</v>
      </c>
    </row>
    <row r="54" spans="1:27" ht="16.5" x14ac:dyDescent="0.3">
      <c r="A54" s="25">
        <v>46</v>
      </c>
      <c r="B54" s="27" t="s">
        <v>64</v>
      </c>
      <c r="C54" s="27" t="s">
        <v>163</v>
      </c>
      <c r="D54" s="28"/>
      <c r="E54" s="28"/>
      <c r="F54" s="28"/>
      <c r="G54" s="28">
        <v>505310782.05000001</v>
      </c>
      <c r="H54" s="28"/>
      <c r="I54" s="28"/>
      <c r="J54" s="28">
        <v>505310782.05000001</v>
      </c>
      <c r="K54" s="28">
        <v>892976.85</v>
      </c>
      <c r="L54" s="37">
        <v>2623077.9</v>
      </c>
      <c r="M54" s="28">
        <v>557902508.63</v>
      </c>
      <c r="N54" s="28">
        <v>2917893.6</v>
      </c>
      <c r="O54" s="31">
        <v>565861796.37</v>
      </c>
      <c r="P54" s="32">
        <f>(O54/$O$56)</f>
        <v>2.761621130077419E-3</v>
      </c>
      <c r="Q54" s="31">
        <v>554984615.02999997</v>
      </c>
      <c r="R54" s="32">
        <f>(Q54/$Q$56)</f>
        <v>2.4002793135561788E-3</v>
      </c>
      <c r="S54" s="131">
        <f t="shared" si="5"/>
        <v>-1.9222328508086403E-2</v>
      </c>
      <c r="T54" s="33">
        <f t="shared" si="19"/>
        <v>1.609011900179845E-3</v>
      </c>
      <c r="U54" s="33">
        <f t="shared" si="20"/>
        <v>4.7263975053762671E-3</v>
      </c>
      <c r="V54" s="34">
        <f t="shared" si="22"/>
        <v>37765.821938399851</v>
      </c>
      <c r="W54" s="34">
        <f t="shared" si="23"/>
        <v>178.49628659813737</v>
      </c>
      <c r="X54" s="28">
        <v>98.81</v>
      </c>
      <c r="Y54" s="28">
        <v>98.81</v>
      </c>
      <c r="Z54" s="103">
        <v>143</v>
      </c>
      <c r="AA54" s="104">
        <v>14695.42</v>
      </c>
    </row>
    <row r="55" spans="1:27" ht="16.5" x14ac:dyDescent="0.3">
      <c r="A55" s="52">
        <v>47</v>
      </c>
      <c r="B55" s="105" t="s">
        <v>61</v>
      </c>
      <c r="C55" s="27" t="s">
        <v>164</v>
      </c>
      <c r="D55" s="101"/>
      <c r="E55" s="101"/>
      <c r="F55" s="28">
        <f>380*500018.75</f>
        <v>190007125</v>
      </c>
      <c r="G55" s="28">
        <f>380*9199151.6</f>
        <v>3495677608</v>
      </c>
      <c r="H55" s="101"/>
      <c r="I55" s="101"/>
      <c r="J55" s="28">
        <f>380*9699170.35</f>
        <v>3685684733</v>
      </c>
      <c r="K55" s="28">
        <f>380*30306.71</f>
        <v>11516549.799999999</v>
      </c>
      <c r="L55" s="37">
        <f>380*38347.16</f>
        <v>14571920.800000001</v>
      </c>
      <c r="M55" s="53">
        <f>380*11172234</f>
        <v>4245448920</v>
      </c>
      <c r="N55" s="53">
        <f>380*86446</f>
        <v>32849480</v>
      </c>
      <c r="O55" s="68">
        <v>3925672840</v>
      </c>
      <c r="P55" s="32">
        <f>(O55/$O$43)</f>
        <v>4.888169088601583E-3</v>
      </c>
      <c r="Q55" s="68">
        <f>380*11085788</f>
        <v>4212599440</v>
      </c>
      <c r="R55" s="32">
        <f>(Q55/$Q$43)</f>
        <v>5.2929786438050581E-3</v>
      </c>
      <c r="S55" s="131">
        <f t="shared" si="5"/>
        <v>7.3089789112431483E-2</v>
      </c>
      <c r="T55" s="33">
        <f t="shared" si="19"/>
        <v>2.7338345275951513E-3</v>
      </c>
      <c r="U55" s="33">
        <f t="shared" si="20"/>
        <v>3.4591280295094948E-3</v>
      </c>
      <c r="V55" s="34">
        <f t="shared" si="22"/>
        <v>425.84342453125726</v>
      </c>
      <c r="W55" s="34">
        <f t="shared" si="23"/>
        <v>1.4730469259783832</v>
      </c>
      <c r="X55" s="28">
        <f>380*1.15</f>
        <v>436.99999999999994</v>
      </c>
      <c r="Y55" s="28">
        <f>380*1.16</f>
        <v>440.79999999999995</v>
      </c>
      <c r="Z55" s="103">
        <v>285</v>
      </c>
      <c r="AA55" s="104">
        <v>9892367</v>
      </c>
    </row>
    <row r="56" spans="1:27" ht="16.5" x14ac:dyDescent="0.3">
      <c r="A56" s="90"/>
      <c r="B56" s="91"/>
      <c r="C56" s="75" t="s">
        <v>59</v>
      </c>
      <c r="D56" s="28"/>
      <c r="E56" s="28"/>
      <c r="F56" s="28"/>
      <c r="G56" s="28"/>
      <c r="H56" s="28"/>
      <c r="I56" s="28"/>
      <c r="J56" s="28"/>
      <c r="K56" s="28"/>
      <c r="L56" s="37"/>
      <c r="M56" s="28"/>
      <c r="N56" s="28"/>
      <c r="O56" s="76">
        <f>SUM(O45:O55)</f>
        <v>204902037505.10001</v>
      </c>
      <c r="P56" s="77">
        <f>(O56/$O$118)</f>
        <v>0.15384890700773737</v>
      </c>
      <c r="Q56" s="76">
        <f>SUM(Q45:Q55)</f>
        <v>231216680448.63998</v>
      </c>
      <c r="R56" s="77">
        <f>(Q56/$Q$118)</f>
        <v>0.16860067932504139</v>
      </c>
      <c r="S56" s="131">
        <f t="shared" si="5"/>
        <v>0.12842548206913271</v>
      </c>
      <c r="T56" s="33"/>
      <c r="U56" s="33"/>
      <c r="V56" s="34"/>
      <c r="W56" s="34"/>
      <c r="X56" s="28"/>
      <c r="Y56" s="28"/>
      <c r="Z56" s="78">
        <f>SUM(Z45:Z55)</f>
        <v>10931</v>
      </c>
      <c r="AA56" s="39"/>
    </row>
    <row r="57" spans="1:27" ht="15.75" customHeight="1" x14ac:dyDescent="0.3">
      <c r="A57" s="79"/>
      <c r="B57" s="23"/>
      <c r="C57" s="94" t="s">
        <v>23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131"/>
      <c r="T57" s="23"/>
      <c r="U57" s="23"/>
      <c r="V57" s="23"/>
      <c r="W57" s="23"/>
      <c r="X57" s="23"/>
      <c r="Y57" s="23"/>
      <c r="Z57" s="23"/>
      <c r="AA57" s="24"/>
    </row>
    <row r="58" spans="1:27" ht="16.5" x14ac:dyDescent="0.3">
      <c r="A58" s="25">
        <v>48</v>
      </c>
      <c r="B58" s="26" t="s">
        <v>24</v>
      </c>
      <c r="C58" s="53" t="s">
        <v>25</v>
      </c>
      <c r="D58" s="28"/>
      <c r="E58" s="28"/>
      <c r="F58" s="28">
        <v>4294112568.1300001</v>
      </c>
      <c r="G58" s="28">
        <v>4718027871.3000002</v>
      </c>
      <c r="H58" s="28"/>
      <c r="I58" s="28"/>
      <c r="J58" s="28">
        <v>9012140439.4400005</v>
      </c>
      <c r="K58" s="28">
        <v>11949198.98</v>
      </c>
      <c r="L58" s="37">
        <v>44409452.479999997</v>
      </c>
      <c r="M58" s="28">
        <v>9499659428.2199993</v>
      </c>
      <c r="N58" s="28">
        <v>104325380.25</v>
      </c>
      <c r="O58" s="31">
        <v>8017378899.8900003</v>
      </c>
      <c r="P58" s="32">
        <f t="shared" ref="P58:P80" si="24">(O58/$O$81)</f>
        <v>3.3600680420236229E-2</v>
      </c>
      <c r="Q58" s="31">
        <v>9395334047.9699993</v>
      </c>
      <c r="R58" s="32">
        <f t="shared" ref="R58:R80" si="25">(Q58/$Q$81)</f>
        <v>3.640065372514565E-2</v>
      </c>
      <c r="S58" s="131">
        <f t="shared" si="5"/>
        <v>0.17187102733773812</v>
      </c>
      <c r="T58" s="33">
        <f t="shared" ref="T58:T80" si="26">(K58/Q58)</f>
        <v>1.2718226854937426E-3</v>
      </c>
      <c r="U58" s="33">
        <f t="shared" ref="U58:U80" si="27">L58/Q58</f>
        <v>4.7267560954466874E-3</v>
      </c>
      <c r="V58" s="34">
        <f t="shared" ref="V58:V83" si="28">Q58/AA58</f>
        <v>3204.2556622615652</v>
      </c>
      <c r="W58" s="34">
        <f t="shared" ref="W58" si="29">L58/AA58</f>
        <v>15.145734982964417</v>
      </c>
      <c r="X58" s="28">
        <v>3204.26</v>
      </c>
      <c r="Y58" s="28">
        <v>3204.26</v>
      </c>
      <c r="Z58" s="35">
        <v>1645</v>
      </c>
      <c r="AA58" s="39">
        <v>2932142.45</v>
      </c>
    </row>
    <row r="59" spans="1:27" ht="16.5" customHeight="1" x14ac:dyDescent="0.3">
      <c r="A59" s="25">
        <v>49</v>
      </c>
      <c r="B59" s="26" t="s">
        <v>26</v>
      </c>
      <c r="C59" s="27" t="s">
        <v>27</v>
      </c>
      <c r="D59" s="28">
        <v>74433968</v>
      </c>
      <c r="E59" s="28"/>
      <c r="F59" s="28">
        <v>2957198717.1300001</v>
      </c>
      <c r="G59" s="28">
        <v>7270580253.1499996</v>
      </c>
      <c r="H59" s="28"/>
      <c r="I59" s="28"/>
      <c r="J59" s="28">
        <v>10302212938.280001</v>
      </c>
      <c r="K59" s="28">
        <v>58117339.009999998</v>
      </c>
      <c r="L59" s="37">
        <v>56091580.890000001</v>
      </c>
      <c r="M59" s="28">
        <v>10653755866.280001</v>
      </c>
      <c r="N59" s="28">
        <v>459076291.38</v>
      </c>
      <c r="O59" s="31">
        <v>6982685971.8599997</v>
      </c>
      <c r="P59" s="32">
        <f t="shared" si="24"/>
        <v>2.9264302304404438E-2</v>
      </c>
      <c r="Q59" s="31">
        <v>10194679574.9</v>
      </c>
      <c r="R59" s="32">
        <f t="shared" si="25"/>
        <v>3.9497584561661234E-2</v>
      </c>
      <c r="S59" s="131">
        <f t="shared" si="5"/>
        <v>0.45999399314020867</v>
      </c>
      <c r="T59" s="33">
        <f t="shared" si="26"/>
        <v>5.700751905247603E-3</v>
      </c>
      <c r="U59" s="33">
        <f t="shared" si="27"/>
        <v>5.5020445201731816E-3</v>
      </c>
      <c r="V59" s="34">
        <f t="shared" ref="V59:V80" si="30">Q59/AA59</f>
        <v>0.88487729090850364</v>
      </c>
      <c r="W59" s="34">
        <f t="shared" ref="W59:W80" si="31">L59/AA59</f>
        <v>4.8686342494688225E-3</v>
      </c>
      <c r="X59" s="28">
        <v>1</v>
      </c>
      <c r="Y59" s="28">
        <v>1</v>
      </c>
      <c r="Z59" s="35">
        <v>4468</v>
      </c>
      <c r="AA59" s="39">
        <v>11521009387</v>
      </c>
    </row>
    <row r="60" spans="1:27" s="10" customFormat="1" ht="16.5" customHeight="1" x14ac:dyDescent="0.3">
      <c r="A60" s="25">
        <v>50</v>
      </c>
      <c r="B60" s="27" t="s">
        <v>92</v>
      </c>
      <c r="C60" s="27" t="s">
        <v>96</v>
      </c>
      <c r="D60" s="53"/>
      <c r="E60" s="105"/>
      <c r="F60" s="53">
        <v>82442619.989999995</v>
      </c>
      <c r="G60" s="53">
        <v>366642773.56</v>
      </c>
      <c r="H60" s="53"/>
      <c r="I60" s="53"/>
      <c r="J60" s="28">
        <v>449085393.55000001</v>
      </c>
      <c r="K60" s="28">
        <v>1099206.2</v>
      </c>
      <c r="L60" s="37">
        <v>2220613.08</v>
      </c>
      <c r="M60" s="28">
        <v>458331420.52999997</v>
      </c>
      <c r="N60" s="28">
        <v>7439876.2000000002</v>
      </c>
      <c r="O60" s="31">
        <v>488547460.50999999</v>
      </c>
      <c r="P60" s="69">
        <f t="shared" si="24"/>
        <v>2.0474929893783255E-3</v>
      </c>
      <c r="Q60" s="31">
        <v>450891544.32999998</v>
      </c>
      <c r="R60" s="69">
        <f t="shared" si="25"/>
        <v>1.7469040365093464E-3</v>
      </c>
      <c r="S60" s="131">
        <f t="shared" si="5"/>
        <v>-7.7077293863508339E-2</v>
      </c>
      <c r="T60" s="33">
        <f t="shared" si="26"/>
        <v>2.4378505514743238E-3</v>
      </c>
      <c r="U60" s="33">
        <f t="shared" si="27"/>
        <v>4.9249383979903831E-3</v>
      </c>
      <c r="V60" s="34">
        <f t="shared" si="30"/>
        <v>1.9879713852309224</v>
      </c>
      <c r="W60" s="34">
        <f t="shared" si="31"/>
        <v>9.7906366092299028E-3</v>
      </c>
      <c r="X60" s="28">
        <v>2.2164000000000001</v>
      </c>
      <c r="Y60" s="53">
        <v>2.2164000000000001</v>
      </c>
      <c r="Z60" s="35">
        <v>1451</v>
      </c>
      <c r="AA60" s="39">
        <v>226809876.47999999</v>
      </c>
    </row>
    <row r="61" spans="1:27" ht="18" customHeight="1" x14ac:dyDescent="0.3">
      <c r="A61" s="25">
        <v>51</v>
      </c>
      <c r="B61" s="26" t="s">
        <v>1</v>
      </c>
      <c r="C61" s="26" t="s">
        <v>159</v>
      </c>
      <c r="D61" s="29">
        <v>25962200</v>
      </c>
      <c r="E61" s="28"/>
      <c r="F61" s="29">
        <v>4906966454.3299999</v>
      </c>
      <c r="G61" s="29">
        <v>19491731343.759998</v>
      </c>
      <c r="H61" s="28"/>
      <c r="I61" s="28"/>
      <c r="J61" s="29">
        <v>24426964931.400002</v>
      </c>
      <c r="K61" s="29">
        <v>34196218.68</v>
      </c>
      <c r="L61" s="37">
        <v>132879731.29000001</v>
      </c>
      <c r="M61" s="29">
        <v>24739627147.790001</v>
      </c>
      <c r="N61" s="29">
        <v>102228648.88</v>
      </c>
      <c r="O61" s="31">
        <v>22289868278</v>
      </c>
      <c r="P61" s="32">
        <f t="shared" si="24"/>
        <v>9.3416408276340165E-2</v>
      </c>
      <c r="Q61" s="31">
        <v>24637398498.91</v>
      </c>
      <c r="R61" s="32">
        <f t="shared" si="25"/>
        <v>9.5453488600654585E-2</v>
      </c>
      <c r="S61" s="131">
        <f t="shared" si="5"/>
        <v>0.10531826351019767</v>
      </c>
      <c r="T61" s="33">
        <f t="shared" si="26"/>
        <v>1.387980093820088E-3</v>
      </c>
      <c r="U61" s="33">
        <f t="shared" si="27"/>
        <v>5.393415676410755E-3</v>
      </c>
      <c r="V61" s="34">
        <f t="shared" si="30"/>
        <v>290.90791688412151</v>
      </c>
      <c r="W61" s="34">
        <f t="shared" si="31"/>
        <v>1.5689873193148181</v>
      </c>
      <c r="X61" s="54">
        <v>290.89999999999998</v>
      </c>
      <c r="Y61" s="28">
        <v>290.91000000000003</v>
      </c>
      <c r="Z61" s="35">
        <v>8638</v>
      </c>
      <c r="AA61" s="36">
        <v>84691399.129999995</v>
      </c>
    </row>
    <row r="62" spans="1:27" ht="16.5" x14ac:dyDescent="0.3">
      <c r="A62" s="25">
        <v>52</v>
      </c>
      <c r="B62" s="26" t="s">
        <v>29</v>
      </c>
      <c r="C62" s="27" t="s">
        <v>30</v>
      </c>
      <c r="D62" s="54"/>
      <c r="E62" s="54"/>
      <c r="F62" s="28">
        <v>245578787.83000001</v>
      </c>
      <c r="G62" s="28">
        <v>3797200783.6100001</v>
      </c>
      <c r="H62" s="28"/>
      <c r="I62" s="28"/>
      <c r="J62" s="28">
        <v>4042779571.4400001</v>
      </c>
      <c r="K62" s="28">
        <v>5526009</v>
      </c>
      <c r="L62" s="37">
        <v>36680560</v>
      </c>
      <c r="M62" s="28">
        <v>5113001658</v>
      </c>
      <c r="N62" s="28">
        <v>56515940</v>
      </c>
      <c r="O62" s="31">
        <v>4837668117</v>
      </c>
      <c r="P62" s="32">
        <f t="shared" si="24"/>
        <v>2.0274573823711034E-2</v>
      </c>
      <c r="Q62" s="31">
        <v>5056485718</v>
      </c>
      <c r="R62" s="32">
        <f t="shared" si="25"/>
        <v>1.9590510007127554E-2</v>
      </c>
      <c r="S62" s="131">
        <f t="shared" si="5"/>
        <v>4.5232040666670643E-2</v>
      </c>
      <c r="T62" s="33">
        <f t="shared" si="26"/>
        <v>1.0928556527567354E-3</v>
      </c>
      <c r="U62" s="33">
        <f t="shared" si="27"/>
        <v>7.2541607048201692E-3</v>
      </c>
      <c r="V62" s="34" t="e">
        <f t="shared" si="30"/>
        <v>#DIV/0!</v>
      </c>
      <c r="W62" s="34" t="e">
        <f t="shared" si="31"/>
        <v>#DIV/0!</v>
      </c>
      <c r="X62" s="28">
        <v>1</v>
      </c>
      <c r="Y62" s="28">
        <v>1</v>
      </c>
      <c r="Z62" s="35">
        <v>1148</v>
      </c>
      <c r="AA62" s="57"/>
    </row>
    <row r="63" spans="1:27" ht="19.5" customHeight="1" x14ac:dyDescent="0.3">
      <c r="A63" s="25">
        <v>53</v>
      </c>
      <c r="B63" s="28" t="s">
        <v>2</v>
      </c>
      <c r="C63" s="27" t="s">
        <v>116</v>
      </c>
      <c r="D63" s="28"/>
      <c r="E63" s="28"/>
      <c r="F63" s="54">
        <v>10239076625.629999</v>
      </c>
      <c r="G63" s="28">
        <v>11242453355.370001</v>
      </c>
      <c r="H63" s="28"/>
      <c r="I63" s="28">
        <f>2918988.78+9907581.95</f>
        <v>12826570.729999999</v>
      </c>
      <c r="J63" s="28">
        <v>10610368414.98</v>
      </c>
      <c r="K63" s="28">
        <v>22474294.91</v>
      </c>
      <c r="L63" s="37">
        <v>115537426.94</v>
      </c>
      <c r="M63" s="28">
        <v>21852821770.349998</v>
      </c>
      <c r="N63" s="28">
        <v>67598026.439999998</v>
      </c>
      <c r="O63" s="31">
        <v>19382554878.25</v>
      </c>
      <c r="P63" s="32">
        <f t="shared" si="24"/>
        <v>8.1231913861611854E-2</v>
      </c>
      <c r="Q63" s="31">
        <v>21785223743.91</v>
      </c>
      <c r="R63" s="32">
        <f t="shared" si="25"/>
        <v>8.4403213528977991E-2</v>
      </c>
      <c r="S63" s="131">
        <f t="shared" si="5"/>
        <v>0.1239603798752113</v>
      </c>
      <c r="T63" s="33">
        <f t="shared" si="26"/>
        <v>1.0316302083554513E-3</v>
      </c>
      <c r="U63" s="33">
        <f t="shared" si="27"/>
        <v>5.3034767188148884E-3</v>
      </c>
      <c r="V63" s="34">
        <f t="shared" si="30"/>
        <v>3.8298554153645972</v>
      </c>
      <c r="W63" s="34">
        <f t="shared" si="31"/>
        <v>2.0311549031813265E-2</v>
      </c>
      <c r="X63" s="28">
        <v>3.83</v>
      </c>
      <c r="Y63" s="28">
        <v>3.83</v>
      </c>
      <c r="Z63" s="35">
        <v>1179</v>
      </c>
      <c r="AA63" s="57">
        <v>5688262710</v>
      </c>
    </row>
    <row r="64" spans="1:27" ht="16.5" x14ac:dyDescent="0.3">
      <c r="A64" s="25">
        <v>54</v>
      </c>
      <c r="B64" s="26" t="s">
        <v>1</v>
      </c>
      <c r="C64" s="53" t="s">
        <v>70</v>
      </c>
      <c r="D64" s="28"/>
      <c r="E64" s="28"/>
      <c r="F64" s="54">
        <v>23325860611.139999</v>
      </c>
      <c r="G64" s="28">
        <v>11904772081</v>
      </c>
      <c r="H64" s="28"/>
      <c r="I64" s="28"/>
      <c r="J64" s="28">
        <v>35233776134.760002</v>
      </c>
      <c r="K64" s="29">
        <v>34070942.479999997</v>
      </c>
      <c r="L64" s="30">
        <v>165327352.63</v>
      </c>
      <c r="M64" s="29">
        <v>35687818248.349998</v>
      </c>
      <c r="N64" s="29">
        <v>135483419.49000001</v>
      </c>
      <c r="O64" s="31">
        <v>35530271993.089996</v>
      </c>
      <c r="P64" s="32">
        <f t="shared" si="24"/>
        <v>0.14890668501400955</v>
      </c>
      <c r="Q64" s="31">
        <v>35552334828.860001</v>
      </c>
      <c r="R64" s="32">
        <f t="shared" si="25"/>
        <v>0.13774158775178236</v>
      </c>
      <c r="S64" s="131">
        <f t="shared" si="5"/>
        <v>6.2095881996892957E-4</v>
      </c>
      <c r="T64" s="33">
        <f t="shared" si="26"/>
        <v>9.5833206578439768E-4</v>
      </c>
      <c r="U64" s="33">
        <f t="shared" si="27"/>
        <v>4.6502530263017689E-3</v>
      </c>
      <c r="V64" s="34">
        <f t="shared" si="30"/>
        <v>3897.4283379292965</v>
      </c>
      <c r="W64" s="34">
        <f t="shared" si="31"/>
        <v>18.124027923249983</v>
      </c>
      <c r="X64" s="29">
        <v>3897.43</v>
      </c>
      <c r="Y64" s="28">
        <v>3897.43</v>
      </c>
      <c r="Z64" s="35">
        <v>297</v>
      </c>
      <c r="AA64" s="39">
        <v>9121998.3399999999</v>
      </c>
    </row>
    <row r="65" spans="1:29" ht="16.5" x14ac:dyDescent="0.3">
      <c r="A65" s="25">
        <v>55</v>
      </c>
      <c r="B65" s="26" t="s">
        <v>1</v>
      </c>
      <c r="C65" s="53" t="s">
        <v>69</v>
      </c>
      <c r="D65" s="28">
        <v>88199087.640000001</v>
      </c>
      <c r="E65" s="28"/>
      <c r="F65" s="28">
        <v>305867425.73000002</v>
      </c>
      <c r="G65" s="28">
        <v>16014344.26</v>
      </c>
      <c r="H65" s="28"/>
      <c r="I65" s="28"/>
      <c r="J65" s="28">
        <v>410532417.93000001</v>
      </c>
      <c r="K65" s="28">
        <v>387256.36</v>
      </c>
      <c r="L65" s="37">
        <v>5484867.2300000004</v>
      </c>
      <c r="M65" s="28">
        <v>410800161.63999999</v>
      </c>
      <c r="N65" s="28">
        <v>2652496.88</v>
      </c>
      <c r="O65" s="31">
        <v>402420294.70999998</v>
      </c>
      <c r="P65" s="32">
        <f t="shared" si="24"/>
        <v>1.6865356977644535E-3</v>
      </c>
      <c r="Q65" s="31">
        <v>408147664.75999999</v>
      </c>
      <c r="R65" s="32">
        <f t="shared" si="25"/>
        <v>1.5813000088981011E-3</v>
      </c>
      <c r="S65" s="131">
        <f t="shared" si="5"/>
        <v>1.4232309168520892E-2</v>
      </c>
      <c r="T65" s="33">
        <f t="shared" si="26"/>
        <v>9.4881434695385418E-4</v>
      </c>
      <c r="U65" s="33">
        <f t="shared" si="27"/>
        <v>1.3438438348594315E-2</v>
      </c>
      <c r="V65" s="34">
        <f t="shared" si="30"/>
        <v>3209.9352508746074</v>
      </c>
      <c r="W65" s="34">
        <f t="shared" si="31"/>
        <v>43.136516971858036</v>
      </c>
      <c r="X65" s="28">
        <v>3202.83</v>
      </c>
      <c r="Y65" s="28">
        <v>3214.96</v>
      </c>
      <c r="Z65" s="35">
        <v>18</v>
      </c>
      <c r="AA65" s="39">
        <v>127151.37</v>
      </c>
    </row>
    <row r="66" spans="1:29" ht="16.5" x14ac:dyDescent="0.3">
      <c r="A66" s="25">
        <v>56</v>
      </c>
      <c r="B66" s="26" t="s">
        <v>47</v>
      </c>
      <c r="C66" s="53" t="s">
        <v>72</v>
      </c>
      <c r="D66" s="28"/>
      <c r="E66" s="28"/>
      <c r="F66" s="28"/>
      <c r="G66" s="29">
        <v>5081703851.1499996</v>
      </c>
      <c r="H66" s="28"/>
      <c r="I66" s="28">
        <v>597739.17000000004</v>
      </c>
      <c r="J66" s="28">
        <v>8641578475.5900002</v>
      </c>
      <c r="K66" s="29">
        <v>9863050.1699999999</v>
      </c>
      <c r="L66" s="30">
        <v>84174271.030000001</v>
      </c>
      <c r="M66" s="28">
        <v>10850065279.219999</v>
      </c>
      <c r="N66" s="28">
        <v>159113120.47</v>
      </c>
      <c r="O66" s="31">
        <v>10228988583.870001</v>
      </c>
      <c r="P66" s="32">
        <f t="shared" si="24"/>
        <v>4.2869493973095904E-2</v>
      </c>
      <c r="Q66" s="31">
        <v>10690952158.75</v>
      </c>
      <c r="R66" s="32">
        <f t="shared" si="25"/>
        <v>4.1420309861876642E-2</v>
      </c>
      <c r="S66" s="131">
        <f t="shared" si="5"/>
        <v>4.5162194785168232E-2</v>
      </c>
      <c r="T66" s="33">
        <f t="shared" si="26"/>
        <v>9.2256050008862828E-4</v>
      </c>
      <c r="U66" s="33">
        <f t="shared" si="27"/>
        <v>7.873412001110457E-3</v>
      </c>
      <c r="V66" s="34">
        <f t="shared" si="30"/>
        <v>1143.044566397281</v>
      </c>
      <c r="W66" s="34">
        <f t="shared" si="31"/>
        <v>8.9996608068764505</v>
      </c>
      <c r="X66" s="28">
        <v>1143.24</v>
      </c>
      <c r="Y66" s="28">
        <v>1143.24</v>
      </c>
      <c r="Z66" s="106">
        <v>4058</v>
      </c>
      <c r="AA66" s="39">
        <v>9353049.2799999993</v>
      </c>
    </row>
    <row r="67" spans="1:29" ht="16.5" x14ac:dyDescent="0.3">
      <c r="A67" s="25">
        <v>57</v>
      </c>
      <c r="B67" s="28" t="s">
        <v>63</v>
      </c>
      <c r="C67" s="53" t="s">
        <v>75</v>
      </c>
      <c r="D67" s="28"/>
      <c r="E67" s="28"/>
      <c r="F67" s="28">
        <v>20577390.050000001</v>
      </c>
      <c r="G67" s="28">
        <v>33902942.140000001</v>
      </c>
      <c r="H67" s="38"/>
      <c r="I67" s="28"/>
      <c r="J67" s="28">
        <v>54480332.189999998</v>
      </c>
      <c r="K67" s="28">
        <v>653237.92000000004</v>
      </c>
      <c r="L67" s="37">
        <v>-542827.64</v>
      </c>
      <c r="M67" s="28">
        <v>55647518.710000001</v>
      </c>
      <c r="N67" s="28">
        <v>55142.73</v>
      </c>
      <c r="O67" s="31">
        <v>41143032.859999999</v>
      </c>
      <c r="P67" s="32">
        <f t="shared" si="24"/>
        <v>1.7242965761130548E-4</v>
      </c>
      <c r="Q67" s="31">
        <v>55285842.579999998</v>
      </c>
      <c r="R67" s="32">
        <f t="shared" si="25"/>
        <v>2.1419577008997468E-4</v>
      </c>
      <c r="S67" s="131">
        <f t="shared" si="5"/>
        <v>0.34374737924947418</v>
      </c>
      <c r="T67" s="33">
        <f t="shared" si="26"/>
        <v>1.1815645552561642E-2</v>
      </c>
      <c r="U67" s="33">
        <f t="shared" si="27"/>
        <v>-9.8185650189651138E-3</v>
      </c>
      <c r="V67" s="34">
        <f t="shared" si="30"/>
        <v>11.737626918786669</v>
      </c>
      <c r="W67" s="34">
        <f t="shared" si="31"/>
        <v>-0.11524665307046206</v>
      </c>
      <c r="X67" s="28">
        <v>11.7376</v>
      </c>
      <c r="Y67" s="28">
        <v>11.814399999999999</v>
      </c>
      <c r="Z67" s="35">
        <v>47</v>
      </c>
      <c r="AA67" s="39">
        <v>4710138</v>
      </c>
    </row>
    <row r="68" spans="1:29" ht="18.75" customHeight="1" x14ac:dyDescent="0.35">
      <c r="A68" s="25">
        <v>58</v>
      </c>
      <c r="B68" s="26" t="s">
        <v>40</v>
      </c>
      <c r="C68" s="27" t="s">
        <v>91</v>
      </c>
      <c r="D68" s="38"/>
      <c r="E68" s="28"/>
      <c r="F68" s="29">
        <v>23809965.289999999</v>
      </c>
      <c r="G68" s="29">
        <v>159769451.46000001</v>
      </c>
      <c r="H68" s="28"/>
      <c r="I68" s="28"/>
      <c r="J68" s="29">
        <v>184763567.19999999</v>
      </c>
      <c r="K68" s="29">
        <v>528759.93999999994</v>
      </c>
      <c r="L68" s="37">
        <v>325837.49</v>
      </c>
      <c r="M68" s="29">
        <v>167750828.06999999</v>
      </c>
      <c r="N68" s="29">
        <v>6018471.3600000003</v>
      </c>
      <c r="O68" s="31">
        <v>177059633.44999999</v>
      </c>
      <c r="P68" s="32">
        <f t="shared" si="24"/>
        <v>7.4205351065037518E-4</v>
      </c>
      <c r="Q68" s="31">
        <v>178745095.84</v>
      </c>
      <c r="R68" s="32">
        <f t="shared" si="25"/>
        <v>6.9251804198974972E-4</v>
      </c>
      <c r="S68" s="131">
        <f t="shared" si="5"/>
        <v>9.519179257060726E-3</v>
      </c>
      <c r="T68" s="33">
        <f t="shared" si="26"/>
        <v>2.9581787266113779E-3</v>
      </c>
      <c r="U68" s="33">
        <f t="shared" si="27"/>
        <v>1.8229170902214107E-3</v>
      </c>
      <c r="V68" s="34">
        <f t="shared" si="30"/>
        <v>0.78936989150227177</v>
      </c>
      <c r="W68" s="34">
        <f t="shared" si="31"/>
        <v>1.4389558657257118E-3</v>
      </c>
      <c r="X68" s="107">
        <v>0.78569999999999995</v>
      </c>
      <c r="Y68" s="107">
        <v>0.78569999999999995</v>
      </c>
      <c r="Z68" s="35">
        <v>840</v>
      </c>
      <c r="AA68" s="108">
        <v>226440225</v>
      </c>
      <c r="AB68" s="6"/>
      <c r="AC68" s="9"/>
    </row>
    <row r="69" spans="1:29" ht="16.5" x14ac:dyDescent="0.3">
      <c r="A69" s="25">
        <v>59</v>
      </c>
      <c r="B69" s="27" t="s">
        <v>1</v>
      </c>
      <c r="C69" s="27" t="s">
        <v>87</v>
      </c>
      <c r="D69" s="28"/>
      <c r="E69" s="28"/>
      <c r="F69" s="28"/>
      <c r="G69" s="28">
        <f>380*263885363.02</f>
        <v>100276437947.60001</v>
      </c>
      <c r="H69" s="28"/>
      <c r="I69" s="28"/>
      <c r="J69" s="28">
        <f>380*264360311.47</f>
        <v>100456918358.60001</v>
      </c>
      <c r="K69" s="28">
        <f>380*377342.76</f>
        <v>143390248.80000001</v>
      </c>
      <c r="L69" s="37">
        <f>380*1238231.05</f>
        <v>470527799</v>
      </c>
      <c r="M69" s="28">
        <f>380*277995128.02</f>
        <v>105638148647.59999</v>
      </c>
      <c r="N69" s="28">
        <f>380*1319036.55</f>
        <v>501233889</v>
      </c>
      <c r="O69" s="31">
        <v>101919642425.39999</v>
      </c>
      <c r="P69" s="32">
        <f t="shared" si="24"/>
        <v>0.42714325672291736</v>
      </c>
      <c r="Q69" s="31">
        <f>380*276676091.47</f>
        <v>105136914758.60001</v>
      </c>
      <c r="R69" s="32">
        <f t="shared" si="25"/>
        <v>0.40733542930119077</v>
      </c>
      <c r="S69" s="131">
        <f t="shared" ref="S69:S118" si="32">((Q69-O69)/O69)</f>
        <v>3.1566754519913982E-2</v>
      </c>
      <c r="T69" s="33">
        <f t="shared" si="26"/>
        <v>1.3638430339070887E-3</v>
      </c>
      <c r="U69" s="33">
        <f t="shared" si="27"/>
        <v>4.4753814593129068E-3</v>
      </c>
      <c r="V69" s="34">
        <f t="shared" si="30"/>
        <v>459.29321384148369</v>
      </c>
      <c r="W69" s="34">
        <f t="shared" si="31"/>
        <v>2.0555123336144145</v>
      </c>
      <c r="X69" s="28">
        <f>380*1.2087</f>
        <v>459.30600000000004</v>
      </c>
      <c r="Y69" s="28">
        <f>380*1.2087</f>
        <v>459.30600000000004</v>
      </c>
      <c r="Z69" s="103">
        <v>2621</v>
      </c>
      <c r="AA69" s="104">
        <v>228910229</v>
      </c>
    </row>
    <row r="70" spans="1:29" ht="16.5" x14ac:dyDescent="0.3">
      <c r="A70" s="25">
        <v>60</v>
      </c>
      <c r="B70" s="27" t="s">
        <v>84</v>
      </c>
      <c r="C70" s="27" t="s">
        <v>88</v>
      </c>
      <c r="D70" s="28"/>
      <c r="E70" s="38"/>
      <c r="F70" s="28">
        <v>76357809.840000004</v>
      </c>
      <c r="G70" s="28">
        <v>538343932.08000004</v>
      </c>
      <c r="H70" s="28"/>
      <c r="I70" s="28"/>
      <c r="J70" s="28">
        <v>742688891.11000001</v>
      </c>
      <c r="K70" s="28">
        <v>1210714.8400000001</v>
      </c>
      <c r="L70" s="37">
        <v>4946837.1399999997</v>
      </c>
      <c r="M70" s="28">
        <v>742688891.11000001</v>
      </c>
      <c r="N70" s="28">
        <v>8421571.3699999992</v>
      </c>
      <c r="O70" s="31">
        <v>645285947.29999995</v>
      </c>
      <c r="P70" s="32">
        <f t="shared" si="24"/>
        <v>2.7043809661027964E-3</v>
      </c>
      <c r="Q70" s="31">
        <v>734268497.13999999</v>
      </c>
      <c r="R70" s="32">
        <f t="shared" si="25"/>
        <v>2.8448007456904831E-3</v>
      </c>
      <c r="S70" s="131">
        <f t="shared" si="32"/>
        <v>0.13789630815969273</v>
      </c>
      <c r="T70" s="33">
        <f t="shared" si="26"/>
        <v>1.6488721015756149E-3</v>
      </c>
      <c r="U70" s="33">
        <f t="shared" si="27"/>
        <v>6.7370957071808115E-3</v>
      </c>
      <c r="V70" s="34">
        <f t="shared" si="30"/>
        <v>1191.764821423511</v>
      </c>
      <c r="W70" s="34">
        <f t="shared" si="31"/>
        <v>8.0290336623814422</v>
      </c>
      <c r="X70" s="28">
        <v>1191.76</v>
      </c>
      <c r="Y70" s="28">
        <v>1205.43</v>
      </c>
      <c r="Z70" s="81">
        <v>146</v>
      </c>
      <c r="AA70" s="104">
        <v>616118.62</v>
      </c>
    </row>
    <row r="71" spans="1:29" ht="16.5" x14ac:dyDescent="0.3">
      <c r="A71" s="25">
        <v>61</v>
      </c>
      <c r="B71" s="26" t="s">
        <v>26</v>
      </c>
      <c r="C71" s="27" t="s">
        <v>82</v>
      </c>
      <c r="D71" s="28">
        <v>21561593.199999999</v>
      </c>
      <c r="E71" s="28"/>
      <c r="F71" s="28">
        <v>225797132.13999999</v>
      </c>
      <c r="G71" s="28"/>
      <c r="H71" s="28"/>
      <c r="I71" s="28"/>
      <c r="J71" s="28">
        <v>247358725.34</v>
      </c>
      <c r="K71" s="28">
        <v>315385.76</v>
      </c>
      <c r="L71" s="37">
        <v>3729204.55</v>
      </c>
      <c r="M71" s="28">
        <v>258657775.88</v>
      </c>
      <c r="N71" s="28">
        <v>3832650.9</v>
      </c>
      <c r="O71" s="31">
        <v>246554953.00999999</v>
      </c>
      <c r="P71" s="32">
        <f t="shared" si="24"/>
        <v>1.0333070552807518E-3</v>
      </c>
      <c r="Q71" s="31">
        <v>254825124.97999999</v>
      </c>
      <c r="R71" s="32">
        <f t="shared" si="25"/>
        <v>9.8727741743978928E-4</v>
      </c>
      <c r="S71" s="131">
        <f t="shared" si="32"/>
        <v>3.3542915561159181E-2</v>
      </c>
      <c r="T71" s="33">
        <f t="shared" si="26"/>
        <v>1.237655666900009E-3</v>
      </c>
      <c r="U71" s="33">
        <f t="shared" si="27"/>
        <v>1.4634367589509423E-2</v>
      </c>
      <c r="V71" s="34">
        <f t="shared" si="30"/>
        <v>137.68818119650936</v>
      </c>
      <c r="W71" s="34">
        <f t="shared" si="31"/>
        <v>2.0149794563606971</v>
      </c>
      <c r="X71" s="28">
        <v>151.63999999999999</v>
      </c>
      <c r="Y71" s="28">
        <v>152.4</v>
      </c>
      <c r="Z71" s="35">
        <v>18</v>
      </c>
      <c r="AA71" s="39">
        <v>1850740.73</v>
      </c>
    </row>
    <row r="72" spans="1:29" ht="16.5" x14ac:dyDescent="0.3">
      <c r="A72" s="25">
        <v>62</v>
      </c>
      <c r="B72" s="28" t="s">
        <v>28</v>
      </c>
      <c r="C72" s="53" t="s">
        <v>104</v>
      </c>
      <c r="D72" s="28"/>
      <c r="E72" s="28"/>
      <c r="F72" s="28">
        <v>4765942473.0200005</v>
      </c>
      <c r="G72" s="28">
        <v>13280981052.209999</v>
      </c>
      <c r="H72" s="28"/>
      <c r="I72" s="28"/>
      <c r="J72" s="28">
        <v>18046923525.23</v>
      </c>
      <c r="K72" s="28">
        <v>29239954.149999999</v>
      </c>
      <c r="L72" s="37">
        <v>160379660.38</v>
      </c>
      <c r="M72" s="28">
        <v>18046923525.23</v>
      </c>
      <c r="N72" s="28">
        <v>69810717.530000001</v>
      </c>
      <c r="O72" s="31">
        <v>14973226722</v>
      </c>
      <c r="P72" s="32">
        <f t="shared" si="24"/>
        <v>6.2752504556391364E-2</v>
      </c>
      <c r="Q72" s="31">
        <v>17977112807.700001</v>
      </c>
      <c r="R72" s="32">
        <f t="shared" si="25"/>
        <v>6.9649323265132526E-2</v>
      </c>
      <c r="S72" s="131">
        <f t="shared" si="32"/>
        <v>0.20061715096362118</v>
      </c>
      <c r="T72" s="33">
        <f t="shared" si="26"/>
        <v>1.6265100220918605E-3</v>
      </c>
      <c r="U72" s="33">
        <f t="shared" si="27"/>
        <v>8.9213246918774299E-3</v>
      </c>
      <c r="V72" s="34">
        <f t="shared" si="30"/>
        <v>24.458074266602058</v>
      </c>
      <c r="W72" s="34">
        <f t="shared" si="31"/>
        <v>0.21819842187040889</v>
      </c>
      <c r="X72" s="28">
        <v>24.458100000000002</v>
      </c>
      <c r="Y72" s="28">
        <v>24.458100000000002</v>
      </c>
      <c r="Z72" s="35">
        <v>1402</v>
      </c>
      <c r="AA72" s="39">
        <v>735017508.39999998</v>
      </c>
      <c r="AC72" s="11"/>
    </row>
    <row r="73" spans="1:29" ht="16.5" x14ac:dyDescent="0.3">
      <c r="A73" s="25">
        <v>63</v>
      </c>
      <c r="B73" s="28" t="s">
        <v>26</v>
      </c>
      <c r="C73" s="41" t="s">
        <v>123</v>
      </c>
      <c r="D73" s="38"/>
      <c r="E73" s="28"/>
      <c r="F73" s="28">
        <f>380*50000</f>
        <v>19000000</v>
      </c>
      <c r="G73" s="28">
        <f>380*3738000</f>
        <v>1420440000</v>
      </c>
      <c r="H73" s="38"/>
      <c r="I73" s="28">
        <f>380*1695.06</f>
        <v>644122.79999999993</v>
      </c>
      <c r="J73" s="28">
        <f>380*3789695.06</f>
        <v>1440084122.8</v>
      </c>
      <c r="K73" s="28">
        <f>380*6623.21</f>
        <v>2516819.7999999998</v>
      </c>
      <c r="L73" s="37">
        <f>380*-30556.17</f>
        <v>-11611344.6</v>
      </c>
      <c r="M73" s="28">
        <f>380*3814745.86</f>
        <v>1449603426.8</v>
      </c>
      <c r="N73" s="28">
        <f>380*41107.48</f>
        <v>15620842.4</v>
      </c>
      <c r="O73" s="31">
        <v>1499951811.8</v>
      </c>
      <c r="P73" s="32">
        <f t="shared" si="24"/>
        <v>6.2862691290214061E-3</v>
      </c>
      <c r="Q73" s="31">
        <f>380*3773638.38</f>
        <v>1433982584.3999999</v>
      </c>
      <c r="R73" s="32">
        <f t="shared" si="25"/>
        <v>5.5557261972938544E-3</v>
      </c>
      <c r="S73" s="131">
        <f t="shared" si="32"/>
        <v>-4.3980897840200935E-2</v>
      </c>
      <c r="T73" s="33">
        <f t="shared" si="26"/>
        <v>1.7551257786391286E-3</v>
      </c>
      <c r="U73" s="33">
        <f t="shared" si="27"/>
        <v>-8.0972703060116745E-3</v>
      </c>
      <c r="V73" s="34">
        <f t="shared" si="30"/>
        <v>364.99884233636942</v>
      </c>
      <c r="W73" s="34">
        <f t="shared" si="31"/>
        <v>-2.9554942877789214</v>
      </c>
      <c r="X73" s="107">
        <f>380*1.04</f>
        <v>395.2</v>
      </c>
      <c r="Y73" s="107">
        <f>380*1.04</f>
        <v>395.2</v>
      </c>
      <c r="Z73" s="38">
        <v>267</v>
      </c>
      <c r="AA73" s="39">
        <v>3928731.87</v>
      </c>
    </row>
    <row r="74" spans="1:29" s="7" customFormat="1" ht="16.5" x14ac:dyDescent="0.3">
      <c r="A74" s="25">
        <v>64</v>
      </c>
      <c r="B74" s="45" t="s">
        <v>89</v>
      </c>
      <c r="C74" s="41" t="s">
        <v>90</v>
      </c>
      <c r="D74" s="45"/>
      <c r="E74" s="48"/>
      <c r="F74" s="29">
        <v>131429376.5</v>
      </c>
      <c r="G74" s="29">
        <v>410658414.37</v>
      </c>
      <c r="H74" s="45"/>
      <c r="I74" s="45"/>
      <c r="J74" s="29">
        <v>542087790.87</v>
      </c>
      <c r="K74" s="29">
        <v>12583959.33</v>
      </c>
      <c r="L74" s="37">
        <v>2578691.56</v>
      </c>
      <c r="M74" s="45">
        <v>555972171.54999995</v>
      </c>
      <c r="N74" s="45">
        <v>1897352.36</v>
      </c>
      <c r="O74" s="31">
        <v>520526374.63</v>
      </c>
      <c r="P74" s="32">
        <f t="shared" si="24"/>
        <v>2.1815160020049388E-3</v>
      </c>
      <c r="Q74" s="31">
        <v>554074819.19000006</v>
      </c>
      <c r="R74" s="32">
        <f t="shared" si="25"/>
        <v>2.1466704140781054E-3</v>
      </c>
      <c r="S74" s="131">
        <f t="shared" si="32"/>
        <v>6.4450998441427543E-2</v>
      </c>
      <c r="T74" s="33">
        <f t="shared" si="26"/>
        <v>2.2711660761621406E-2</v>
      </c>
      <c r="U74" s="33">
        <f t="shared" si="27"/>
        <v>4.6540493642533327E-3</v>
      </c>
      <c r="V74" s="34">
        <f t="shared" si="30"/>
        <v>157.770004237916</v>
      </c>
      <c r="W74" s="34">
        <f t="shared" si="31"/>
        <v>0.73426938792171859</v>
      </c>
      <c r="X74" s="45">
        <v>157.77000000000001</v>
      </c>
      <c r="Y74" s="45">
        <v>158.31030000000001</v>
      </c>
      <c r="Z74" s="89">
        <v>328</v>
      </c>
      <c r="AA74" s="109">
        <v>3511914.84</v>
      </c>
    </row>
    <row r="75" spans="1:29" ht="16.5" x14ac:dyDescent="0.3">
      <c r="A75" s="25">
        <v>65</v>
      </c>
      <c r="B75" s="28" t="s">
        <v>97</v>
      </c>
      <c r="C75" s="53" t="s">
        <v>99</v>
      </c>
      <c r="D75" s="28"/>
      <c r="E75" s="28"/>
      <c r="F75" s="54">
        <v>353936324.81</v>
      </c>
      <c r="G75" s="28">
        <v>2274637017.2800002</v>
      </c>
      <c r="H75" s="28"/>
      <c r="I75" s="28"/>
      <c r="J75" s="28">
        <v>2628575056.8099999</v>
      </c>
      <c r="K75" s="28">
        <v>3987015.54</v>
      </c>
      <c r="L75" s="37">
        <v>90132375.590000004</v>
      </c>
      <c r="M75" s="28">
        <v>2657577875.96</v>
      </c>
      <c r="N75" s="28">
        <v>8187421.7000000002</v>
      </c>
      <c r="O75" s="31">
        <v>2315560982.4699998</v>
      </c>
      <c r="P75" s="32">
        <f t="shared" si="24"/>
        <v>9.7044714409855529E-3</v>
      </c>
      <c r="Q75" s="31">
        <v>2649390454.2600002</v>
      </c>
      <c r="R75" s="32">
        <f t="shared" si="25"/>
        <v>1.0264621142349037E-2</v>
      </c>
      <c r="S75" s="131">
        <f t="shared" si="32"/>
        <v>0.14416786010701643</v>
      </c>
      <c r="T75" s="33">
        <f t="shared" si="26"/>
        <v>1.5048803144848695E-3</v>
      </c>
      <c r="U75" s="33">
        <f t="shared" si="27"/>
        <v>3.4020042400724516E-2</v>
      </c>
      <c r="V75" s="34">
        <f t="shared" si="30"/>
        <v>1.6060194572883002</v>
      </c>
      <c r="W75" s="34">
        <f t="shared" si="31"/>
        <v>5.4636850033336556E-2</v>
      </c>
      <c r="X75" s="28">
        <v>1.6060000000000001</v>
      </c>
      <c r="Y75" s="28">
        <v>1.6060000000000001</v>
      </c>
      <c r="Z75" s="35">
        <v>91</v>
      </c>
      <c r="AA75" s="39">
        <v>1649662737.4200001</v>
      </c>
    </row>
    <row r="76" spans="1:29" ht="16.5" x14ac:dyDescent="0.3">
      <c r="A76" s="25">
        <v>66</v>
      </c>
      <c r="B76" s="28" t="s">
        <v>1</v>
      </c>
      <c r="C76" s="53" t="s">
        <v>142</v>
      </c>
      <c r="D76" s="28"/>
      <c r="E76" s="28"/>
      <c r="F76" s="28">
        <v>639816820.25</v>
      </c>
      <c r="G76" s="28">
        <v>4739731477.0100002</v>
      </c>
      <c r="H76" s="28"/>
      <c r="I76" s="28"/>
      <c r="J76" s="28">
        <v>5489028504.7600002</v>
      </c>
      <c r="K76" s="28">
        <v>7661228.9199999999</v>
      </c>
      <c r="L76" s="37">
        <v>30200014.969999999</v>
      </c>
      <c r="M76" s="28">
        <v>6505192505.1800003</v>
      </c>
      <c r="N76" s="28">
        <v>22191687.489999998</v>
      </c>
      <c r="O76" s="31">
        <v>4727588394</v>
      </c>
      <c r="P76" s="32">
        <f t="shared" si="24"/>
        <v>1.9813231826599997E-2</v>
      </c>
      <c r="Q76" s="31">
        <v>6483000817.6899996</v>
      </c>
      <c r="R76" s="32">
        <f t="shared" si="25"/>
        <v>2.5117304681205873E-2</v>
      </c>
      <c r="S76" s="131">
        <f t="shared" si="32"/>
        <v>0.37131244884133191</v>
      </c>
      <c r="T76" s="33">
        <f t="shared" si="26"/>
        <v>1.1817411620703485E-3</v>
      </c>
      <c r="U76" s="33">
        <f t="shared" si="27"/>
        <v>4.6583389111403452E-3</v>
      </c>
      <c r="V76" s="34">
        <f t="shared" si="30"/>
        <v>109.6915078837791</v>
      </c>
      <c r="W76" s="34">
        <f t="shared" si="31"/>
        <v>0.51098021939666605</v>
      </c>
      <c r="X76" s="28">
        <v>109.69</v>
      </c>
      <c r="Y76" s="28">
        <v>109.69</v>
      </c>
      <c r="Z76" s="35">
        <v>805</v>
      </c>
      <c r="AA76" s="39">
        <v>59102121.420000002</v>
      </c>
    </row>
    <row r="77" spans="1:29" ht="16.5" x14ac:dyDescent="0.3">
      <c r="A77" s="25">
        <v>67</v>
      </c>
      <c r="B77" s="66" t="s">
        <v>154</v>
      </c>
      <c r="C77" s="42" t="s">
        <v>156</v>
      </c>
      <c r="D77" s="28"/>
      <c r="E77" s="28"/>
      <c r="F77" s="28">
        <v>23806360.039999999</v>
      </c>
      <c r="G77" s="28">
        <v>462483457.56</v>
      </c>
      <c r="H77" s="28"/>
      <c r="I77" s="28"/>
      <c r="J77" s="28">
        <v>486291510.69999999</v>
      </c>
      <c r="K77" s="28">
        <v>603124.18999999994</v>
      </c>
      <c r="L77" s="37">
        <v>2477782.5699999998</v>
      </c>
      <c r="M77" s="28">
        <v>489235651.42000002</v>
      </c>
      <c r="N77" s="28">
        <v>66970.27</v>
      </c>
      <c r="O77" s="31">
        <v>420052999.06999999</v>
      </c>
      <c r="P77" s="32">
        <f t="shared" si="24"/>
        <v>1.7604340218355531E-3</v>
      </c>
      <c r="Q77" s="31">
        <v>489168681.14999998</v>
      </c>
      <c r="R77" s="32">
        <f t="shared" si="25"/>
        <v>1.8952024148172352E-3</v>
      </c>
      <c r="S77" s="131">
        <f t="shared" si="32"/>
        <v>0.16454038474435975</v>
      </c>
      <c r="T77" s="33">
        <f t="shared" si="26"/>
        <v>1.2329574914364894E-3</v>
      </c>
      <c r="U77" s="33">
        <f t="shared" si="27"/>
        <v>5.0652927415036327E-3</v>
      </c>
      <c r="V77" s="34">
        <f t="shared" si="30"/>
        <v>1.3245787444403345</v>
      </c>
      <c r="W77" s="34">
        <f t="shared" si="31"/>
        <v>6.7093790997636224E-3</v>
      </c>
      <c r="X77" s="28">
        <v>1.32</v>
      </c>
      <c r="Y77" s="28">
        <v>1.32</v>
      </c>
      <c r="Z77" s="35">
        <v>174</v>
      </c>
      <c r="AA77" s="39">
        <v>369301321.80000001</v>
      </c>
    </row>
    <row r="78" spans="1:29" ht="16.5" x14ac:dyDescent="0.3">
      <c r="A78" s="52">
        <v>68</v>
      </c>
      <c r="B78" s="42" t="s">
        <v>73</v>
      </c>
      <c r="C78" s="42" t="s">
        <v>165</v>
      </c>
      <c r="D78" s="28"/>
      <c r="E78" s="28"/>
      <c r="F78" s="28"/>
      <c r="G78" s="28">
        <v>1187856981.8</v>
      </c>
      <c r="H78" s="28"/>
      <c r="I78" s="28"/>
      <c r="J78" s="28">
        <v>1187856981.8</v>
      </c>
      <c r="K78" s="28">
        <v>2003274.24</v>
      </c>
      <c r="L78" s="37">
        <v>6391220.2199999997</v>
      </c>
      <c r="M78" s="110">
        <v>1353778991.26</v>
      </c>
      <c r="N78" s="28">
        <v>48032878.579999998</v>
      </c>
      <c r="O78" s="31">
        <v>1276287083.9400001</v>
      </c>
      <c r="P78" s="32">
        <f t="shared" si="24"/>
        <v>5.3488945660946034E-3</v>
      </c>
      <c r="Q78" s="31">
        <v>1305746112.6900001</v>
      </c>
      <c r="R78" s="32">
        <f t="shared" si="25"/>
        <v>5.0588953898082281E-3</v>
      </c>
      <c r="S78" s="131">
        <f t="shared" si="32"/>
        <v>2.3081820007970016E-2</v>
      </c>
      <c r="T78" s="33">
        <f t="shared" si="26"/>
        <v>1.5341988925190095E-3</v>
      </c>
      <c r="U78" s="33">
        <f t="shared" si="27"/>
        <v>4.8946882995755487E-3</v>
      </c>
      <c r="V78" s="34">
        <f t="shared" si="30"/>
        <v>43521.968958402773</v>
      </c>
      <c r="W78" s="34">
        <f t="shared" si="31"/>
        <v>213.02647223518431</v>
      </c>
      <c r="X78" s="28">
        <v>39111.269999999997</v>
      </c>
      <c r="Y78" s="28">
        <v>39111.269999999997</v>
      </c>
      <c r="Z78" s="35">
        <v>229</v>
      </c>
      <c r="AA78" s="39">
        <v>30002</v>
      </c>
    </row>
    <row r="79" spans="1:29" ht="16.5" x14ac:dyDescent="0.3">
      <c r="A79" s="52">
        <v>69</v>
      </c>
      <c r="B79" s="105" t="s">
        <v>61</v>
      </c>
      <c r="C79" s="27" t="s">
        <v>166</v>
      </c>
      <c r="D79" s="28">
        <v>737820520.44000006</v>
      </c>
      <c r="E79" s="28"/>
      <c r="F79" s="28">
        <v>267084333.72</v>
      </c>
      <c r="G79" s="28">
        <v>737820520.44000006</v>
      </c>
      <c r="H79" s="28"/>
      <c r="I79" s="28"/>
      <c r="J79" s="28">
        <v>1004904854.16</v>
      </c>
      <c r="K79" s="28">
        <v>6538666.4500000002</v>
      </c>
      <c r="L79" s="37">
        <v>2893657.16</v>
      </c>
      <c r="M79" s="28">
        <v>2267034112</v>
      </c>
      <c r="N79" s="28">
        <v>9069817</v>
      </c>
      <c r="O79" s="31">
        <v>1261134742</v>
      </c>
      <c r="P79" s="32">
        <f t="shared" si="24"/>
        <v>5.2853913931123373E-3</v>
      </c>
      <c r="Q79" s="31">
        <v>2257964295</v>
      </c>
      <c r="R79" s="32">
        <f t="shared" si="25"/>
        <v>8.7481058157582257E-3</v>
      </c>
      <c r="S79" s="131">
        <f t="shared" si="32"/>
        <v>0.79042271995390001</v>
      </c>
      <c r="T79" s="33">
        <f t="shared" si="26"/>
        <v>2.8958236693463748E-3</v>
      </c>
      <c r="U79" s="33">
        <f t="shared" si="27"/>
        <v>1.2815336214162768E-3</v>
      </c>
      <c r="V79" s="34">
        <f t="shared" si="30"/>
        <v>1.088755499572772</v>
      </c>
      <c r="W79" s="34">
        <f t="shared" si="31"/>
        <v>1.395276778204382E-3</v>
      </c>
      <c r="X79" s="28">
        <v>1.0900000000000001</v>
      </c>
      <c r="Y79" s="28">
        <v>1.0900000000000001</v>
      </c>
      <c r="Z79" s="35">
        <v>262</v>
      </c>
      <c r="AA79" s="39">
        <v>2073894732</v>
      </c>
    </row>
    <row r="80" spans="1:29" ht="16.5" x14ac:dyDescent="0.3">
      <c r="A80" s="52">
        <v>70</v>
      </c>
      <c r="B80" s="105" t="s">
        <v>167</v>
      </c>
      <c r="C80" s="27" t="s">
        <v>168</v>
      </c>
      <c r="D80" s="53"/>
      <c r="E80" s="53"/>
      <c r="F80" s="53"/>
      <c r="G80" s="53">
        <f>380*899888.31</f>
        <v>341957557.80000001</v>
      </c>
      <c r="H80" s="53"/>
      <c r="I80" s="53"/>
      <c r="J80" s="53">
        <f>380*899888.31</f>
        <v>341957557.80000001</v>
      </c>
      <c r="K80" s="53">
        <f>380*1550.13</f>
        <v>589049.4</v>
      </c>
      <c r="L80" s="67">
        <f>380*5240.69</f>
        <v>1991462.2</v>
      </c>
      <c r="M80" s="53">
        <f>380*1128802.1</f>
        <v>428944798.00000006</v>
      </c>
      <c r="N80" s="53">
        <f>380*5092.7</f>
        <v>1935226</v>
      </c>
      <c r="O80" s="31">
        <v>423235731.19999999</v>
      </c>
      <c r="P80" s="32">
        <f t="shared" si="24"/>
        <v>1.7737727908395744E-3</v>
      </c>
      <c r="Q80" s="68">
        <v>427009572</v>
      </c>
      <c r="R80" s="32">
        <f t="shared" si="25"/>
        <v>1.6543773205225244E-3</v>
      </c>
      <c r="S80" s="131">
        <f t="shared" si="32"/>
        <v>8.9166403538284526E-3</v>
      </c>
      <c r="T80" s="33">
        <f t="shared" si="26"/>
        <v>1.3794758680491595E-3</v>
      </c>
      <c r="U80" s="33">
        <f t="shared" si="27"/>
        <v>4.6637413551937892E-3</v>
      </c>
      <c r="V80" s="34">
        <f t="shared" si="30"/>
        <v>37939.544380275431</v>
      </c>
      <c r="W80" s="34">
        <f t="shared" si="31"/>
        <v>176.94022212350066</v>
      </c>
      <c r="X80" s="28">
        <f>380*99.84</f>
        <v>37939.200000000004</v>
      </c>
      <c r="Y80" s="28">
        <f>380*99.84</f>
        <v>37939.200000000004</v>
      </c>
      <c r="Z80" s="35">
        <v>40</v>
      </c>
      <c r="AA80" s="39">
        <v>11255</v>
      </c>
    </row>
    <row r="81" spans="1:29" ht="16.5" x14ac:dyDescent="0.3">
      <c r="A81" s="90"/>
      <c r="B81" s="74"/>
      <c r="C81" s="75" t="s">
        <v>59</v>
      </c>
      <c r="D81" s="28"/>
      <c r="E81" s="28"/>
      <c r="F81" s="28"/>
      <c r="G81" s="28"/>
      <c r="H81" s="28"/>
      <c r="I81" s="28"/>
      <c r="J81" s="28"/>
      <c r="K81" s="28"/>
      <c r="L81" s="37"/>
      <c r="M81" s="28"/>
      <c r="N81" s="28"/>
      <c r="O81" s="76">
        <f>SUM(O58:O80)</f>
        <v>238607635310.31003</v>
      </c>
      <c r="P81" s="77">
        <f>(O81/$O$118)</f>
        <v>0.17915646102483632</v>
      </c>
      <c r="Q81" s="76">
        <f>SUM(Q58:Q80)</f>
        <v>258108937243.61005</v>
      </c>
      <c r="R81" s="77">
        <f>(Q81/$Q$118)</f>
        <v>0.18821021941279711</v>
      </c>
      <c r="S81" s="131">
        <f t="shared" si="32"/>
        <v>8.1729580480266323E-2</v>
      </c>
      <c r="T81" s="33"/>
      <c r="U81" s="33"/>
      <c r="V81" s="34"/>
      <c r="W81" s="34"/>
      <c r="X81" s="28"/>
      <c r="Y81" s="28"/>
      <c r="Z81" s="78">
        <f>SUM(Z58:Z80)</f>
        <v>30172</v>
      </c>
      <c r="AA81" s="39"/>
    </row>
    <row r="82" spans="1:29" ht="16.5" x14ac:dyDescent="0.3">
      <c r="A82" s="92"/>
      <c r="B82" s="93"/>
      <c r="C82" s="94" t="s">
        <v>31</v>
      </c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31"/>
      <c r="P82" s="32"/>
      <c r="Q82" s="31"/>
      <c r="R82" s="32"/>
      <c r="S82" s="131"/>
      <c r="T82" s="33"/>
      <c r="U82" s="33"/>
      <c r="V82" s="34"/>
      <c r="W82" s="34"/>
      <c r="X82" s="95"/>
      <c r="Y82" s="95"/>
      <c r="Z82" s="95"/>
      <c r="AA82" s="98"/>
    </row>
    <row r="83" spans="1:29" s="7" customFormat="1" ht="16.5" x14ac:dyDescent="0.3">
      <c r="A83" s="40">
        <v>71</v>
      </c>
      <c r="B83" s="66" t="s">
        <v>29</v>
      </c>
      <c r="C83" s="42" t="s">
        <v>152</v>
      </c>
      <c r="D83" s="45"/>
      <c r="E83" s="45"/>
      <c r="F83" s="45">
        <v>114621935.02</v>
      </c>
      <c r="G83" s="45">
        <v>546544390</v>
      </c>
      <c r="H83" s="45">
        <v>1762390000</v>
      </c>
      <c r="I83" s="45">
        <v>554382.86</v>
      </c>
      <c r="J83" s="45">
        <v>2424110707.8800001</v>
      </c>
      <c r="K83" s="45">
        <v>9881354.7799999993</v>
      </c>
      <c r="L83" s="37">
        <v>9856099.2200000007</v>
      </c>
      <c r="M83" s="45">
        <v>2436274294</v>
      </c>
      <c r="N83" s="45">
        <v>191777264</v>
      </c>
      <c r="O83" s="31">
        <v>2361098335</v>
      </c>
      <c r="P83" s="32">
        <f>(O83/$O$86)</f>
        <v>5.3502958247721756E-2</v>
      </c>
      <c r="Q83" s="31">
        <v>2244497030</v>
      </c>
      <c r="R83" s="32">
        <f>(Q83/$Q$86)</f>
        <v>5.1299637127101373E-2</v>
      </c>
      <c r="S83" s="131">
        <f t="shared" si="32"/>
        <v>-4.9384349339266297E-2</v>
      </c>
      <c r="T83" s="33">
        <f>(K83/Q83)</f>
        <v>4.4024806662363901E-3</v>
      </c>
      <c r="U83" s="33">
        <f>L83/Q83</f>
        <v>4.3912284526391203E-3</v>
      </c>
      <c r="V83" s="34" t="e">
        <f t="shared" si="28"/>
        <v>#DIV/0!</v>
      </c>
      <c r="W83" s="34" t="e">
        <f>L83/AA83</f>
        <v>#DIV/0!</v>
      </c>
      <c r="X83" s="45"/>
      <c r="Y83" s="45"/>
      <c r="Z83" s="89">
        <v>2618</v>
      </c>
      <c r="AA83" s="50"/>
    </row>
    <row r="84" spans="1:29" ht="16.5" x14ac:dyDescent="0.3">
      <c r="A84" s="25">
        <v>72</v>
      </c>
      <c r="B84" s="26" t="s">
        <v>29</v>
      </c>
      <c r="C84" s="27" t="s">
        <v>32</v>
      </c>
      <c r="D84" s="28"/>
      <c r="E84" s="28"/>
      <c r="F84" s="28"/>
      <c r="G84" s="28">
        <v>599683950.58000004</v>
      </c>
      <c r="H84" s="28" t="s">
        <v>169</v>
      </c>
      <c r="I84" s="28">
        <v>84961783.390000001</v>
      </c>
      <c r="J84" s="28">
        <v>10605942964.83</v>
      </c>
      <c r="K84" s="28">
        <v>14333427.380000001</v>
      </c>
      <c r="L84" s="37">
        <v>49278713.130000003</v>
      </c>
      <c r="M84" s="28">
        <v>10826836303.67</v>
      </c>
      <c r="N84" s="28">
        <v>1061795338.79</v>
      </c>
      <c r="O84" s="31">
        <v>10044477756</v>
      </c>
      <c r="P84" s="32">
        <f>(O84/$O$86)</f>
        <v>0.22760986530424956</v>
      </c>
      <c r="Q84" s="31">
        <v>9765040965</v>
      </c>
      <c r="R84" s="32">
        <f>(Q84/$Q$86)</f>
        <v>0.22318722250025869</v>
      </c>
      <c r="S84" s="131">
        <f t="shared" si="32"/>
        <v>-2.7819942239712795E-2</v>
      </c>
      <c r="T84" s="33">
        <f>(K84/Q84)</f>
        <v>1.4678307475999412E-3</v>
      </c>
      <c r="U84" s="33">
        <f t="shared" ref="U84:U85" si="33">L84/Q84</f>
        <v>5.0464420279060247E-3</v>
      </c>
      <c r="V84" s="34">
        <f t="shared" ref="V84:V85" si="34">Q84/AA84</f>
        <v>51.906624456685037</v>
      </c>
      <c r="W84" s="34">
        <f t="shared" ref="W84:W85" si="35">L84/AA84</f>
        <v>0.2619437711849501</v>
      </c>
      <c r="X84" s="28">
        <v>40.700000000000003</v>
      </c>
      <c r="Y84" s="28">
        <v>40.700000000000003</v>
      </c>
      <c r="Z84" s="35">
        <v>5233</v>
      </c>
      <c r="AA84" s="39">
        <v>188127066</v>
      </c>
      <c r="AC84" s="12"/>
    </row>
    <row r="85" spans="1:29" ht="16.5" x14ac:dyDescent="0.3">
      <c r="A85" s="52">
        <v>73</v>
      </c>
      <c r="B85" s="53" t="s">
        <v>24</v>
      </c>
      <c r="C85" s="27" t="s">
        <v>33</v>
      </c>
      <c r="D85" s="28"/>
      <c r="E85" s="28"/>
      <c r="F85" s="28">
        <v>3800225409.0100002</v>
      </c>
      <c r="G85" s="28">
        <v>604716659.84000003</v>
      </c>
      <c r="H85" s="28">
        <v>26241412000</v>
      </c>
      <c r="I85" s="38"/>
      <c r="J85" s="28">
        <v>30646354068.84</v>
      </c>
      <c r="K85" s="28">
        <v>71987827.959999993</v>
      </c>
      <c r="L85" s="37">
        <v>58239009.990000002</v>
      </c>
      <c r="M85" s="28">
        <v>32209945823.619999</v>
      </c>
      <c r="N85" s="28">
        <v>466795579.54000002</v>
      </c>
      <c r="O85" s="31">
        <v>31724662915</v>
      </c>
      <c r="P85" s="32">
        <f>(O85/$O$86)</f>
        <v>0.71888717644802869</v>
      </c>
      <c r="Q85" s="31">
        <v>31743150244.080002</v>
      </c>
      <c r="R85" s="32">
        <f>(Q85/$Q$86)</f>
        <v>0.72551314037263992</v>
      </c>
      <c r="S85" s="131">
        <f t="shared" si="32"/>
        <v>5.8274312100762096E-4</v>
      </c>
      <c r="T85" s="33">
        <f>(K85/Q85)</f>
        <v>2.2678224248844207E-3</v>
      </c>
      <c r="U85" s="33">
        <f t="shared" si="33"/>
        <v>1.8346953450488548E-3</v>
      </c>
      <c r="V85" s="34">
        <f t="shared" si="34"/>
        <v>11.896530782996246</v>
      </c>
      <c r="W85" s="34">
        <f t="shared" si="35"/>
        <v>2.1826509649793623E-2</v>
      </c>
      <c r="X85" s="28">
        <v>11.9</v>
      </c>
      <c r="Y85" s="28">
        <v>11.9</v>
      </c>
      <c r="Z85" s="35">
        <v>894</v>
      </c>
      <c r="AA85" s="39">
        <v>2668269500</v>
      </c>
    </row>
    <row r="86" spans="1:29" ht="16.5" x14ac:dyDescent="0.3">
      <c r="A86" s="90"/>
      <c r="B86" s="91"/>
      <c r="C86" s="75" t="s">
        <v>59</v>
      </c>
      <c r="D86" s="28"/>
      <c r="E86" s="28"/>
      <c r="F86" s="28"/>
      <c r="G86" s="28"/>
      <c r="H86" s="28"/>
      <c r="I86" s="28"/>
      <c r="J86" s="28" t="s">
        <v>150</v>
      </c>
      <c r="K86" s="28"/>
      <c r="L86" s="37"/>
      <c r="M86" s="28"/>
      <c r="N86" s="28"/>
      <c r="O86" s="76">
        <f>SUM(O83:O85)</f>
        <v>44130239006</v>
      </c>
      <c r="P86" s="77">
        <f>(O86/$O$118)</f>
        <v>3.3134804903510687E-2</v>
      </c>
      <c r="Q86" s="76">
        <f>SUM(Q83:Q85)</f>
        <v>43752688239.080002</v>
      </c>
      <c r="R86" s="77">
        <f>(Q86/$Q$118)</f>
        <v>3.1903982641270666E-2</v>
      </c>
      <c r="S86" s="131">
        <f t="shared" si="32"/>
        <v>-8.5553755298870219E-3</v>
      </c>
      <c r="T86" s="33"/>
      <c r="U86" s="33"/>
      <c r="V86" s="34"/>
      <c r="W86" s="34"/>
      <c r="X86" s="28"/>
      <c r="Y86" s="28"/>
      <c r="Z86" s="78">
        <f>SUM(Z83:Z85)</f>
        <v>8745</v>
      </c>
      <c r="AA86" s="39"/>
    </row>
    <row r="87" spans="1:29" ht="16.5" x14ac:dyDescent="0.3">
      <c r="A87" s="92"/>
      <c r="B87" s="93"/>
      <c r="C87" s="94" t="s">
        <v>34</v>
      </c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31"/>
      <c r="P87" s="32"/>
      <c r="Q87" s="31"/>
      <c r="R87" s="32"/>
      <c r="S87" s="131"/>
      <c r="T87" s="33"/>
      <c r="U87" s="33"/>
      <c r="V87" s="34"/>
      <c r="W87" s="34"/>
      <c r="X87" s="95"/>
      <c r="Y87" s="95"/>
      <c r="Z87" s="95"/>
      <c r="AA87" s="98"/>
    </row>
    <row r="88" spans="1:29" s="7" customFormat="1" ht="16.5" x14ac:dyDescent="0.3">
      <c r="A88" s="40">
        <v>74</v>
      </c>
      <c r="B88" s="66" t="s">
        <v>1</v>
      </c>
      <c r="C88" s="42" t="s">
        <v>10</v>
      </c>
      <c r="D88" s="45">
        <v>538401165.70000005</v>
      </c>
      <c r="E88" s="45"/>
      <c r="F88" s="45">
        <v>385731528.06</v>
      </c>
      <c r="G88" s="45">
        <v>818606682.89999998</v>
      </c>
      <c r="H88" s="111"/>
      <c r="I88" s="45"/>
      <c r="J88" s="45">
        <v>1204338210.96</v>
      </c>
      <c r="K88" s="45">
        <v>1570050.16</v>
      </c>
      <c r="L88" s="37">
        <v>33511593.129999999</v>
      </c>
      <c r="M88" s="45">
        <v>1229047711.3099999</v>
      </c>
      <c r="N88" s="45">
        <v>7368073.4800000004</v>
      </c>
      <c r="O88" s="31">
        <v>1255815893.25</v>
      </c>
      <c r="P88" s="32">
        <v>4.5600000000000002E-2</v>
      </c>
      <c r="Q88" s="31">
        <v>1221679637.8299999</v>
      </c>
      <c r="R88" s="32">
        <v>4.5600000000000002E-2</v>
      </c>
      <c r="S88" s="131">
        <f t="shared" si="32"/>
        <v>-2.7182531773552291E-2</v>
      </c>
      <c r="T88" s="33">
        <f t="shared" ref="T88:T108" si="36">(K88/Q88)</f>
        <v>1.2851570177504069E-3</v>
      </c>
      <c r="U88" s="33">
        <f t="shared" ref="U88:U108" si="37">L88/Q88</f>
        <v>2.7430753605359862E-2</v>
      </c>
      <c r="V88" s="34">
        <f t="shared" ref="V88:V111" si="38">Q88/AA88</f>
        <v>2817.2833815075992</v>
      </c>
      <c r="W88" s="34">
        <f t="shared" ref="W88" si="39">L88/AA88</f>
        <v>77.280206274609995</v>
      </c>
      <c r="X88" s="28">
        <v>2804.56</v>
      </c>
      <c r="Y88" s="28">
        <v>2826.28</v>
      </c>
      <c r="Z88" s="35">
        <v>1018</v>
      </c>
      <c r="AA88" s="39">
        <v>433637.47</v>
      </c>
    </row>
    <row r="89" spans="1:29" ht="16.5" x14ac:dyDescent="0.3">
      <c r="A89" s="25">
        <v>75</v>
      </c>
      <c r="B89" s="26" t="s">
        <v>6</v>
      </c>
      <c r="C89" s="42" t="s">
        <v>35</v>
      </c>
      <c r="D89" s="28">
        <v>71837891.900000006</v>
      </c>
      <c r="E89" s="28"/>
      <c r="F89" s="28">
        <v>49666739.32</v>
      </c>
      <c r="G89" s="26">
        <v>32403035.510000002</v>
      </c>
      <c r="H89" s="28"/>
      <c r="I89" s="28"/>
      <c r="J89" s="28">
        <v>156739560.81</v>
      </c>
      <c r="K89" s="28">
        <v>270714.63</v>
      </c>
      <c r="L89" s="37">
        <v>735009.34</v>
      </c>
      <c r="M89" s="26">
        <v>156739560.81</v>
      </c>
      <c r="N89" s="28">
        <v>1260940.01</v>
      </c>
      <c r="O89" s="31">
        <v>150355623.78999999</v>
      </c>
      <c r="P89" s="32">
        <f t="shared" ref="P89:P108" si="40">(O89/$O$109)</f>
        <v>6.0729727122731929E-3</v>
      </c>
      <c r="Q89" s="31">
        <v>155478620.80000001</v>
      </c>
      <c r="R89" s="32">
        <f t="shared" ref="R89:R108" si="41">(Q89/$Q$109)</f>
        <v>6.1431948089362837E-3</v>
      </c>
      <c r="S89" s="131">
        <f t="shared" si="32"/>
        <v>3.4072533376970672E-2</v>
      </c>
      <c r="T89" s="33">
        <f t="shared" si="36"/>
        <v>1.7411694843127909E-3</v>
      </c>
      <c r="U89" s="33">
        <f t="shared" si="37"/>
        <v>4.7273981221217518E-3</v>
      </c>
      <c r="V89" s="34">
        <f t="shared" ref="V89:V108" si="42">Q89/AA89</f>
        <v>115.04067361691739</v>
      </c>
      <c r="W89" s="34">
        <f t="shared" ref="W89:W108" si="43">L89/AA89</f>
        <v>0.54384306442423658</v>
      </c>
      <c r="X89" s="28">
        <v>115.06</v>
      </c>
      <c r="Y89" s="28">
        <v>116.15</v>
      </c>
      <c r="Z89" s="35">
        <v>739</v>
      </c>
      <c r="AA89" s="39">
        <v>1351510</v>
      </c>
    </row>
    <row r="90" spans="1:29" ht="16.5" x14ac:dyDescent="0.3">
      <c r="A90" s="40">
        <v>76</v>
      </c>
      <c r="B90" s="26" t="s">
        <v>8</v>
      </c>
      <c r="C90" s="42" t="s">
        <v>114</v>
      </c>
      <c r="D90" s="28">
        <v>446350143.60000002</v>
      </c>
      <c r="E90" s="28"/>
      <c r="F90" s="28">
        <v>58550103</v>
      </c>
      <c r="G90" s="28">
        <v>176208343</v>
      </c>
      <c r="H90" s="28"/>
      <c r="I90" s="28"/>
      <c r="J90" s="28">
        <v>681108589</v>
      </c>
      <c r="K90" s="28">
        <v>1518352</v>
      </c>
      <c r="L90" s="37">
        <v>54931885</v>
      </c>
      <c r="M90" s="28">
        <v>844364087</v>
      </c>
      <c r="N90" s="28">
        <v>69599627</v>
      </c>
      <c r="O90" s="31">
        <v>743587145.28999996</v>
      </c>
      <c r="P90" s="32">
        <f t="shared" si="40"/>
        <v>3.0034024193537567E-2</v>
      </c>
      <c r="Q90" s="31">
        <v>777527643.33000004</v>
      </c>
      <c r="R90" s="32">
        <f t="shared" si="41"/>
        <v>3.0721289896529093E-2</v>
      </c>
      <c r="S90" s="131">
        <f t="shared" si="32"/>
        <v>4.5644277547002565E-2</v>
      </c>
      <c r="T90" s="33">
        <f t="shared" si="36"/>
        <v>1.9527948787739467E-3</v>
      </c>
      <c r="U90" s="33">
        <f t="shared" si="37"/>
        <v>7.0649430243711203E-2</v>
      </c>
      <c r="V90" s="34">
        <f t="shared" si="42"/>
        <v>1.2066722517336173</v>
      </c>
      <c r="W90" s="34">
        <f t="shared" si="43"/>
        <v>8.5250707075876106E-2</v>
      </c>
      <c r="X90" s="28">
        <v>1.2363999999999999</v>
      </c>
      <c r="Y90" s="28">
        <v>1.2582</v>
      </c>
      <c r="Z90" s="35">
        <v>3644</v>
      </c>
      <c r="AA90" s="39">
        <v>644356943</v>
      </c>
    </row>
    <row r="91" spans="1:29" ht="16.5" x14ac:dyDescent="0.3">
      <c r="A91" s="25">
        <v>77</v>
      </c>
      <c r="B91" s="38" t="s">
        <v>61</v>
      </c>
      <c r="C91" s="27" t="s">
        <v>36</v>
      </c>
      <c r="D91" s="28">
        <v>1730654385</v>
      </c>
      <c r="E91" s="38"/>
      <c r="F91" s="28">
        <v>665334660.85000002</v>
      </c>
      <c r="G91" s="28">
        <v>575169156.44000006</v>
      </c>
      <c r="H91" s="28">
        <v>58000000</v>
      </c>
      <c r="I91" s="28"/>
      <c r="J91" s="28">
        <v>3029158202.29</v>
      </c>
      <c r="K91" s="28">
        <v>8482944.2400000002</v>
      </c>
      <c r="L91" s="37">
        <v>120054913.88</v>
      </c>
      <c r="M91" s="28">
        <v>3602260107</v>
      </c>
      <c r="N91" s="28">
        <v>31101051</v>
      </c>
      <c r="O91" s="31">
        <v>3477772231</v>
      </c>
      <c r="P91" s="32">
        <f t="shared" si="40"/>
        <v>0.14046974317278024</v>
      </c>
      <c r="Q91" s="31">
        <v>3571159056</v>
      </c>
      <c r="R91" s="32">
        <f t="shared" si="41"/>
        <v>0.14110188051465528</v>
      </c>
      <c r="S91" s="131">
        <f t="shared" si="32"/>
        <v>2.6852484520858779E-2</v>
      </c>
      <c r="T91" s="33">
        <f t="shared" si="36"/>
        <v>2.3754036454208273E-3</v>
      </c>
      <c r="U91" s="33">
        <f t="shared" si="37"/>
        <v>3.3617912839332235E-2</v>
      </c>
      <c r="V91" s="34">
        <f t="shared" si="42"/>
        <v>354.32464236484248</v>
      </c>
      <c r="W91" s="34">
        <f t="shared" si="43"/>
        <v>11.911654943848841</v>
      </c>
      <c r="X91" s="28">
        <v>353</v>
      </c>
      <c r="Y91" s="28">
        <v>363</v>
      </c>
      <c r="Z91" s="35">
        <v>35469</v>
      </c>
      <c r="AA91" s="39">
        <v>10078777</v>
      </c>
    </row>
    <row r="92" spans="1:29" ht="16.5" x14ac:dyDescent="0.3">
      <c r="A92" s="40">
        <v>78</v>
      </c>
      <c r="B92" s="26" t="s">
        <v>28</v>
      </c>
      <c r="C92" s="42" t="s">
        <v>37</v>
      </c>
      <c r="D92" s="28">
        <v>1154915612.2</v>
      </c>
      <c r="E92" s="134"/>
      <c r="F92" s="28">
        <v>562921336.20000005</v>
      </c>
      <c r="G92" s="28">
        <v>364361759.98000002</v>
      </c>
      <c r="H92" s="54"/>
      <c r="I92" s="28"/>
      <c r="J92" s="28">
        <v>2082198708.3800001</v>
      </c>
      <c r="K92" s="28">
        <v>20588761.5</v>
      </c>
      <c r="L92" s="37">
        <v>45641255.43</v>
      </c>
      <c r="M92" s="28">
        <v>2165580714.4400001</v>
      </c>
      <c r="N92" s="112">
        <v>19129054.129999999</v>
      </c>
      <c r="O92" s="31">
        <v>2101033340.5999999</v>
      </c>
      <c r="P92" s="32">
        <f t="shared" si="40"/>
        <v>8.4862260708392687E-2</v>
      </c>
      <c r="Q92" s="31">
        <v>2146451660.3099999</v>
      </c>
      <c r="R92" s="32">
        <f t="shared" si="41"/>
        <v>8.4809542491446246E-2</v>
      </c>
      <c r="S92" s="131">
        <f t="shared" si="32"/>
        <v>2.1617134213124747E-2</v>
      </c>
      <c r="T92" s="33">
        <f t="shared" si="36"/>
        <v>9.5919986835512894E-3</v>
      </c>
      <c r="U92" s="33">
        <f t="shared" si="37"/>
        <v>2.1263584116032824E-2</v>
      </c>
      <c r="V92" s="34">
        <f t="shared" si="42"/>
        <v>10.69746893445862</v>
      </c>
      <c r="W92" s="34">
        <f t="shared" si="43"/>
        <v>0.22746653051650889</v>
      </c>
      <c r="X92" s="28">
        <v>10.6272</v>
      </c>
      <c r="Y92" s="28">
        <v>10.7478</v>
      </c>
      <c r="Z92" s="35">
        <v>6636</v>
      </c>
      <c r="AA92" s="39">
        <v>200650422.40000001</v>
      </c>
    </row>
    <row r="93" spans="1:29" ht="16.5" x14ac:dyDescent="0.3">
      <c r="A93" s="25">
        <v>79</v>
      </c>
      <c r="B93" s="27" t="s">
        <v>92</v>
      </c>
      <c r="C93" s="42" t="s">
        <v>122</v>
      </c>
      <c r="D93" s="28">
        <v>403564697.07999998</v>
      </c>
      <c r="E93" s="28"/>
      <c r="F93" s="28">
        <v>304620635.62</v>
      </c>
      <c r="G93" s="28">
        <v>290510631.02999997</v>
      </c>
      <c r="H93" s="28">
        <v>24010664.010000002</v>
      </c>
      <c r="I93" s="28"/>
      <c r="J93" s="28">
        <v>1022706627.74</v>
      </c>
      <c r="K93" s="28">
        <v>1574452.14</v>
      </c>
      <c r="L93" s="37">
        <v>35045557.049999997</v>
      </c>
      <c r="M93" s="28">
        <v>1120859365.6700001</v>
      </c>
      <c r="N93" s="28">
        <v>37340350.579999998</v>
      </c>
      <c r="O93" s="31">
        <v>996659253.66999996</v>
      </c>
      <c r="P93" s="32">
        <f t="shared" si="40"/>
        <v>4.0255790228546376E-2</v>
      </c>
      <c r="Q93" s="31">
        <v>1083519015.0899999</v>
      </c>
      <c r="R93" s="32">
        <f t="shared" si="41"/>
        <v>4.2811470507234148E-2</v>
      </c>
      <c r="S93" s="131">
        <f t="shared" si="32"/>
        <v>8.7150910504423779E-2</v>
      </c>
      <c r="T93" s="33">
        <f t="shared" si="36"/>
        <v>1.4530913791754932E-3</v>
      </c>
      <c r="U93" s="33">
        <f t="shared" si="37"/>
        <v>3.2344201220214877E-2</v>
      </c>
      <c r="V93" s="34">
        <f t="shared" si="42"/>
        <v>1.9031019322085447</v>
      </c>
      <c r="W93" s="34">
        <f t="shared" si="43"/>
        <v>6.1554311837932904E-2</v>
      </c>
      <c r="X93" s="28">
        <v>1.9342999999999999</v>
      </c>
      <c r="Y93" s="28">
        <v>1.9626999999999999</v>
      </c>
      <c r="Z93" s="35">
        <v>2818</v>
      </c>
      <c r="AA93" s="39">
        <v>569343657.71599996</v>
      </c>
    </row>
    <row r="94" spans="1:29" ht="16.5" x14ac:dyDescent="0.3">
      <c r="A94" s="40">
        <v>80</v>
      </c>
      <c r="B94" s="26" t="s">
        <v>16</v>
      </c>
      <c r="C94" s="42" t="s">
        <v>101</v>
      </c>
      <c r="D94" s="28">
        <v>18003631.949999999</v>
      </c>
      <c r="E94" s="28"/>
      <c r="F94" s="28">
        <v>23354965.539999999</v>
      </c>
      <c r="G94" s="54">
        <v>96722808.209999993</v>
      </c>
      <c r="H94" s="28"/>
      <c r="I94" s="28"/>
      <c r="J94" s="28">
        <v>141140688.91999999</v>
      </c>
      <c r="K94" s="28">
        <v>525304.06000000006</v>
      </c>
      <c r="L94" s="37">
        <v>586349.1</v>
      </c>
      <c r="M94" s="28">
        <v>141140688.91999999</v>
      </c>
      <c r="N94" s="28">
        <v>4791948.84</v>
      </c>
      <c r="O94" s="31">
        <v>128424893.53</v>
      </c>
      <c r="P94" s="32">
        <f t="shared" si="40"/>
        <v>5.1871746086038454E-3</v>
      </c>
      <c r="Q94" s="31">
        <v>136348740.08000001</v>
      </c>
      <c r="R94" s="32">
        <f t="shared" si="41"/>
        <v>5.3873443689851572E-3</v>
      </c>
      <c r="S94" s="131">
        <f t="shared" si="32"/>
        <v>6.1700238421058179E-2</v>
      </c>
      <c r="T94" s="33">
        <f t="shared" si="36"/>
        <v>3.8526506346284383E-3</v>
      </c>
      <c r="U94" s="33">
        <f t="shared" si="37"/>
        <v>4.3003631691497174E-3</v>
      </c>
      <c r="V94" s="34">
        <f t="shared" si="42"/>
        <v>3.1256013733242236</v>
      </c>
      <c r="W94" s="34">
        <f t="shared" si="43"/>
        <v>1.3441221027287268E-2</v>
      </c>
      <c r="X94" s="28">
        <v>3.1267</v>
      </c>
      <c r="Y94" s="28">
        <v>3.2353999999999998</v>
      </c>
      <c r="Z94" s="35">
        <v>11814</v>
      </c>
      <c r="AA94" s="39">
        <v>43623202</v>
      </c>
    </row>
    <row r="95" spans="1:29" ht="16.5" x14ac:dyDescent="0.3">
      <c r="A95" s="25">
        <v>81</v>
      </c>
      <c r="B95" s="53" t="s">
        <v>38</v>
      </c>
      <c r="C95" s="41" t="s">
        <v>140</v>
      </c>
      <c r="D95" s="53">
        <v>1340258972.0999999</v>
      </c>
      <c r="E95" s="53"/>
      <c r="F95" s="53">
        <v>711761595.13999999</v>
      </c>
      <c r="G95" s="53">
        <v>1018225873.65</v>
      </c>
      <c r="H95" s="53"/>
      <c r="I95" s="53"/>
      <c r="J95" s="53">
        <v>3071240247.0599999</v>
      </c>
      <c r="K95" s="53">
        <v>5968892.1799999997</v>
      </c>
      <c r="L95" s="67">
        <v>90131020.469999999</v>
      </c>
      <c r="M95" s="53">
        <v>3115176812.3400002</v>
      </c>
      <c r="N95" s="53">
        <v>43936565.280000001</v>
      </c>
      <c r="O95" s="68">
        <v>2968604082.3099999</v>
      </c>
      <c r="P95" s="69">
        <f t="shared" si="40"/>
        <v>0.11990407229856125</v>
      </c>
      <c r="Q95" s="68">
        <v>3071240247.0599999</v>
      </c>
      <c r="R95" s="69">
        <f t="shared" si="41"/>
        <v>0.12134933436928956</v>
      </c>
      <c r="S95" s="131">
        <f t="shared" si="32"/>
        <v>3.4573881159030928E-2</v>
      </c>
      <c r="T95" s="33">
        <f t="shared" si="36"/>
        <v>1.9434794089175633E-3</v>
      </c>
      <c r="U95" s="33">
        <f t="shared" si="37"/>
        <v>2.9346782804204115E-2</v>
      </c>
      <c r="V95" s="34">
        <f t="shared" si="42"/>
        <v>157.26913323263418</v>
      </c>
      <c r="W95" s="34">
        <f t="shared" si="43"/>
        <v>4.6153430947835545</v>
      </c>
      <c r="X95" s="28">
        <v>157.27000000000001</v>
      </c>
      <c r="Y95" s="28">
        <v>158.4</v>
      </c>
      <c r="Z95" s="35">
        <v>5507</v>
      </c>
      <c r="AA95" s="39">
        <v>19528563.449999999</v>
      </c>
    </row>
    <row r="96" spans="1:29" ht="16.5" x14ac:dyDescent="0.3">
      <c r="A96" s="40">
        <v>82</v>
      </c>
      <c r="B96" s="27" t="s">
        <v>64</v>
      </c>
      <c r="C96" s="42" t="s">
        <v>39</v>
      </c>
      <c r="D96" s="28">
        <v>221586637.30000001</v>
      </c>
      <c r="E96" s="134"/>
      <c r="F96" s="28">
        <v>50164495.210000001</v>
      </c>
      <c r="G96" s="28"/>
      <c r="H96" s="28"/>
      <c r="I96" s="28"/>
      <c r="J96" s="28">
        <v>271751132.50999999</v>
      </c>
      <c r="K96" s="28">
        <v>544400.07999999996</v>
      </c>
      <c r="L96" s="37">
        <v>2116611.91</v>
      </c>
      <c r="M96" s="28">
        <v>280870456.56</v>
      </c>
      <c r="N96" s="28">
        <v>2583201.36</v>
      </c>
      <c r="O96" s="31">
        <v>264779599.03999999</v>
      </c>
      <c r="P96" s="32">
        <f t="shared" si="40"/>
        <v>1.0694640075335205E-2</v>
      </c>
      <c r="Q96" s="31">
        <v>278287255.19999999</v>
      </c>
      <c r="R96" s="32">
        <f t="shared" si="41"/>
        <v>1.0995549180596838E-2</v>
      </c>
      <c r="S96" s="131">
        <f t="shared" si="32"/>
        <v>5.1014716424430451E-2</v>
      </c>
      <c r="T96" s="33">
        <f t="shared" si="36"/>
        <v>1.9562522890556001E-3</v>
      </c>
      <c r="U96" s="33">
        <f t="shared" si="37"/>
        <v>7.6058528389265608E-3</v>
      </c>
      <c r="V96" s="34">
        <f t="shared" si="42"/>
        <v>129.04111605172596</v>
      </c>
      <c r="W96" s="34">
        <f t="shared" si="43"/>
        <v>0.98146773886027172</v>
      </c>
      <c r="X96" s="28">
        <v>129.04</v>
      </c>
      <c r="Y96" s="28">
        <v>130.22999999999999</v>
      </c>
      <c r="Z96" s="35">
        <v>1753</v>
      </c>
      <c r="AA96" s="39">
        <v>2156578.1800000002</v>
      </c>
    </row>
    <row r="97" spans="1:29" ht="16.5" x14ac:dyDescent="0.3">
      <c r="A97" s="25">
        <v>83</v>
      </c>
      <c r="B97" s="26" t="s">
        <v>108</v>
      </c>
      <c r="C97" s="113" t="s">
        <v>109</v>
      </c>
      <c r="D97" s="28">
        <v>1989485367.95</v>
      </c>
      <c r="E97" s="28"/>
      <c r="F97" s="28">
        <v>936470395.76999998</v>
      </c>
      <c r="G97" s="28">
        <v>1099317400.03</v>
      </c>
      <c r="H97" s="28"/>
      <c r="I97" s="28"/>
      <c r="J97" s="28">
        <v>4219155240.73</v>
      </c>
      <c r="K97" s="28">
        <v>5243665.29</v>
      </c>
      <c r="L97" s="37">
        <v>186023396.84</v>
      </c>
      <c r="M97" s="28">
        <v>4929088731.0900002</v>
      </c>
      <c r="N97" s="28">
        <v>20454525.239999998</v>
      </c>
      <c r="O97" s="31">
        <v>4727671843.4399996</v>
      </c>
      <c r="P97" s="32">
        <f t="shared" si="40"/>
        <v>0.1909540951916357</v>
      </c>
      <c r="Q97" s="31">
        <v>4908634205.8500004</v>
      </c>
      <c r="R97" s="32">
        <f t="shared" si="41"/>
        <v>0.19394754093641148</v>
      </c>
      <c r="S97" s="131">
        <f t="shared" si="32"/>
        <v>3.8277268051313609E-2</v>
      </c>
      <c r="T97" s="33">
        <f t="shared" si="36"/>
        <v>1.0682534224592897E-3</v>
      </c>
      <c r="U97" s="33">
        <f t="shared" si="37"/>
        <v>3.789718056772319E-2</v>
      </c>
      <c r="V97" s="34">
        <f t="shared" si="42"/>
        <v>152.93226573682489</v>
      </c>
      <c r="W97" s="34">
        <f t="shared" si="43"/>
        <v>5.795701689259479</v>
      </c>
      <c r="X97" s="28">
        <v>152.93</v>
      </c>
      <c r="Y97" s="28"/>
      <c r="Z97" s="35">
        <v>24</v>
      </c>
      <c r="AA97" s="57">
        <v>32096786</v>
      </c>
    </row>
    <row r="98" spans="1:29" ht="16.5" x14ac:dyDescent="0.3">
      <c r="A98" s="40">
        <v>84</v>
      </c>
      <c r="B98" s="53" t="s">
        <v>40</v>
      </c>
      <c r="C98" s="42" t="s">
        <v>41</v>
      </c>
      <c r="D98" s="29">
        <v>536093214.19999999</v>
      </c>
      <c r="E98" s="29">
        <v>271011</v>
      </c>
      <c r="F98" s="29">
        <v>691480207.62</v>
      </c>
      <c r="G98" s="29">
        <v>365680327.87</v>
      </c>
      <c r="H98" s="29">
        <v>70618000</v>
      </c>
      <c r="I98" s="28"/>
      <c r="J98" s="29">
        <v>1723148853.52</v>
      </c>
      <c r="K98" s="28">
        <v>4761685.0199999996</v>
      </c>
      <c r="L98" s="37">
        <v>56764197.950000003</v>
      </c>
      <c r="M98" s="28">
        <v>1723148853.52</v>
      </c>
      <c r="N98" s="29">
        <v>76822005.519999996</v>
      </c>
      <c r="O98" s="31">
        <v>1601320969.75</v>
      </c>
      <c r="P98" s="32">
        <f t="shared" si="40"/>
        <v>6.4678515560316424E-2</v>
      </c>
      <c r="Q98" s="31">
        <v>1646326848.03</v>
      </c>
      <c r="R98" s="32">
        <f t="shared" si="41"/>
        <v>6.5048856843411926E-2</v>
      </c>
      <c r="S98" s="131">
        <f t="shared" si="32"/>
        <v>2.8105469877801163E-2</v>
      </c>
      <c r="T98" s="33">
        <f t="shared" si="36"/>
        <v>2.8923084293364025E-3</v>
      </c>
      <c r="U98" s="33">
        <f t="shared" si="37"/>
        <v>3.4479300400114488E-2</v>
      </c>
      <c r="V98" s="34">
        <f t="shared" si="42"/>
        <v>0.95395293020131156</v>
      </c>
      <c r="W98" s="34">
        <f t="shared" si="43"/>
        <v>3.2891629647980467E-2</v>
      </c>
      <c r="X98" s="107">
        <v>0.94710000000000005</v>
      </c>
      <c r="Y98" s="28">
        <v>0.95950000000000002</v>
      </c>
      <c r="Z98" s="114">
        <v>10434</v>
      </c>
      <c r="AA98" s="108">
        <v>1725794634</v>
      </c>
    </row>
    <row r="99" spans="1:29" ht="16.5" x14ac:dyDescent="0.3">
      <c r="A99" s="25">
        <v>85</v>
      </c>
      <c r="B99" s="26" t="s">
        <v>24</v>
      </c>
      <c r="C99" s="42" t="s">
        <v>42</v>
      </c>
      <c r="D99" s="28">
        <v>707075828.45000005</v>
      </c>
      <c r="E99" s="28"/>
      <c r="F99" s="28">
        <v>515458466.37</v>
      </c>
      <c r="G99" s="28">
        <v>592126330.92999995</v>
      </c>
      <c r="H99" s="28"/>
      <c r="I99" s="28"/>
      <c r="J99" s="28">
        <v>1814660625.75</v>
      </c>
      <c r="K99" s="28">
        <v>4808682.13</v>
      </c>
      <c r="L99" s="37">
        <v>6869566.5700000003</v>
      </c>
      <c r="M99" s="28">
        <v>1850981815.46</v>
      </c>
      <c r="N99" s="28">
        <v>24946164.370000001</v>
      </c>
      <c r="O99" s="31">
        <v>1760604020.24</v>
      </c>
      <c r="P99" s="32">
        <f t="shared" si="40"/>
        <v>7.1112073512923854E-2</v>
      </c>
      <c r="Q99" s="31">
        <v>1826035651.0899999</v>
      </c>
      <c r="R99" s="32">
        <f t="shared" si="41"/>
        <v>7.2149422698690888E-2</v>
      </c>
      <c r="S99" s="131">
        <f t="shared" si="32"/>
        <v>3.7164308440622823E-2</v>
      </c>
      <c r="T99" s="33">
        <f t="shared" si="36"/>
        <v>2.6333999158940813E-3</v>
      </c>
      <c r="U99" s="33">
        <f t="shared" si="37"/>
        <v>3.7620111994524359E-3</v>
      </c>
      <c r="V99" s="34">
        <f t="shared" si="42"/>
        <v>3282.7087878699622</v>
      </c>
      <c r="W99" s="34">
        <f t="shared" si="43"/>
        <v>12.349587224507729</v>
      </c>
      <c r="X99" s="28">
        <v>3253.17</v>
      </c>
      <c r="Y99" s="28">
        <v>3293.85</v>
      </c>
      <c r="Z99" s="35">
        <v>809</v>
      </c>
      <c r="AA99" s="39">
        <v>556258.80000000005</v>
      </c>
    </row>
    <row r="100" spans="1:29" ht="18" x14ac:dyDescent="0.35">
      <c r="A100" s="40">
        <v>86</v>
      </c>
      <c r="B100" s="26" t="s">
        <v>8</v>
      </c>
      <c r="C100" s="42" t="s">
        <v>93</v>
      </c>
      <c r="D100" s="28">
        <v>103212421</v>
      </c>
      <c r="E100" s="28"/>
      <c r="F100" s="28">
        <v>26990593</v>
      </c>
      <c r="G100" s="28"/>
      <c r="H100" s="28"/>
      <c r="I100" s="28"/>
      <c r="J100" s="28">
        <v>130203013</v>
      </c>
      <c r="K100" s="28">
        <v>848254</v>
      </c>
      <c r="L100" s="37">
        <v>13461561</v>
      </c>
      <c r="M100" s="28">
        <v>519922329</v>
      </c>
      <c r="N100" s="28">
        <v>11437134.949999999</v>
      </c>
      <c r="O100" s="31">
        <v>496957633</v>
      </c>
      <c r="P100" s="32">
        <f t="shared" si="40"/>
        <v>2.0072479288038451E-2</v>
      </c>
      <c r="Q100" s="31">
        <v>508485194</v>
      </c>
      <c r="R100" s="32">
        <f t="shared" si="41"/>
        <v>2.0091016939364045E-2</v>
      </c>
      <c r="S100" s="131">
        <f t="shared" si="32"/>
        <v>2.3196265102944903E-2</v>
      </c>
      <c r="T100" s="33">
        <f t="shared" si="36"/>
        <v>1.6681980321338521E-3</v>
      </c>
      <c r="U100" s="33">
        <f t="shared" si="37"/>
        <v>2.6473850485408627E-2</v>
      </c>
      <c r="V100" s="34">
        <f t="shared" si="42"/>
        <v>1.0214455944678711</v>
      </c>
      <c r="W100" s="34">
        <f t="shared" si="43"/>
        <v>2.7041597946921753E-2</v>
      </c>
      <c r="X100" s="28">
        <v>1.0499000000000001</v>
      </c>
      <c r="Y100" s="28">
        <v>1.0564</v>
      </c>
      <c r="Z100" s="35">
        <v>204</v>
      </c>
      <c r="AA100" s="39">
        <v>497809376</v>
      </c>
      <c r="AB100" s="6"/>
      <c r="AC100" s="9"/>
    </row>
    <row r="101" spans="1:29" ht="16.5" x14ac:dyDescent="0.3">
      <c r="A101" s="25">
        <v>87</v>
      </c>
      <c r="B101" s="28" t="s">
        <v>4</v>
      </c>
      <c r="C101" s="42" t="s">
        <v>43</v>
      </c>
      <c r="D101" s="29">
        <v>183568316.25999999</v>
      </c>
      <c r="E101" s="29"/>
      <c r="F101" s="29">
        <v>861549979.57000005</v>
      </c>
      <c r="G101" s="29"/>
      <c r="H101" s="28"/>
      <c r="I101" s="28"/>
      <c r="J101" s="29">
        <v>1045118295.83</v>
      </c>
      <c r="K101" s="29">
        <v>1709947.34</v>
      </c>
      <c r="L101" s="30">
        <v>5554507.3899999997</v>
      </c>
      <c r="M101" s="29">
        <v>1048559870.1</v>
      </c>
      <c r="N101" s="29">
        <v>28436410.91</v>
      </c>
      <c r="O101" s="31">
        <v>1001870096.84</v>
      </c>
      <c r="P101" s="32">
        <f t="shared" si="40"/>
        <v>4.0466259964108402E-2</v>
      </c>
      <c r="Q101" s="31">
        <v>1020123459.1900001</v>
      </c>
      <c r="R101" s="32">
        <f t="shared" si="41"/>
        <v>4.0306616477074723E-2</v>
      </c>
      <c r="S101" s="131">
        <f t="shared" si="32"/>
        <v>1.8219290512385768E-2</v>
      </c>
      <c r="T101" s="33">
        <f t="shared" si="36"/>
        <v>1.6762160742364801E-3</v>
      </c>
      <c r="U101" s="33">
        <f t="shared" si="37"/>
        <v>5.444936433880658E-3</v>
      </c>
      <c r="V101" s="34">
        <f t="shared" si="42"/>
        <v>1367.5493788993901</v>
      </c>
      <c r="W101" s="34">
        <f t="shared" si="43"/>
        <v>7.4462194383001536</v>
      </c>
      <c r="X101" s="28"/>
      <c r="Y101" s="28"/>
      <c r="Z101" s="35">
        <v>815</v>
      </c>
      <c r="AA101" s="115">
        <v>745950</v>
      </c>
      <c r="AC101" s="13"/>
    </row>
    <row r="102" spans="1:29" ht="16.5" x14ac:dyDescent="0.3">
      <c r="A102" s="40">
        <v>88</v>
      </c>
      <c r="B102" s="28" t="s">
        <v>97</v>
      </c>
      <c r="C102" s="42" t="s">
        <v>102</v>
      </c>
      <c r="D102" s="29">
        <v>195931253.59999999</v>
      </c>
      <c r="E102" s="29"/>
      <c r="F102" s="29">
        <v>50858812.869999997</v>
      </c>
      <c r="G102" s="29">
        <v>72425304.739999995</v>
      </c>
      <c r="H102" s="28"/>
      <c r="I102" s="28"/>
      <c r="J102" s="29">
        <v>319212311.06999999</v>
      </c>
      <c r="K102" s="29">
        <v>586634.99</v>
      </c>
      <c r="L102" s="30">
        <v>16223916.82</v>
      </c>
      <c r="M102" s="29">
        <v>319818683.70999998</v>
      </c>
      <c r="N102" s="29">
        <v>1283568.02</v>
      </c>
      <c r="O102" s="116">
        <v>310246170.49000001</v>
      </c>
      <c r="P102" s="32">
        <f t="shared" si="40"/>
        <v>1.2531067877477941E-2</v>
      </c>
      <c r="Q102" s="116">
        <v>318535115.69999999</v>
      </c>
      <c r="R102" s="32">
        <f t="shared" si="41"/>
        <v>1.2585802852916472E-2</v>
      </c>
      <c r="S102" s="131">
        <f t="shared" si="32"/>
        <v>2.671731675820041E-2</v>
      </c>
      <c r="T102" s="33">
        <f t="shared" si="36"/>
        <v>1.8416650506831388E-3</v>
      </c>
      <c r="U102" s="33">
        <f t="shared" si="37"/>
        <v>5.0932898824504705E-2</v>
      </c>
      <c r="V102" s="34">
        <f t="shared" si="42"/>
        <v>1.0043165518231441</v>
      </c>
      <c r="W102" s="34">
        <f t="shared" si="43"/>
        <v>5.115275332178363E-2</v>
      </c>
      <c r="X102" s="28">
        <v>0.99650000000000005</v>
      </c>
      <c r="Y102" s="28">
        <v>1.01</v>
      </c>
      <c r="Z102" s="35">
        <v>74</v>
      </c>
      <c r="AA102" s="115">
        <v>317166052</v>
      </c>
      <c r="AC102" s="14"/>
    </row>
    <row r="103" spans="1:29" ht="16.5" x14ac:dyDescent="0.3">
      <c r="A103" s="25">
        <v>89</v>
      </c>
      <c r="B103" s="28" t="s">
        <v>73</v>
      </c>
      <c r="C103" s="27" t="s">
        <v>105</v>
      </c>
      <c r="D103" s="29">
        <v>70391256.049999997</v>
      </c>
      <c r="E103" s="29"/>
      <c r="F103" s="29">
        <v>80627742.769999996</v>
      </c>
      <c r="G103" s="29">
        <v>86669066.590000004</v>
      </c>
      <c r="H103" s="54"/>
      <c r="I103" s="54"/>
      <c r="J103" s="29">
        <v>237688065.41</v>
      </c>
      <c r="K103" s="29">
        <v>506309.02</v>
      </c>
      <c r="L103" s="30">
        <v>8654285.5</v>
      </c>
      <c r="M103" s="43">
        <v>267552269.02000001</v>
      </c>
      <c r="N103" s="29">
        <v>7514629.1799999997</v>
      </c>
      <c r="O103" s="31">
        <v>325846471.14999998</v>
      </c>
      <c r="P103" s="32">
        <f t="shared" si="40"/>
        <v>1.316117533753384E-2</v>
      </c>
      <c r="Q103" s="31">
        <v>260037639.84</v>
      </c>
      <c r="R103" s="32">
        <f t="shared" si="41"/>
        <v>1.0274479352682364E-2</v>
      </c>
      <c r="S103" s="131">
        <f t="shared" si="32"/>
        <v>-0.201962694509911</v>
      </c>
      <c r="T103" s="33">
        <f t="shared" si="36"/>
        <v>1.9470605113610848E-3</v>
      </c>
      <c r="U103" s="33">
        <f t="shared" si="37"/>
        <v>3.3280895432387957E-2</v>
      </c>
      <c r="V103" s="34">
        <f t="shared" si="42"/>
        <v>915.84477917247796</v>
      </c>
      <c r="W103" s="34">
        <f t="shared" si="43"/>
        <v>30.480134327937677</v>
      </c>
      <c r="X103" s="28">
        <v>110.9</v>
      </c>
      <c r="Y103" s="28">
        <v>111.47</v>
      </c>
      <c r="Z103" s="35">
        <v>396</v>
      </c>
      <c r="AA103" s="115">
        <v>283932</v>
      </c>
    </row>
    <row r="104" spans="1:29" ht="16.5" x14ac:dyDescent="0.3">
      <c r="A104" s="132">
        <v>90</v>
      </c>
      <c r="B104" s="53" t="s">
        <v>73</v>
      </c>
      <c r="C104" s="42" t="s">
        <v>106</v>
      </c>
      <c r="D104" s="133">
        <v>48611609.950000003</v>
      </c>
      <c r="E104" s="133"/>
      <c r="F104" s="133">
        <v>7579468.5199999996</v>
      </c>
      <c r="G104" s="29">
        <v>39992031.560000002</v>
      </c>
      <c r="H104" s="28"/>
      <c r="I104" s="28"/>
      <c r="J104" s="29">
        <v>96113110.030000001</v>
      </c>
      <c r="K104" s="29">
        <v>323028.39</v>
      </c>
      <c r="L104" s="30">
        <v>22823922.170000002</v>
      </c>
      <c r="M104" s="29">
        <v>107393764.7</v>
      </c>
      <c r="N104" s="29">
        <v>4411336.99</v>
      </c>
      <c r="O104" s="31">
        <v>253799761.49000001</v>
      </c>
      <c r="P104" s="32">
        <f t="shared" si="40"/>
        <v>1.0251156471958494E-2</v>
      </c>
      <c r="Q104" s="31">
        <v>102982427.70999999</v>
      </c>
      <c r="R104" s="32">
        <f t="shared" si="41"/>
        <v>4.0689910423988528E-3</v>
      </c>
      <c r="S104" s="131">
        <f t="shared" si="32"/>
        <v>-0.59423749216542265</v>
      </c>
      <c r="T104" s="33">
        <f t="shared" si="36"/>
        <v>3.1367331027547015E-3</v>
      </c>
      <c r="U104" s="33">
        <f t="shared" si="37"/>
        <v>0.221629288389593</v>
      </c>
      <c r="V104" s="34">
        <f t="shared" si="42"/>
        <v>126.07695153901339</v>
      </c>
      <c r="W104" s="34">
        <f t="shared" si="43"/>
        <v>27.942345051920739</v>
      </c>
      <c r="X104" s="28">
        <v>124</v>
      </c>
      <c r="Y104" s="28">
        <v>125</v>
      </c>
      <c r="Z104" s="35">
        <v>112</v>
      </c>
      <c r="AA104" s="115">
        <v>816822</v>
      </c>
    </row>
    <row r="105" spans="1:29" ht="16.5" x14ac:dyDescent="0.3">
      <c r="A105" s="25">
        <v>91</v>
      </c>
      <c r="B105" s="28" t="s">
        <v>86</v>
      </c>
      <c r="C105" s="42" t="s">
        <v>110</v>
      </c>
      <c r="D105" s="29">
        <v>33827140.549999997</v>
      </c>
      <c r="E105" s="29"/>
      <c r="F105" s="29">
        <v>210244142.74000001</v>
      </c>
      <c r="G105" s="29"/>
      <c r="H105" s="28"/>
      <c r="I105" s="28"/>
      <c r="J105" s="29">
        <v>244504977.59999999</v>
      </c>
      <c r="K105" s="29">
        <v>310595.21000000002</v>
      </c>
      <c r="L105" s="30">
        <v>389453.74</v>
      </c>
      <c r="M105" s="29">
        <v>244504977.59999999</v>
      </c>
      <c r="N105" s="29">
        <v>949586.42</v>
      </c>
      <c r="O105" s="31">
        <v>240989131.78</v>
      </c>
      <c r="P105" s="32">
        <f t="shared" si="40"/>
        <v>9.7337258451897432E-3</v>
      </c>
      <c r="Q105" s="31">
        <v>243555391.18000001</v>
      </c>
      <c r="R105" s="32">
        <f t="shared" si="41"/>
        <v>9.6232408487213813E-3</v>
      </c>
      <c r="S105" s="131">
        <f t="shared" si="32"/>
        <v>1.0648859477790705E-2</v>
      </c>
      <c r="T105" s="33">
        <f t="shared" si="36"/>
        <v>1.275254916326012E-3</v>
      </c>
      <c r="U105" s="33">
        <f t="shared" si="37"/>
        <v>1.5990355956118974E-3</v>
      </c>
      <c r="V105" s="34">
        <f t="shared" si="42"/>
        <v>121.17789711144111</v>
      </c>
      <c r="W105" s="34">
        <f t="shared" si="43"/>
        <v>0.19376777088259045</v>
      </c>
      <c r="X105" s="28">
        <v>121.18</v>
      </c>
      <c r="Y105" s="28">
        <v>121.65</v>
      </c>
      <c r="Z105" s="35">
        <v>40</v>
      </c>
      <c r="AA105" s="115">
        <v>2009899.47</v>
      </c>
    </row>
    <row r="106" spans="1:29" ht="16.5" x14ac:dyDescent="0.3">
      <c r="A106" s="40">
        <v>92</v>
      </c>
      <c r="B106" s="28" t="s">
        <v>26</v>
      </c>
      <c r="C106" s="42" t="s">
        <v>44</v>
      </c>
      <c r="D106" s="28">
        <v>795743398.89999998</v>
      </c>
      <c r="E106" s="28"/>
      <c r="F106" s="28">
        <v>499662663.37</v>
      </c>
      <c r="G106" s="28">
        <v>277000000</v>
      </c>
      <c r="H106" s="28">
        <v>123999999.97</v>
      </c>
      <c r="I106" s="28">
        <v>3911564.41</v>
      </c>
      <c r="J106" s="28">
        <v>1700317626.6500001</v>
      </c>
      <c r="K106" s="28">
        <v>3245035.55</v>
      </c>
      <c r="L106" s="37">
        <v>57700902.829999998</v>
      </c>
      <c r="M106" s="28">
        <v>1742030973.95</v>
      </c>
      <c r="N106" s="28">
        <v>87706274.870000005</v>
      </c>
      <c r="O106" s="31">
        <v>1592444990.73</v>
      </c>
      <c r="P106" s="32">
        <f t="shared" si="40"/>
        <v>6.4320008329097358E-2</v>
      </c>
      <c r="Q106" s="31">
        <v>1654324699.0899999</v>
      </c>
      <c r="R106" s="32">
        <f t="shared" si="41"/>
        <v>6.5364864001577025E-2</v>
      </c>
      <c r="S106" s="131">
        <f t="shared" si="32"/>
        <v>3.8858301994867235E-2</v>
      </c>
      <c r="T106" s="33">
        <f t="shared" si="36"/>
        <v>1.9615469392344851E-3</v>
      </c>
      <c r="U106" s="33">
        <f t="shared" si="37"/>
        <v>3.4878825699537541E-2</v>
      </c>
      <c r="V106" s="34">
        <f t="shared" si="42"/>
        <v>2.3250196623065782</v>
      </c>
      <c r="W106" s="34">
        <f t="shared" si="43"/>
        <v>8.1093955549588786E-2</v>
      </c>
      <c r="X106" s="28">
        <v>2.35</v>
      </c>
      <c r="Y106" s="28">
        <v>2.4</v>
      </c>
      <c r="Z106" s="35">
        <v>2017</v>
      </c>
      <c r="AA106" s="39">
        <v>711531487.63</v>
      </c>
    </row>
    <row r="107" spans="1:29" ht="16.5" x14ac:dyDescent="0.3">
      <c r="A107" s="25">
        <v>93</v>
      </c>
      <c r="B107" s="28" t="s">
        <v>63</v>
      </c>
      <c r="C107" s="41" t="s">
        <v>45</v>
      </c>
      <c r="D107" s="28">
        <v>43912160.299999997</v>
      </c>
      <c r="E107" s="28"/>
      <c r="F107" s="28">
        <v>47011544.049999997</v>
      </c>
      <c r="G107" s="28">
        <v>48495515.789999999</v>
      </c>
      <c r="H107" s="28"/>
      <c r="I107" s="28"/>
      <c r="J107" s="28">
        <v>139555220.13999999</v>
      </c>
      <c r="K107" s="28">
        <v>749249.63</v>
      </c>
      <c r="L107" s="37">
        <v>478068.07</v>
      </c>
      <c r="M107" s="28">
        <v>141196935.16999999</v>
      </c>
      <c r="N107" s="28">
        <v>141507.46</v>
      </c>
      <c r="O107" s="31">
        <v>135659884.25</v>
      </c>
      <c r="P107" s="32">
        <f t="shared" si="40"/>
        <v>5.4794011320192732E-3</v>
      </c>
      <c r="Q107" s="31">
        <v>138683124.68000001</v>
      </c>
      <c r="R107" s="32">
        <f t="shared" si="41"/>
        <v>5.4795794253742142E-3</v>
      </c>
      <c r="S107" s="131">
        <f t="shared" si="32"/>
        <v>2.2285441615361005E-2</v>
      </c>
      <c r="T107" s="33">
        <f t="shared" si="36"/>
        <v>5.4026013022769161E-3</v>
      </c>
      <c r="U107" s="33">
        <f t="shared" si="37"/>
        <v>3.4471971344970996E-3</v>
      </c>
      <c r="V107" s="34">
        <f t="shared" si="42"/>
        <v>1.4142408322205753</v>
      </c>
      <c r="W107" s="34">
        <f t="shared" si="43"/>
        <v>4.8751669443195603E-3</v>
      </c>
      <c r="X107" s="28">
        <v>1.4141999999999999</v>
      </c>
      <c r="Y107" s="28">
        <v>1.4399</v>
      </c>
      <c r="Z107" s="35">
        <v>99</v>
      </c>
      <c r="AA107" s="35">
        <v>98061887</v>
      </c>
    </row>
    <row r="108" spans="1:29" ht="16.5" x14ac:dyDescent="0.3">
      <c r="A108" s="40">
        <v>94</v>
      </c>
      <c r="B108" s="28" t="s">
        <v>89</v>
      </c>
      <c r="C108" s="53" t="s">
        <v>151</v>
      </c>
      <c r="D108" s="28">
        <v>138375076.91</v>
      </c>
      <c r="E108" s="28"/>
      <c r="F108" s="28">
        <v>47814240.100000001</v>
      </c>
      <c r="G108" s="28">
        <v>53091188.100000001</v>
      </c>
      <c r="H108" s="28"/>
      <c r="I108" s="28"/>
      <c r="J108" s="28">
        <v>100905428.2</v>
      </c>
      <c r="K108" s="28">
        <v>5618002.9100000001</v>
      </c>
      <c r="L108" s="37">
        <v>460146.64</v>
      </c>
      <c r="M108" s="28">
        <v>242604216.53999999</v>
      </c>
      <c r="N108" s="28">
        <v>2937907.42</v>
      </c>
      <c r="O108" s="31">
        <v>223715927.62</v>
      </c>
      <c r="P108" s="32">
        <f t="shared" si="40"/>
        <v>9.0360485992510339E-3</v>
      </c>
      <c r="Q108" s="31">
        <v>239666309.12</v>
      </c>
      <c r="R108" s="32">
        <f t="shared" si="41"/>
        <v>9.4695773508102956E-3</v>
      </c>
      <c r="S108" s="131">
        <f t="shared" si="32"/>
        <v>7.1297478323014363E-2</v>
      </c>
      <c r="T108" s="33">
        <f t="shared" si="36"/>
        <v>2.344093723739488E-2</v>
      </c>
      <c r="U108" s="33">
        <f t="shared" si="37"/>
        <v>1.9199471201836983E-3</v>
      </c>
      <c r="V108" s="34">
        <f t="shared" si="42"/>
        <v>107.80519961206802</v>
      </c>
      <c r="W108" s="34">
        <f t="shared" si="43"/>
        <v>0.20698028253601874</v>
      </c>
      <c r="X108" s="28">
        <v>107.8052</v>
      </c>
      <c r="Y108" s="28">
        <v>109.1267</v>
      </c>
      <c r="Z108" s="35">
        <v>92</v>
      </c>
      <c r="AA108" s="117">
        <v>2223142.39</v>
      </c>
    </row>
    <row r="109" spans="1:29" ht="16.5" x14ac:dyDescent="0.3">
      <c r="A109" s="90"/>
      <c r="B109" s="118"/>
      <c r="C109" s="75" t="s">
        <v>59</v>
      </c>
      <c r="D109" s="28"/>
      <c r="E109" s="28"/>
      <c r="F109" s="28"/>
      <c r="G109" s="28"/>
      <c r="H109" s="28"/>
      <c r="I109" s="28"/>
      <c r="J109" s="28"/>
      <c r="K109" s="28"/>
      <c r="L109" s="37"/>
      <c r="M109" s="28"/>
      <c r="N109" s="28"/>
      <c r="O109" s="76">
        <f>SUM(O88:O108)</f>
        <v>24758158963.260006</v>
      </c>
      <c r="P109" s="77">
        <f>(O109/$O$118)</f>
        <v>1.8589447632635481E-2</v>
      </c>
      <c r="Q109" s="76">
        <f>SUM(Q88:Q108)</f>
        <v>25309081941.18</v>
      </c>
      <c r="R109" s="77">
        <f>(Q109/$Q$118)</f>
        <v>1.8455106266971683E-2</v>
      </c>
      <c r="S109" s="131">
        <f t="shared" si="32"/>
        <v>2.2252178715612064E-2</v>
      </c>
      <c r="T109" s="33"/>
      <c r="U109" s="33"/>
      <c r="V109" s="34"/>
      <c r="W109" s="34"/>
      <c r="X109" s="28"/>
      <c r="Y109" s="28"/>
      <c r="Z109" s="78">
        <f>SUM(Z88:Z108)</f>
        <v>84514</v>
      </c>
      <c r="AA109" s="115"/>
    </row>
    <row r="110" spans="1:29" ht="16.5" x14ac:dyDescent="0.3">
      <c r="A110" s="119"/>
      <c r="B110" s="120"/>
      <c r="C110" s="94" t="s">
        <v>68</v>
      </c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31"/>
      <c r="P110" s="32"/>
      <c r="Q110" s="31"/>
      <c r="R110" s="32"/>
      <c r="S110" s="131"/>
      <c r="T110" s="33"/>
      <c r="U110" s="33"/>
      <c r="V110" s="34"/>
      <c r="W110" s="34"/>
      <c r="X110" s="95"/>
      <c r="Y110" s="95"/>
      <c r="Z110" s="95"/>
      <c r="AA110" s="98"/>
      <c r="AB110" s="14"/>
    </row>
    <row r="111" spans="1:29" ht="16.5" x14ac:dyDescent="0.3">
      <c r="A111" s="25">
        <v>95</v>
      </c>
      <c r="B111" s="26" t="s">
        <v>28</v>
      </c>
      <c r="C111" s="53" t="s">
        <v>46</v>
      </c>
      <c r="D111" s="28">
        <v>210161857</v>
      </c>
      <c r="E111" s="54"/>
      <c r="F111" s="28">
        <v>138132208.87</v>
      </c>
      <c r="G111" s="28">
        <v>182793793.61000001</v>
      </c>
      <c r="H111" s="38"/>
      <c r="I111" s="28"/>
      <c r="J111" s="28">
        <v>531087859.48000002</v>
      </c>
      <c r="K111" s="28">
        <v>4163906.43</v>
      </c>
      <c r="L111" s="30">
        <v>4079718.24</v>
      </c>
      <c r="M111" s="28">
        <v>531087859.48000002</v>
      </c>
      <c r="N111" s="28">
        <v>7477518.5899999999</v>
      </c>
      <c r="O111" s="31">
        <v>518346066.5</v>
      </c>
      <c r="P111" s="32">
        <f t="shared" ref="P111:P116" si="44">(O111/$O$117)</f>
        <v>9.6365754297344453E-2</v>
      </c>
      <c r="Q111" s="31">
        <v>523610340.88999999</v>
      </c>
      <c r="R111" s="32">
        <f>(Q111/$Q$117)</f>
        <v>9.371828005355326E-2</v>
      </c>
      <c r="S111" s="131">
        <f t="shared" si="32"/>
        <v>1.0155906893527059E-2</v>
      </c>
      <c r="T111" s="33">
        <f>(K111/Q111)</f>
        <v>7.9522998398436004E-3</v>
      </c>
      <c r="U111" s="33">
        <f t="shared" ref="U111:U116" si="45">L111/Q111</f>
        <v>7.7915157921930097E-3</v>
      </c>
      <c r="V111" s="34">
        <f t="shared" si="38"/>
        <v>11.789067338463743</v>
      </c>
      <c r="W111" s="34">
        <f t="shared" ref="W111" si="46">L111/AA111</f>
        <v>9.1854704342867077E-2</v>
      </c>
      <c r="X111" s="28">
        <v>11.789099999999999</v>
      </c>
      <c r="Y111" s="28">
        <v>11.888199999999999</v>
      </c>
      <c r="Z111" s="35">
        <v>1590</v>
      </c>
      <c r="AA111" s="39">
        <v>44414907.969999999</v>
      </c>
      <c r="AB111" s="14"/>
    </row>
    <row r="112" spans="1:29" ht="16.5" x14ac:dyDescent="0.3">
      <c r="A112" s="25">
        <v>96</v>
      </c>
      <c r="B112" s="26" t="s">
        <v>47</v>
      </c>
      <c r="C112" s="53" t="s">
        <v>48</v>
      </c>
      <c r="D112" s="29">
        <v>913411492.83000004</v>
      </c>
      <c r="E112" s="28">
        <v>149850000</v>
      </c>
      <c r="F112" s="29"/>
      <c r="G112" s="29">
        <v>675474971.61000001</v>
      </c>
      <c r="H112" s="28"/>
      <c r="I112" s="29">
        <v>1096.3599999999999</v>
      </c>
      <c r="J112" s="28">
        <v>2483510074.8499999</v>
      </c>
      <c r="K112" s="29">
        <v>1288325.74</v>
      </c>
      <c r="L112" s="30">
        <v>60401694.170000002</v>
      </c>
      <c r="M112" s="29">
        <v>2543897743.4400001</v>
      </c>
      <c r="N112" s="29">
        <v>100594811.69</v>
      </c>
      <c r="O112" s="31">
        <v>2483120479.4400001</v>
      </c>
      <c r="P112" s="32">
        <f t="shared" si="44"/>
        <v>0.46163710593609608</v>
      </c>
      <c r="Q112" s="31">
        <v>2443302931.75</v>
      </c>
      <c r="R112" s="32">
        <f t="shared" ref="R112:R116" si="47">(Q112/$Q$117)</f>
        <v>0.43731403017023068</v>
      </c>
      <c r="S112" s="131">
        <f t="shared" si="32"/>
        <v>-1.6035286253601282E-2</v>
      </c>
      <c r="T112" s="33">
        <f t="shared" ref="T112:T116" si="48">(K112/Q112)</f>
        <v>5.2728858270441521E-4</v>
      </c>
      <c r="U112" s="33">
        <f t="shared" si="45"/>
        <v>2.4721328405535731E-2</v>
      </c>
      <c r="V112" s="34">
        <f t="shared" ref="V112:V116" si="49">Q112/AA112</f>
        <v>1.2430120385701213</v>
      </c>
      <c r="W112" s="34">
        <f t="shared" ref="W112:W116" si="50">L112/AA112</f>
        <v>3.0728908817526414E-2</v>
      </c>
      <c r="X112" s="28">
        <v>1.22</v>
      </c>
      <c r="Y112" s="28">
        <v>1.24</v>
      </c>
      <c r="Z112" s="35">
        <v>15151</v>
      </c>
      <c r="AA112" s="108">
        <v>1965630948</v>
      </c>
    </row>
    <row r="113" spans="1:28" ht="16.5" x14ac:dyDescent="0.3">
      <c r="A113" s="25">
        <v>97</v>
      </c>
      <c r="B113" s="26" t="s">
        <v>1</v>
      </c>
      <c r="C113" s="53" t="s">
        <v>49</v>
      </c>
      <c r="D113" s="29">
        <v>936766612.60000002</v>
      </c>
      <c r="E113" s="28"/>
      <c r="F113" s="29">
        <v>288459651.16000003</v>
      </c>
      <c r="G113" s="28">
        <v>10803203.77</v>
      </c>
      <c r="H113" s="28"/>
      <c r="I113" s="28"/>
      <c r="J113" s="29">
        <v>1238410853.98</v>
      </c>
      <c r="K113" s="29">
        <v>3724037.7</v>
      </c>
      <c r="L113" s="30">
        <v>56891386.810000002</v>
      </c>
      <c r="M113" s="29">
        <v>1289969596.21</v>
      </c>
      <c r="N113" s="29">
        <v>17853632.68</v>
      </c>
      <c r="O113" s="31">
        <v>1218939464.6700001</v>
      </c>
      <c r="P113" s="32">
        <f t="shared" si="44"/>
        <v>0.22661312306056788</v>
      </c>
      <c r="Q113" s="31">
        <v>1272115963.53</v>
      </c>
      <c r="R113" s="32">
        <f t="shared" si="47"/>
        <v>0.22768939193992374</v>
      </c>
      <c r="S113" s="131">
        <f t="shared" si="32"/>
        <v>4.3625217167282557E-2</v>
      </c>
      <c r="T113" s="33">
        <f t="shared" si="48"/>
        <v>2.9274357108656605E-3</v>
      </c>
      <c r="U113" s="33">
        <f t="shared" si="45"/>
        <v>4.4721855900724534E-2</v>
      </c>
      <c r="V113" s="34">
        <f t="shared" si="49"/>
        <v>0.94024941527099748</v>
      </c>
      <c r="W113" s="34">
        <f t="shared" si="50"/>
        <v>4.2049698860490051E-2</v>
      </c>
      <c r="X113" s="28">
        <v>0.93</v>
      </c>
      <c r="Y113" s="28">
        <v>0.95</v>
      </c>
      <c r="Z113" s="35">
        <v>9477</v>
      </c>
      <c r="AA113" s="39">
        <v>1352955867.74</v>
      </c>
    </row>
    <row r="114" spans="1:28" ht="16.5" x14ac:dyDescent="0.3">
      <c r="A114" s="25">
        <v>98</v>
      </c>
      <c r="B114" s="38" t="s">
        <v>61</v>
      </c>
      <c r="C114" s="53" t="s">
        <v>50</v>
      </c>
      <c r="D114" s="28">
        <v>85487320</v>
      </c>
      <c r="E114" s="38"/>
      <c r="F114" s="28"/>
      <c r="G114" s="28">
        <v>142998394.41</v>
      </c>
      <c r="H114" s="28"/>
      <c r="I114" s="28">
        <v>131192228.12</v>
      </c>
      <c r="J114" s="28">
        <v>397317942.52999997</v>
      </c>
      <c r="K114" s="28">
        <v>854677.88</v>
      </c>
      <c r="L114" s="37">
        <v>6100302.9699999997</v>
      </c>
      <c r="M114" s="28">
        <v>321365318</v>
      </c>
      <c r="N114" s="28">
        <v>3388780</v>
      </c>
      <c r="O114" s="31">
        <v>262382418</v>
      </c>
      <c r="P114" s="32">
        <f t="shared" si="44"/>
        <v>4.8779534097093659E-2</v>
      </c>
      <c r="Q114" s="31">
        <v>317976539</v>
      </c>
      <c r="R114" s="32">
        <f t="shared" si="47"/>
        <v>5.6912959896493004E-2</v>
      </c>
      <c r="S114" s="131">
        <f t="shared" si="32"/>
        <v>0.21188203624223023</v>
      </c>
      <c r="T114" s="33">
        <f t="shared" si="48"/>
        <v>2.6878645911672118E-3</v>
      </c>
      <c r="U114" s="33">
        <f t="shared" si="45"/>
        <v>1.9184758061663157E-2</v>
      </c>
      <c r="V114" s="34">
        <f t="shared" si="49"/>
        <v>37.190716956592425</v>
      </c>
      <c r="W114" s="34">
        <f t="shared" si="50"/>
        <v>0.71349490695201923</v>
      </c>
      <c r="X114" s="28">
        <v>31.23</v>
      </c>
      <c r="Y114" s="28">
        <v>32.17</v>
      </c>
      <c r="Z114" s="35">
        <v>2019</v>
      </c>
      <c r="AA114" s="39">
        <v>8549890</v>
      </c>
    </row>
    <row r="115" spans="1:28" ht="16.5" x14ac:dyDescent="0.3">
      <c r="A115" s="25">
        <v>99</v>
      </c>
      <c r="B115" s="26" t="s">
        <v>1</v>
      </c>
      <c r="C115" s="27" t="s">
        <v>81</v>
      </c>
      <c r="D115" s="28">
        <v>123665200.8</v>
      </c>
      <c r="E115" s="28"/>
      <c r="F115" s="28">
        <v>14083946.119999999</v>
      </c>
      <c r="G115" s="28">
        <v>29184397.789999999</v>
      </c>
      <c r="H115" s="28"/>
      <c r="I115" s="28"/>
      <c r="J115" s="28">
        <v>167972044.71000001</v>
      </c>
      <c r="K115" s="28">
        <v>321515.44</v>
      </c>
      <c r="L115" s="37">
        <v>4919378.8</v>
      </c>
      <c r="M115" s="28">
        <v>174466853.56999999</v>
      </c>
      <c r="N115" s="28">
        <v>2730097.34</v>
      </c>
      <c r="O115" s="31">
        <v>166666665.43000001</v>
      </c>
      <c r="P115" s="32">
        <f t="shared" si="44"/>
        <v>3.0985011690804629E-2</v>
      </c>
      <c r="Q115" s="31">
        <v>171736756.22999999</v>
      </c>
      <c r="R115" s="32">
        <f t="shared" si="47"/>
        <v>3.0738265001594298E-2</v>
      </c>
      <c r="S115" s="131">
        <f t="shared" si="32"/>
        <v>3.0420545025720336E-2</v>
      </c>
      <c r="T115" s="33">
        <f t="shared" si="48"/>
        <v>1.8721411016370169E-3</v>
      </c>
      <c r="U115" s="33">
        <f t="shared" si="45"/>
        <v>2.8644880152573032E-2</v>
      </c>
      <c r="V115" s="34">
        <f t="shared" si="49"/>
        <v>172.21693493231697</v>
      </c>
      <c r="W115" s="34">
        <f t="shared" si="50"/>
        <v>4.933133461379688</v>
      </c>
      <c r="X115" s="28">
        <v>170.95</v>
      </c>
      <c r="Y115" s="28">
        <v>173.12</v>
      </c>
      <c r="Z115" s="35">
        <v>359</v>
      </c>
      <c r="AA115" s="39">
        <v>997211.78</v>
      </c>
    </row>
    <row r="116" spans="1:28" ht="16.5" x14ac:dyDescent="0.3">
      <c r="A116" s="25">
        <v>100</v>
      </c>
      <c r="B116" s="26" t="s">
        <v>38</v>
      </c>
      <c r="C116" s="27" t="s">
        <v>162</v>
      </c>
      <c r="D116" s="28"/>
      <c r="E116" s="28"/>
      <c r="F116" s="28"/>
      <c r="G116" s="28">
        <v>856416184</v>
      </c>
      <c r="H116" s="28"/>
      <c r="I116" s="28"/>
      <c r="J116" s="28">
        <v>858324800.50999999</v>
      </c>
      <c r="K116" s="28">
        <v>1477519.14</v>
      </c>
      <c r="L116" s="37">
        <v>13784387.99</v>
      </c>
      <c r="M116" s="28">
        <v>863448864.42999995</v>
      </c>
      <c r="N116" s="28">
        <v>5124063.92</v>
      </c>
      <c r="O116" s="31">
        <v>729489638.75999999</v>
      </c>
      <c r="P116" s="32">
        <f t="shared" si="44"/>
        <v>0.13561947091809312</v>
      </c>
      <c r="Q116" s="31">
        <v>858324800.50999999</v>
      </c>
      <c r="R116" s="32">
        <f t="shared" si="47"/>
        <v>0.15362707293820502</v>
      </c>
      <c r="S116" s="131">
        <f t="shared" si="32"/>
        <v>0.17660999540582425</v>
      </c>
      <c r="T116" s="33">
        <f t="shared" si="48"/>
        <v>1.7213986350179868E-3</v>
      </c>
      <c r="U116" s="33">
        <f t="shared" si="45"/>
        <v>1.6059640804750818E-2</v>
      </c>
      <c r="V116" s="34">
        <f t="shared" si="49"/>
        <v>106.79763552785785</v>
      </c>
      <c r="W116" s="34">
        <f t="shared" si="50"/>
        <v>1.7151316653740913</v>
      </c>
      <c r="X116" s="28">
        <v>108.69</v>
      </c>
      <c r="Y116" s="28">
        <v>108.71</v>
      </c>
      <c r="Z116" s="35">
        <v>125</v>
      </c>
      <c r="AA116" s="39">
        <v>8036927</v>
      </c>
    </row>
    <row r="117" spans="1:28" ht="16.5" x14ac:dyDescent="0.3">
      <c r="A117" s="73"/>
      <c r="B117" s="118"/>
      <c r="C117" s="75" t="s">
        <v>59</v>
      </c>
      <c r="D117" s="28"/>
      <c r="E117" s="28"/>
      <c r="F117" s="28"/>
      <c r="G117" s="28"/>
      <c r="H117" s="28"/>
      <c r="I117" s="28"/>
      <c r="J117" s="28"/>
      <c r="K117" s="28"/>
      <c r="L117" s="37"/>
      <c r="M117" s="28"/>
      <c r="N117" s="28"/>
      <c r="O117" s="76">
        <f>SUM(O111:O116)</f>
        <v>5378944732.8000011</v>
      </c>
      <c r="P117" s="77">
        <f>(O117/$O$118)</f>
        <v>4.0387337191593736E-3</v>
      </c>
      <c r="Q117" s="76">
        <f>SUM(Q111:Q116)</f>
        <v>5587067331.9099998</v>
      </c>
      <c r="R117" s="77">
        <f>(Q117/$Q$118)</f>
        <v>4.0740285076621644E-3</v>
      </c>
      <c r="S117" s="131">
        <f t="shared" si="32"/>
        <v>3.8692087286359013E-2</v>
      </c>
      <c r="T117" s="33"/>
      <c r="U117" s="33"/>
      <c r="V117" s="34"/>
      <c r="W117" s="34"/>
      <c r="X117" s="28"/>
      <c r="Y117" s="28"/>
      <c r="Z117" s="78">
        <f>SUM(Z111:Z116)</f>
        <v>28721</v>
      </c>
      <c r="AA117" s="39"/>
    </row>
    <row r="118" spans="1:28" ht="17.25" thickBot="1" x14ac:dyDescent="0.35">
      <c r="A118" s="121"/>
      <c r="B118" s="122"/>
      <c r="C118" s="123" t="s">
        <v>60</v>
      </c>
      <c r="D118" s="124">
        <f t="shared" ref="D118:N118" si="51">SUM(D4:D117)</f>
        <v>22776426499.139999</v>
      </c>
      <c r="E118" s="124">
        <f t="shared" si="51"/>
        <v>150121011</v>
      </c>
      <c r="F118" s="124">
        <f t="shared" si="51"/>
        <v>775542572662.9502</v>
      </c>
      <c r="G118" s="124">
        <f t="shared" si="51"/>
        <v>390039729918.30017</v>
      </c>
      <c r="H118" s="124">
        <f t="shared" si="51"/>
        <v>28280430663.98</v>
      </c>
      <c r="I118" s="124">
        <f t="shared" si="51"/>
        <v>409444578.98000008</v>
      </c>
      <c r="J118" s="124">
        <f t="shared" si="51"/>
        <v>1226313294364.7305</v>
      </c>
      <c r="K118" s="124">
        <f t="shared" si="51"/>
        <v>1929202408.3600008</v>
      </c>
      <c r="L118" s="124">
        <f t="shared" si="51"/>
        <v>6452910940.5600014</v>
      </c>
      <c r="M118" s="124">
        <f t="shared" si="51"/>
        <v>1380750477922.6804</v>
      </c>
      <c r="N118" s="124">
        <f t="shared" si="51"/>
        <v>11899230338.890007</v>
      </c>
      <c r="O118" s="125">
        <f>(O18+O43+O56+O81+O86+O109+O117)</f>
        <v>1331839409784.0103</v>
      </c>
      <c r="P118" s="126"/>
      <c r="Q118" s="125">
        <f>(Q18+Q43+Q56+Q81+Q86+Q109+Q117)</f>
        <v>1371386410625.7998</v>
      </c>
      <c r="R118" s="126"/>
      <c r="S118" s="131">
        <f t="shared" si="32"/>
        <v>2.9693520518515853E-2</v>
      </c>
      <c r="T118" s="127"/>
      <c r="U118" s="127"/>
      <c r="V118" s="128"/>
      <c r="W118" s="128"/>
      <c r="X118" s="124">
        <f>SUM(X4:X117)</f>
        <v>1249765.5840999994</v>
      </c>
      <c r="Y118" s="124">
        <f>SUM(Y4:Y117)</f>
        <v>1250197.4187999992</v>
      </c>
      <c r="Z118" s="124">
        <f>(Z18+Z43+Z56+Z81+Z86+Z109+Z117)</f>
        <v>467563</v>
      </c>
      <c r="AA118" s="129">
        <f>SUM(AA4:AA117)</f>
        <v>267120356078.22607</v>
      </c>
      <c r="AB118" s="4"/>
    </row>
    <row r="119" spans="1:28" x14ac:dyDescent="0.25">
      <c r="A119" s="15"/>
      <c r="B119" s="15"/>
      <c r="C119" s="15"/>
    </row>
    <row r="120" spans="1:28" x14ac:dyDescent="0.25">
      <c r="A120" s="15"/>
      <c r="B120" s="16"/>
      <c r="C120" s="17"/>
      <c r="Q120" s="12"/>
      <c r="AA120" s="11"/>
    </row>
    <row r="121" spans="1:28" x14ac:dyDescent="0.25">
      <c r="A121" s="15"/>
      <c r="B121" s="18"/>
      <c r="C121" s="19"/>
      <c r="Q121" s="20"/>
      <c r="R121" s="11"/>
      <c r="S121" s="11"/>
    </row>
    <row r="122" spans="1:28" x14ac:dyDescent="0.25">
      <c r="A122" s="15"/>
      <c r="B122" s="18"/>
      <c r="C122" s="19"/>
      <c r="Q122" s="20"/>
      <c r="R122" s="11"/>
      <c r="S122" s="11"/>
    </row>
    <row r="123" spans="1:28" x14ac:dyDescent="0.25">
      <c r="A123" s="15"/>
      <c r="B123" s="18"/>
      <c r="C123" s="19"/>
      <c r="Q123" s="20"/>
      <c r="R123" s="11"/>
      <c r="S123" s="11"/>
    </row>
    <row r="124" spans="1:28" x14ac:dyDescent="0.25">
      <c r="A124" s="15"/>
      <c r="B124" s="18"/>
      <c r="C124" s="19"/>
      <c r="Q124" s="20"/>
      <c r="R124" s="11"/>
      <c r="S124" s="11"/>
    </row>
  </sheetData>
  <mergeCells count="1">
    <mergeCell ref="A1:AA1"/>
  </mergeCells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4 4 d 5 6 3 0 - e 3 b 6 - 4 a f 1 - b 6 4 1 - 6 5 c 0 6 c 3 c b 6 0 5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D 4 n S U R B V H h e 7 X 3 3 c x x J d u Z r D 6 D h P Q H C E / R u Q H J o x p s 1 k k 6 h W N k 4 h U K r k y 5 i F a f 7 I / Q P 3 Q 8 X O p n V 7 M 5 w D I c k 6 E k A J E E 4 g j A E C B A e a N / 3 v p e Z 3 Y V G o d E A w W E 1 o I 9 M Z F Z W d X d V Z n 7 5 X r 5 8 m e X 6 1 2 u 3 k / R f I I + v k D w l x y k a j V M s F q N k M r k u G F j T i U S C O g P 9 5 P F 4 q K K i n I q L i / W Z 9 b j z w k 9 z a 2 5 9 t B F u F 9 G n h 0 L 0 f M 5 L g z N e n b s e H V U x a q 2 M 0 b X h A A X 9 S Z p d d V N D a Y w K V p 9 R Y 2 M D B Q I B u s 2 / U 1 W U o M F Z / g 6 + z / L A K n m 8 h f S a r y 0 p S F A 7 f 0 f A m 5 T P 4 z f j / C h r E R c 9 n f b R f M b 9 H S m f p U J P i H x e D 5 W V l 9 P z 1 3 7 5 3 s b y B N W X J q m 6 O E l e r 5 e 8 P h 9 1 P x 6 h 2 Y U l / c n 9 j f 8 i F K O 0 4 R y t r C S F S P F 4 f B 2 J M m M r 3 m u M U H l B l J a W l q i s r E z n p o G P / P 5 Z g a S 5 / V J 7 d W x T w r Q x W U a Y U D Y / k 8 K R 2 q i Q 4 9 W y R + e Q E O S j 9 r C k Q Z C r A w W p 7 6 g r S T D p 4 l Q V j K u M L R C K u m i I S b M Q c n N Z x K n J M 0 A N j Y 1 M H A / N z c 1 T 2 F c n 5 M P 3 n m 5 U n c 7 o i 3 G q a 2 i l 0 p J C + q r 7 g f 6 m / Q s m 1 J 0 s V b j 3 U V D d R e F w X I g E i W P I l I 1 I Q G 1 x n I 5 W r 9 D M z C w d O F C v c 9 d j O e K m G y N + f b Q 9 g I A f M l H m 1 l w i U Y Z m f T T H Z I o l 1 H k r X H z x 5 Z Y w T S 6 x p C x M y H X D r x V x 6 0 r i d O p A V N L b g Q t f q t H T 0 0 u V l Z U 0 O v q C D j a 3 0 J O l Z n K 7 3 d T V F K P K I i 4 3 8 t K t E R d 9 c a q A v r 7 z l E K R i P 7 k / o P r X 3 / c n 4 T y F V Z S 0 t + a k k p W M h n Y k Q l 5 l a x W d R 2 M 0 K N H P X T q 1 E l 9 J g 1 8 6 s G E n 2 a W N 1 f z i p g k Q V + C Q j E 3 L S 7 M 0 s m m Q i o v 9 t I w S 4 i J x b Q E Q r M + V h c V d S s c S z f y T D S W M c F Z g l 0 d D F A 8 s f 6 6 D p a M B / m 8 z 2 P z P B w 2 / 9 Y 0 s f r 7 n 8 m z d 3 Y e E j J 1 j w Z o K e y m w 2 X T F P R G q a a m l q 9 K k p 9 V z y c v X t G L 6 V n 5 3 H 6 D 6 9 / 2 I a G K 6 8 7 S y i q r S E w k q 4 p n C G R i K 6 x 5 r Z V x a g w u y t j J 7 1 8 v g S A Z r G p d G Y 9 d 0 K A r m I S b N d y 7 d + 9 R V 9 d 7 k v 5 d v 1 I R d x u V w Q T N s + T 6 v D N E 4 / M e m l 7 x i M q a C / D k I M / C 9 C h N T r 6 U T g g S a 8 J 7 V s 5 / 1 h m m 8 N o K j 7 P c V F u 4 S v X 1 d U T e A v r m T o + c 3 0 / Y d 4 Q q r O m i t b W 0 i o c A 5 E o m K z C w P 1 4 f p Z 5 J n 8 5 R g P S B A Q H j l 6 2 A x j k w M E h H j x 6 R 4 9 k V N 9 0 b 3 5 m a a F A S S M r Y q j i Q o E U e D y H Y q Y o A C L 8 a d V M U t 5 p M U J O r h 4 J F Q R y w K h y h B D o d L q M I p y u r K p k n p X S g p l T K 5 M e e K Q o V t M n 3 n G S 1 8 k B p Q q R X h F W + o q I i S n C x X X 2 g J N t + A R P q 7 r 5 4 W j d L E 1 / 5 a Q q F 7 F U 8 u 0 r f q i G c 5 R 6 + m B t v N O 6 i Y j + P X e Y X u Q F G q L q 6 W l + R H W t r a z z Y n 6 O G h g Y 5 v v n c L 5 L g p 0 Q X D C s s P b / W x p N P O 8 L k z V A N Y Z A o K A h Q Y W E h 3 3 O I Q i B X h T L C P J n 2 0 R h L P K i G Z x o i V F u S l D S k N 4 r P x b 3 O d 4 + G u M w 3 Y f Q e g + v f r u 9 9 Q r n c H v K W n u a e c / f I 1 F Y V E 1 O 2 F S s r K 9 y Y 3 N w 7 F + q c 7 F h d X a O J i Q k 6 d K h D 5 y i J 9 W P v D E U K W 3 X O T 4 t C 9 x p V x f p T E t N g f H y c G h s b J Q 1 y P H v 2 T K 4 x Y y x M D c y H P F Q T u s t k K 6 W m p o N i V p + f n 6 e E y 0 d P J v i Z Y r l Z G / M Z e 5 5 Q b o + f P C U n W H 2 J p l S 8 b G T a i k g Y 2 H / Q F i G v e + N 1 k D b 4 P M Y X u Q I m 9 5 H h 5 3 T y 1 A k h e 1 / f E 2 p p a a a y s l J 9 B d 8 T B z E C h O x H Y V A 7 r e r l D 0 M B C m U x Y G S D Z / U F t Z a v U l t r i x y v s h Q d H x u X N A w S 0 0 s e l k J x l v Q h L t M w l Z e X y z k D Q z D E s 7 O v q a a m m h Y X l z g s 0 o u l G E X 2 u K R y / f s e J 5 S n 7 D 2 W T F F p r I Z I J m T C L s 8 K m L E L e G y S i a W l Z R o e H i a f z 0 d t 7 W 1 U E A j o M 7 n h 5 c u X M j G 7 s L B I r b o h Z w K 3 B k s f J n 8 z b x O G B o z n M v H 6 9 R w 9 f Z m k k L + B x 0 E 6 c w s c q X h N 0 6 N P x L D w 8 u U U V V R U U B W P n a z z b F B x 0 b H A 8 n f 4 c G e K R F Y g D w E S F + o f g P K 9 0 T + e G r f u R T C h 7 m V v R X k K t z d A r u A x I V O m Z N o J m T 7 p C H E j 0 g c W P H n y l M d A B 6 i 0 N C 1 R t g u o i s P D I z K f V V V V p X O z Y 3 r Z Q 0 + n m V y c / l h P 7 G Z i Y W G B o t H o u j E d P C I w O Y t 5 t O Y K b u w 8 Z O v n 7 x l f 9 F I 0 E q H C u R u 0 u r J I v / j 5 l / T 8 + S i F W E I t L a 9 Q X V 2 N q H w w O l g B g w p U 1 m y k Q k C H N j L y X F T B + y P T F B Y r y N 6 D 6 9 9 v 7 E 1 C e c v O r l P z T K + 4 E z J d a g m L 8 S E T k 5 O T / N e 1 6 c R u r l h d X a U X L 8 b o y J H D O m d 3 A H U S z 7 Y d s n d 3 3 6 Z I O E Q f f P i B l B m e 8 e D B g 3 I O R h S Q 4 t i x o 3 J s A E k Y L A 7 a S m Z D K K i H + O z J k y f E s H F r c F K s h 3 s N P 6 1 J 6 S e C r / y s G C A M k Q x h M o m D 4 6 3 I B F j J h J 4 W Y 6 U x H l f U 1 9 e / M Z k A m J g x x t h t l J S U U F / v Y 3 2 U H f e 1 q f 7 8 + S 4 x d 0 N V g y o 7 N j Y h R A J g 5 Q O Z p q a m p R M w q K y s U O Z 1 r V Z b Y c o Y K i 0 k J a 6 B x f D 0 w Q p 9 x d 7 C n i N U o B K S a a M 1 z 6 6 i c 8 H 5 J j X 5 O T M z I + o d G h c m c w 8 e b J S e d 7 c Q Z d X 0 b a C q u j K n Z z 3 T G B H H W 6 h 0 t e 3 n 6 f H j J / y 8 j + n i x Q t C J C v q 6 m q Z F A X S q R j g m u f P n 0 v a r q w R Q D x D O o z J L h 5 q y O q l k Y 9 w / c e N + 7 m 1 r D x A o P I 4 r Y l j p 5 J O p i I R r M g 8 t o O X u 5 q P 2 k M y x s A 4 o b 2 9 b c P 4 Y b c Q 5 f v t 6 + m l M 2 f P 6 J z d w + j o K B O g T i T E V k C x P O b x V Z F P T U z n A p j T Q Q 6 U K V S 6 1 / F q O s j j J E w p Z H Y 4 O M a Y D v e C s s R n 5 p Z W q W f 0 l b 4 i / 7 F n J F R F 0 x k K h T 3 b k k y Z A g b k A e B p g O U U l I z T 9 P Q r U e v e F p m A c C h E B R l S Y L e A x m 5 V z 7 I B 5 X G I i T A w 4 x U X q G y + g w Y w V E B l h S U P c X t 9 g f g j K q / 3 j W X v 9 v h o d n Y 2 V U e J S I i O H d i 5 Q c d p c I v M z f M Q K K n i c Y 1 a f r G O T H z a i o 0 V z A X A n 0 e P D M C 0 f L Z q g t 5 v D s n 3 o E c d f f G C n v U P S M / 6 t v D q 1 a x Y C t 8 G I A 2 2 c + 9 + b 5 J a K p R 0 + j 7 H + S x 0 N i B T R 0 c 7 1 V Y U U X F y S l y d f m A V M r P M 0 W n N J 2 p E m q F 8 / X 4 f l Q S L q L K k w L Z u 8 y 3 s C Q k V c x 9 M k c k Q S p B R m X b A A H w 1 6 h J i f X k 4 R N V V l f I d 8 E f D e K m q s p K O H D 1 M D x 8 + k p 7 1 b a C p q Z H H L E 8 3 N L 7 d A L w V j F E h V 3 T W x F K d D C a J t 4 N A w E + X j p S J l M f 6 q h G 9 j M Q A z w g v k / L y M j H E g I g g Z H v N x v V k + Q i Z D 8 z n U F B 1 R l b Z G j I Z b J R G m z d W e B l g c h T A e G l h f k E a o U z U t r X K g P v 0 6 V M y p 3 X z 5 i 3 x E t h N o N G j d + / u v k W 9 P J b C 7 + w W o I r 1 P x 3 Q R 7 n j S l t 6 b m s n H v A X W 8 K y p A T q 4 1 d P A 9 J x G a A u Y M p f Y V V U P C h e j D G p X N R W 6 r W t 4 3 w K L K H s s v M j B K v a u e E n U t I J Q G V t h 0 z o U e C 6 A 8 D v D M Y H e F X D Q 8 A s z c D n H z x 4 J M v c z 5 w 5 J d Y + L G P I 9 r 3 b B b w R L l 5 8 n x o P N l J f X 6 9 4 T W D u x g D P i A n g 7 a q e U K s S y Z 3 N 9 7 z f n P 7 9 J 1 P 2 K 4 2 z A e u 4 U L 6 o r d / 3 B 2 h o 1 i N L R 5 b D L i m 7 2 p o a W l 5 e l k 4 L U g p l 0 F q F b Q T S d Z x v I a / H U K u R E m l o q J x U 4 F N W b N X o D Z m A 4 a E R W + M D v q O + X p m K E c 6 c O S 2 6 / 8 2 b 3 d L I d w N 4 j s H B I f H s P n b s m P T Y I C 3 W S l 3 9 5 j u 6 f f u O O N M O D Q 3 L d Z g c z R V B H q P g + 3 M B v C / W W F U D S g u S s p g S G F v w q j G R H O W O y 6 1 h O t m g y h j r x G B F 7 B 5 U U x E o V 3 j a z 7 N G g H I H + Z O R V d u 6 z p e Q t 2 O o Q O V p 7 q 3 X G y E E F g J t R S b 0 w P U l y g U G 6 g c 2 O 7 E D L I f W 5 Q e o e L g I d X V 1 y b J w u A 3 l 2 m A z g e 8 d H 5 8 Q v z i 4 5 a C 3 h i E B k 7 L w 6 3 v v v b N 0 + c p F H s y 7 x d E U 3 h R w n s V 4 7 v b t u y L J t n r O Q x 0 d o s J C 4 u E + T Z l Z g a M Q P 0 K Q x z 6 G U E B 0 8 p Z O q T 0 n v h 3 Y n v p X y G O x 8 O I 0 x a K q A 8 D v n m n C 3 h f p s R k 6 C Z Q p S P X 6 9 T y d z G O r n + u 3 3 Q + y 1 4 Y D 4 Q 9 W U y h R L + q P l V D W R p L Z Y D J R X p h I T d p i L g U 6 P R q x H a C W x J h U 5 T Y b s Q B w 8 Y E k Q e P P 1 c 0 H 9 w d S P H s 2 y O O z k y x F s K j P H i D B r V t 3 Z J L V K k H x 7 C A U G m R D Q z 3 V 1 t a m H F G t e P 3 6 N S 0 v L V M R S y q M z z A G h G R F 7 H Z j 3 V J C J p Z X 4 3 6 q r 2 A p X F i Q G k N C z S 0 K F t M P I 0 X k 9 S k y w Q o I w 8 V 2 M M N E G V 6 u p o W Q l z 5 q W 6 P u 3 p c U C b a L f 2 R H w T A d b D w g Z Y I 6 R U c 5 s b B G s y v 2 P o p O h u s / u x / m H a F c J a f E T y 9 z z s m K r Q g F i 5 7 B / X s P 6 O x 7 m 0 + q T k 9 P C 9 k y P Q a s Q K O H Q Q P j g B o e G 2 Q D 5 o U e P u y h z s 4 O W e q B 3 n k r 9 P U 9 F u + M z Q g L U k P K 1 R + o p 5 r q 6 n V L 8 + E q B W B c u B V M u Y F w U G 9 V A 4 + K i n l 3 p o 5 J F i C / J 0 k f d 2 y / s Y 8 8 f 0 6 t L c q b H h u / z B W d o 0 h c P T u K A O O t k 7 W r l A z N S F n 3 v V y W c / m E v F P 5 A u U d X M G b E w n Y i k x f M J n w e f T C s D J V V m d f v w Q J l b l 3 R C Z g q Y M q B v V v 5 t X M p i o g / O B G n 4 / S h Q v n R G 3 M h U w A 1 L 8 7 d + 7 q o 4 0 A 4 c + d 6 6 K K 8 n I Z Y 4 F c k E D w O I f b l N X A k Q 2 4 H w T s M Y h n Q s M G i e F u d P y A k n 4 g A d S / 7 Q J k g n o 7 M D A g 3 i E g 5 Q c p a 6 J L 5 g H v T w S o s L h M J G l r 5 d u Z 7 H 6 b c P 3 n r f y S U M m i k 1 L Y x i f M j l T Z C J W c f 0 q F k X G Z B 8 G Y C Q 0 G P X E 2 P H s 2 I G Z t O 4 N F J k B U k P T B / U d 0 6 v Q J k U B K N V t g I r 2 g p u a D 2 1 q A a A C p h g V 7 G G f l A s y j T U x O 0 r 0 7 9 + k X v / y Z P G M u 9 5 8 N G F v B 3 8 9 g s 3 V Y u Q B S D 8 S F W r k Y d l H 3 c / W 9 U D 9 d i S j V J 3 q p i S X y k 1 e 5 e X k 4 B X k l o Q K V p 7 j n f z O n 1 x W q o A 8 / v C L L C K A C b U U m A D 1 9 r p I E j R a r W N s 7 2 k R K f P f t 9 / T 0 a T + f c d G J k 8 d 3 R C Y A U j L X p f U A J C o k Q l u 7 m k d 7 U z I B M D B Y g X 0 o s J / E T g A i v X j x Q t K l g W R q I l k k V d J N 4 W C n p D s r t z 8 H 9 i 7 B p Y y G 4 v z g c v u 4 Y S s J s B l p t i I T U F G F / e O 2 h 3 B o + + M F S B L M K 3 l Y b c L e C x j c Q 4 X a K f B s O y F F g I k F a b 5 b y D R G Y J M W 6 6 T t d o C d l E y d W b / C x c 8 5 v e S l y U U s o E y K h T O z P T g 1 i M T O h x C o O L r O 5 J s L e e x w w j L v l A v w O 5 g Y z V V C W S F G E w 4 7 + a w d d v L M P r 9 P 1 K v d A i x 8 h 5 l U W I R o 8 K N F D c w F K B d Y O G d Y h Q X w W M Y R V 4 o K j 8 m J M S Z U g q V V S 4 n H t k 0 4 M e T N x O 7 a G j f s D O m 0 W T o b 8 H X b A c i w U 0 K E W L I d b F I 7 B b 0 p d k I m o K C g c F c J B V Q H F i k 6 2 a 2 P M H / l o p d L m 0 t P E A j q 3 a O H P X T j R j d d / e Z b k d a X L 1 / U V 6 D T 0 k n U E P 5 z m Y d j H g 5 u d Q 5 V k A f h z R X r n w D + s i N b j p 1 y R X n R 9 t Q f / G a m q g a H z 9 U I 3 G e 4 s S R 4 X M a D a j u E u R f P d V 4 q G 7 C J C 7 y z 7 V 5 I s B W w O n Y 3 C Y V 7 g Z H m 5 x + f 1 j k K P Z N + e r X s F i s e p h k w 9 7 W 6 u i L 1 h G O U A 3 Z 2 w l z a h x 9 9 s G 5 c J 3 x x p e s T W 7 G h d Y J U d 8 f 9 s h y k s c i + j J 2 G v C B U J M Z 6 + h u O n Q A s G n S x + g Y j Q 6 6 f w X W Y a A R A n h c 8 C M f i O + w O C 8 G F 5 Q j L T K 5 M 4 H 6 H h 5 k E G d t s b R d w P 4 K k k / G Y z a T t Z s B 9 Q 6 3 a b Z 9 D r A 8 7 d v w Y F R Y U 0 P G 6 9 U T F f u 6 x e C w 1 Z 7 e 2 G p J t 0 S Y m J o V Q R t r D E w S m f Q N 0 U F x c A t y r u Y 7 / 8 H 8 3 T f J 4 y i 2 0 c z 5 c X 9 3 u c f S d u v 1 l F K Y D M n 4 y p n L A 2 k h y b T C e q e / F m l R V X S V W M 3 i Q W w f 6 2 D 9 u b W 1 V T M 4 r K x y b 7 Y e 9 H t k / A r 9 i p Q 5 I g / k d 3 N e r J a I i 9 4 r M M 8 F 7 A e 0 B + y / k u o u R H X C P v b 2 P Z Z + H 7 Z A J W F 5 e o Z 5 H v X T 6 z E l u w A X 8 + d 3 p O 7 / + / V X 6 9 L O P U + W W 6 Y l e 6 X 5 F 7 3 U U 8 / O n S w r z f S C Y F a j P C E v O 6 V A J D b x S G g A + Y + p S 7 V E R p X g s y t d G 6 W z 9 C i 1 z j 7 a m J 4 K d C t f v 7 j i b U K 5 i 7 J K z u V d E J p k C X D d h m z l V z G 9 8 0 p a e o M V k J 9 L o c Q H M E 8 G E j v k m A / S O a B c w 8 a K y M V Y w + / K 9 e v W K B g e G Z J + E p 0 + f U d f 5 C 1 R Z U S L X o r H t x C J n B Z 7 1 + o 3 b d K 7 r d E 6 m / U z A m f b o 0 a N U X L y 5 S 9 N 2 g b L + 8 d p 1 u v L B F f G k g N P t Q s h D 9 8 b 8 8 m 4 q A L 6 R 2 O d 8 K 0 D a / 8 u d J S o u s / E q 4 d + B I S j B 0 g 5 k i k N l T Y b p f M M q T U Z 2 b i n 9 K b A 7 3 d Z b R D S a N k Z k k s c O d m Q C T j f E 1 3 k 7 Y D x y 7 9 4 D U T / g B Y C 3 X 5 w 4 c V w a r w l Y L I f P R O J u m u b x A c i E C d Z H D x / x P S X p 4 q X 3 6 f C R w 1 R b X 0 s V 5 c X S C 2 O 8 Z c i E s Q v U L j j Q Y u w B q b c Z M p 8 P z w x V b y f E h K T F R v 9 v S u p M o F P B M 4 2 P j 8 n G n r d u 3 a a J k V 4 6 W z 1 J D a W K R C + X c p O k K 1 G X L Z m U q o f / k E T 4 i w N 4 U e S H 0 u f 5 2 9 / 8 r 3 / W a c e h o O o Y S 6 f N t w L L J B j U u W j G u 5 E A 7 H J q z O X 4 L l Q a V C g 0 O O w X A S J I R W Y A 3 / 5 y 0 U M l g Q R 5 E 2 s y y I Z E 6 z z c K e M E 8 x k 4 z d 6 / / 0 C W s V s b M d Q 1 u P B g W 2 V 4 l W M d V U l J s Z A S 3 h R Q e / A I 8 L V 7 8 P C h f H c k E h Z 1 D W M P 7 E I L y x g V 1 g i 5 7 T b a t A O + d 5 p V T 6 z t 2 m 1 g M W B r a y u V V 5 R T e 1 u b q L Q Y k 0 4 O P a S a 2 l p a i v j E 8 T h z E t g A 5 X l z N E D j 8 9 k k D Z c r F w x 3 p Z T k + k K d 4 c 0 g 2 O O j M h C j U H J n k 8 k / B b j 2 0 S i c G d b W 3 O v I t B W w l N 0 O 2 K Q U 2 2 J 9 / / 0 1 + u b r q 2 K l A n w + r 4 x T 7 D C z 4 u Y B t o s O l M b 5 T h J 0 8 0 a 3 O L 9 i w j Z z P A P S w D s C D p 9 Q J T F m g A q 5 s r J M 1 T x e g y c 5 l l 5 g c S L I B N K B x G j 4 v b 1 9 / A 1 J e v / 9 C 3 T q 1 A l p o F D T L l w 4 T 8 0 H G 2 g p l K S R x 7 e Y J b m 7 4 G C h J F 5 8 h u / f T e D 7 4 I O H T q F E v 0 8 Y z w L v D 9 z v w k g 3 H a 0 J 0 V 1 W A T O B V + p g v N X z 0 i e d S C 6 Q 2 u R O S 0 k r o t E 5 H / k I V t p 0 G 3 F a 4 D F U b 4 6 P 9 9 P C 5 f F T 1 N s h B g K Q S n o p R j Y J t R m i 4 V U q n v + R D n d 2 y t I E j M f Q o P G d D + 4 / 5 D H B Z b H k L S 8 v c c 9 b I S Z x v I b T A C T A m K l F e 0 r b A f e C 6 0 B a e E V g o e C X X 3 7 + R t 4 R A M z P V 6 9 + R 5 9 8 8 t G 2 D B z Y P g w k f x O z P S S n 1 + s T A u H 5 M I f U 2 t r M U t 1 + Q x m U 6 9 2 7 9 2 m h 6 C x 9 c U J N x j 4 Y 9 9 M r 7 p y 2 C y W Z 8 A J x Z Z h Q x o k I n W 9 c p v l E g G m 1 u + r s b s H z 6 3 / 8 p 3 + G 5 u K 0 4 C 8 / w q p E 2 h A B 7 I R M Q C K 6 T H X B q I x j Q F C M a + b n 5 0 S S 4 C 3 m M O t i n m d s b I y C 1 e 1 U U Z T + 7 q G h I X k 7 B t y H s o 1 J M E j H x o 8 Y k + F a O M d i n Z O d K p k r 8 I x Q / 6 B 7 g q C b L Y C 0 h 0 t 8 C N U a q e 0 3 P p Q V 1 E 6 o c 9 j X D + O / e D w m X u 9 w k u 1 / h f 3 R t a 1 b Q 5 V P k s I z / d S 7 2 E w j c 4 F N t Y a t I P X L w a h 8 S R 6 z I p 5 b S V L Q F S Z X A I a i j e 3 m X Q f P r 3 / z T 4 4 c Q 0 V d N S I 1 j G R 6 E 4 Q j U f I W H 6 B T h x u 4 X 8 N W w A V 0 + P B h U V U w 8 Q k 1 D k s v o P + X e E O p x X 6 o 1 K G h E T q n z d b o g d F r Q x K B l D C R Q 8 2 D F J m a 4 r F V 5 y F q b m 6 S a 5 d Z 3 U N j f h M J B a K j E W O N E 8 z I u U o o q J t Q T 5 9 z J 9 H W 1 r L O G J M r 8 A y Q T P g u S C R 0 P n D O h W T H W K 6 i E D 5 2 + m I L H v U 8 p r Y T l + j 5 1 C q r n b l Z J 5 s q 4 q I S W g G r b J p Q M N g o i R W J J q i 9 M k R h 9 / b c n X 4 q 8 F M w r R w Y 4 v G 0 1 W s 7 0 s g O R c F S W o n 5 q f v O I 2 6 U l d L o A U g P W P v M m M g d X Z D f Q u P B h C j G I l h f Z C Q T p B C s X D i G U Q L f h f m p x o Y G + U 5 s i Q X g e + H Z k U 2 i b Q W Q F h I P 3 w k i T + j 7 2 Q q 4 v 3 u s d s F k / g d / + A s h P D 6 P g L V a 1 3 7 4 0 X b c a N Z O 4 T q U A f Y 0 x x Q A O h d 0 H n f v 3 O P n S Y 8 d 7 V 6 A D Q T 8 X h r p u 0 H N / l G d k 0 b Q n 6 A A f w 6 v I c V q a b P 0 4 8 W c n Z H B J U a h 9 V B t I y J + f 8 4 M j p R Q 3 q J 6 L j T l J W 1 H q p 0 S z B 2 o o M 4 D 6 n 2 4 + A 6 z x 4 K R I h h v P H r U y + O l G U 6 X i O Q Z e z F O p W U l Y p W D t A R Z s O k 9 p B w a O 4 6 j r N + P j I y m 1 i r B W l d U V C A G i Z 0 C 7 j o w Z I A Q l R W V 1 N B 4 Q I g P l d I O e B 7 c H / b 3 6 + h o k / V e k E y 4 3 j w n P B f a D 7 W L I Q T f h f F J D 6 d f 8 f 0 O D g 4 L e b C S 2 O N x s V S P y P O g 0 0 D n A k N J L i o n O h j M T 1 V V l M r b O F Z 4 P H q x N c I S L U F H 6 2 L U g h d + l 7 G W 4 E u K 1 0 k 8 i Y Z o A 3 4 e P J N R 9 Z S E g u o X p 9 V w g g o 8 M X I z 4 Z 0 G z 9 8 5 c Q x V 2 M S N Q I 2 f d h N J t 0 + 8 m i s K I n T 7 1 h 0 h L P z t j I 8 c e m l M 1 O I l Y i A U i I O G D K s g 1 C 3 s z o P P W N / a B z U E 5 n B M A s M Y g T H a Y x 5 7 w G 9 t p + M n S E K 4 5 j Q 1 N Y m 3 B j o / / L 6 R g F Z g 6 f v 4 + K S M l 2 C I a G l p k v s 2 v 4 0 5 K Z A H 0 u 4 A P w u s c 3 h G n E Y n 8 f h J P 1 1 8 / z y r p z V C Y G y 6 i Y b c w G o e J C y + B 9 + U 4 L x c f A l x P d T C p 0 + f 0 t G 2 a n l j P l R E b P 6 S i d F 5 L 8 U 3 T H O A S B w h W w i l i c S E k g B C R R J U F Q i R R 6 Y 7 d J t x S N i 5 T v I W I R P j U q q 7 j 7 F 5 N 9 1 m 9 a W L x 0 W Y p 4 H B w R A X v b n 1 j R I A 8 j D p i / E W G h 3 U I M D M d 4 F A z c 3 N d I h 7 f k y m o j e H u 8 9 O 1 T 1 I E + w f A b c l S M F j x 4 9 K Q 8 a W Z Z k v f k Y Z Q T X 0 s 5 r V 1 X W W r l y 5 L O M 2 K 5 F x v 0 9 Y a g G l r K Y C I C Y W V 8 J q + W d / + i c i m f A b + B z I h 3 N G D U Y H A s u o j G m 2 A X R K 2 G 0 3 2 9 J 7 + 9 W + y O S 6 V / 9 B L 8 k 1 g E D D 4 x X 6 d r e z 3 S 0 4 c g x l x k / W Y G B N 7 x T 1 H e f J x 2 o e G t D M z G v 6 l 3 / 5 V x l X K P P 4 j L 5 q I 9 D I T E P z u Z P 0 4 0 i A X o X V / g c e D z w k X L T M E s O Q b i f A P c C S h j E a g H u E R A G Z l 5 Y W x d o H y f J y a k q 2 E Y O q C R K B + H Y k h t q J D W j m 5 x d p a H h Y V L / t 4 N G j H l l 1 n P k u 3 a 0 A K Y V O Y W L i J T 1 4 8 E C k f y a y 7 Z u u i G T q W s V S 9 R y w n A M r h Z O i L j o r O F J C 7 Q Z p N o P 0 3 q z 6 A W h c V V U V M s e D n h T v l E 2 v 0 d k I e D 6 Y J e y o 1 L b K G M 0 s w 3 s a i / j U l m S Y + J T f 2 A Y g B S A l c T 8 w V R s y W Q G p g t + H 8 y 7 m x P x e n 5 j l 3 2 d 1 b S s r H i T Q h x 9 e p i B / x + s 5 9 W L t X A H n Y N w P H G y 3 C 9 w X r I w w k M B V C R L L a A A o v 8 1 v g 8 s P J z c 7 z / m Y e B c f P 4 f B c Q s M / R V H t c 6 8 a W m / M b C + 5 v W q i x t o L 1 3 g B u n z + W X S E l Y 0 u 3 E K A N U O 4 y r T e M G Z 0 o I E e d 1 Q P V x C R q h o U M u 2 o + 7 B 8 P H V f / 5 O J m 8 x 9 4 P 3 1 e J 7 r I C p H t 9 / 6 d L 7 s t N q R 0 e H N H R I p V z J i + s w t l p Z X q H r 1 2 / m L K m a e R z 3 H q u 8 I M R 2 p Z s B 7 h O 7 4 c J l 6 4 U m F I w V u c K u J U B L n 5 x 2 3 i 6 z j l s C z + 3 2 r Z I J g G d 0 9 4 i b C q o 7 R T W B V e r T T z + m 4 u K S T X 8 b p n T r B i u 4 V 4 y j S g s 9 M v l b W V 1 H s w t r l P A E a W L R T 0 N M W r w g e j O g 0 5 i c n B T f u M + / + E z I 4 v c H x D B g B V Q l O P G e O n U y p W 7 u F P g 8 d q a F + m j 2 6 s s F h T y G w l v h Q U R I 0 5 1 i Y m y C L v N z A o M z W 6 v F U P u k P l A l U i 3 r 6 y Y S C m 9 o P + 8 6 O E 7 l Q 3 2 h E E 1 4 W 4 B L z Y u V S u r X a 3 E g m a p r q m S H V r v f R W O E u m V F O U u o y h L + f M 0 5 u j t V T n 3 z 9 b R W f p 6 e z W J j f C / d f u G n v i n 7 h g N L H v Y q B 1 E g 9 f D 7 a O i Z 0 g 3 E g 2 N s p t R 6 E 2 C M h r E X v O B z B Q w V W N o C S b 0 T w E S P F y E Y Q G X L h v X 8 E W r p t A K O l k J o w s 4 C P 1 U m x 9 5 t g C j f j E h v g 2 C j c 1 6 a 5 c q F S l T H g 3 t 4 A x i r n w F + N l B Q y B J l K n U P M y s e + n Y w Q I 8 m f R T x V F K w u M x W 1 Z t Y 8 M h 4 I R O Q P L C 6 b a U e Q s 0 q L d 3 c X I 3 7 w Z h q a m p K J m a t g D T B E h A Y X G Z n Z m X L 5 h 9 + + J G + Z f V y c X G B 7 t 9 / a G s s 2 A z w m v / + u 2 s i r b c L G C f g l Z I z p J w 5 m D r X S T y v 5 O i 0 X R t 6 l 8 H z d / / 4 v x 0 1 s R t z V 0 l D k I L T 4 W 0 D a 3 j g n 1 Y e i N I 0 j 1 W K K h r p z p h f / N U g a Y Z f e 2 l g K k m L y U r y + g p l n w N 8 J p F E I W 4 N W L O w / B 5 z Y A s h t 5 D x Q e 8 A H e 0 4 s K V r E s 5 j H g w T t X Z S C m Z 6 z E V B g k B 9 f D 4 6 y n q 8 q l x Y A u G C h J 1 s S 3 j 8 h z E g 5 r Z a 2 1 r E 1 Q r L T R 4 + e C T j M V g X Y d H D 2 j A 7 k s O L / p t v v q P X c 6 9 l + T s M F f D W z w a Q F R 3 C I B O 5 w 7 K U 5 D F L 7 a V w 9 o 4 E C w x l U l c m d N E e d M y d H d y w M B + V 5 L i 2 t k g / r z P g + u b B k 7 f f Y n O E t 6 C C l i P V o l Y Y w 4 S V U G + b X P j + m R d 9 V N N 8 Q u e 8 X W C d V d f B y J b r n K A e Y v I Y 8 2 G Q p G i k K B 9 0 P P D s O H f u v d T 4 a p m v j Y j F E k v x F 8 Q K m G 3 s B U M M v h / f B 3 c p j C l B K v U b K H + 1 B w d M 9 M Y C e m f U T d 6 5 + 2 I g g c u V I a B x j c L v 4 b P Y O s D 4 R V q x 1 Q v c Q B r 4 M I J A c b 4 P p B F i 0 S i T C X u t R y i O E A t T R 2 s Z d z b O 2 b L Z d d V B h H L 5 K 2 g l W i X + a O + C U O 8 C M L 1 3 V G e 3 n q E s 4 D m B h o s G 2 t f b J 8 t M 0 D E v L S 3 T B x 9 c z k q a X I H f w b g K c 3 F q w t g n U r G s t J T c + v s x / s L 8 2 5 X W s M y J w Y 0 J 4 7 / K q g p 5 g w f m 4 G D 6 / 8 U v v r S 9 J 7 z R M P M 1 o V a o O t e E 4 g 5 D y A R y g 1 B m G Y e Q K S J x Q 1 0 R N T Y 4 5 / U 3 T K i n z m m l v k o m V H m q B 9 4 P h M I z / e x I 2 p v A P G O m O R z l Y Z a Z d L F E K m J J s s i q 3 t M n / e I l s R u E A v D 7 G G N 9 8 u n H 6 + 4 B d Y K X F W D 3 p d e r 7 t S L 2 H B f 6 A D x d g 6 M s T D p D I k H 6 Z U J j C W x f X M 2 i E o H 9 Y 7 J p C Q U S K S l l C Z U l M k E C Q V C 1 V U X U E v z z r a 3 f h v I r s j + x K g p t Z 8 D 2 s u Y m x q W T S A R 4 I 8 H b 3 A 0 X B g Q Q B 4 E 7 H W H B o v l F F C / M I a B u o f F k c e O H d k 1 M q X A P I K E s g J j O U g i T I C D T B h f A p C a m G f C G A 8 E x F Q A 1 k / Z 4 f u h L c j E Z M Y / T q i 0 B D 5 U Z y W W t M p g Y L 3 Y 9 r f J f p t w 1 M R u 1 F W U K s j 9 g p a D 9 e J H B 0 9 3 G B W w 8 Q s 2 i 4 G x A U Y E 9 P o Y / M O 4 c O f O P R k v o e F C M s B 3 0 G 6 M 8 q a o O 9 B I s 8 t E i 2 E 3 P Z n y p e b T M B c F q Q g c r r H 3 U k D V Z R I c k g k W U W x F k B 2 a R J a 0 s E f a B C J 9 P h V A f C a U T V t 6 V 8 F R E i p D y 9 n z g E r T U r J I M z O z s v 4 I m + J D E s A w 0 H G o X V x 1 s E l L I U s G 7 C H 4 2 W e f i D U P g O G m s u L N N t H M B B o p z N u z S w k 6 W F N I p Y E E B X w J 6 p n 0 s Z q l l o Z g P J U N m a o q A D U v m s t + e s K f N G G s a X O s L 9 J 5 U A 9 x 7 B y 4 1 R Y Y z v j n o d 3 d V M T p w C K 9 U C Q p J I G 1 7 N L l i 6 k G W c 9 q 0 8 c f f 0 Q t r c 3 i L o T s D Y 1 1 l 3 s g j H 8 W F u b p S l d n y n K H V 8 2 c a Y z Q 1 Z 4 F c X b d y m 8 Q J m x p / B r f 5 P p O X v 0 Z x Z n 0 + F l C i k D p w H / A K 0 l b 2 9 C 7 / u c o C R W K Z p / X 2 G u I J 7 3 U 2 l j B h C q X 8 R E k k x U Y 3 E O P g B k 7 E 5 i s t b p C 7 Q a w d g q v H Y X X v M H Q a y / d e R G g l V c j M k 7 a C l b S Y 6 4 u Y 8 X J p h A e 6 R S 4 o v 9 I L A R C v p z T w X L s J D h q D O X 3 7 M y t J V + R f s m Y P f C e J L w + E w s b r U A j w r 5 7 l Z X l G 6 X W G w D z V t a J 5 t / 1 B 2 h + 1 c X q G g / + Q z G 6 / 1 J t H Z Y N e B 8 W g B c H Q F X M B Y Y w n M D f N G E Q 4 5 w l N k H O a U u w X V t 6 V 8 F R E q q 9 y l G 3 8 9 Z x o T m 7 h a o 4 G J Q 3 y 1 t 9 C G G M w J x U g T j 1 b t 3 A c w U a J v Z k h 3 X v + f N R u v / g E U 0 + u 0 X j v V d p r O d r 8 s f m q L 1 o Q j X g L I B K C E n 3 c D L 3 j W G E H D p A 3 e M / H O k 8 I V a G C m g C / 1 P X O w f c g m 1 o 9 o 5 C Y W 4 d 2 p 7 B 4 2 n 7 R o d 5 H c z 7 2 G H 6 1 S u Z P M U y j w R X 3 9 a W s 9 w A f 0 B I J x h I s K T k 0 K F D V N V y h u q O f E C N x z 6 h S x 9 9 I Z L y 3 r 1 7 t J r F l w / q 6 a 3 7 / d z g d U Z O M C S x I Y 6 W Q u q c C T p f k 8 6 u L b 2 r 4 K j l G / h z u s F 5 i 8 b e F q a X 9 M v E N N B g s c P Q b / / j K 3 r w 4 C F L i u f i k G v W a G E u q q + n T z Z L g a q 3 F n P T + M K b j z s h 9 f C m D p j r s S n L / N w 8 u X x F M r + E t W I V J R 5 q q P S I t 3 l n Z y c 9 v P 9 Q 1 m 7 Z L e U Y m i u i a N U F f Z Q 7 h C Q m B m m E Z I h V H v / R 5 3 S + 5 T i z H b 3 L 4 C w d i w u n t j h O X f W 5 r 9 X J d 1 w f C U i j A W Z n Z 6 S R X r r 8 P r W 3 t 8 v 8 F H p 8 s z k K z O x F w a L U O A f L 8 J s r 3 t w y y s U u E 8 Y / / H B N 3 i e M f S y w K x H e 8 o 4 d i i 4 0 h c W 5 F 4 B T 7 P s X L 4 g V 8 M 7 t u + u W c z y e 9 s l O R j 7 / D v f M s x C F H 1 a n W a X T e R u D O u c k O M o o M b + q X r V f V u R j S b U / D B T w c r 8 + z K T i d g G r H e Z 6 s H 8 D L H + I s S e E M T y g E V m X x 2 N D f o t B b s f A z r K d x 0 7 I I s e y 8 j L q 7 x 8 g D 3 8 v v r r T Z g I X Z M I + F n j T v d W j A i 8 C y A 3 r S W H S y h m X A 2 J 9 D f + R u S Z I U a X m 4 f p 0 C A a Z v L h R h w R H S a i p e T U L j w a U u c 3 v X g a 2 K / 7 6 c Y x 6 W J 3 D T k x m D s g K S J D 7 9 9 Q b P t 4 G x l d K e O w W E + / 1 s 2 f T r / s 0 k s k O U E V v 3 r g l 8 1 c h f o Z c T e R K J O M P S I M I s Z F E I A r H 0 I U t R F L n d B D i q e t K S p 3 j a Q 4 4 a m L X x 5 U H M h n P 5 s 5 q Z / l p v U 3 E 3 Y U U q 7 7 E 4 6 N G W Z 4 O j 2 / M Q 2 F T E x g J 4 H Z 0 4 u T x l K f E b q O 2 x C V L 7 Q 8 f P i R u U L k A h P r 0 8 0 9 k H 8 L v H m P O b H s w E i g d a z L p W N Z E 6 f M q b Q k g F R O t t K T Q 0 o L e / T 9 H S a g o d 3 H o s I y K 0 1 K Z p A b W 4 f c D s M 1 x 3 B O k f 7 s 1 Q 7 0 9 v b J p J X Z x R a O 5 1 X 2 H T p w 4 9 t b I B I z N E 5 W 3 n J O N X L a D g N 9 P 5 9 8 / T 9 5 A 7 i Z 8 1 L F A e K Q I Y y x 2 R j K l S K P T K k + l r e T C j l N O g q P G U L P L r I 9 z o W H w D V K t s X 7 e E N x + z 5 f P S P j K u C x c d P K k G t M c b D p I P / / F l z K e e p v 4 6 G g h D Y 9 O 6 a P t Y W A m Q A l X 7 v N O A F c z F L 4 U M a x B l m + Y Y x k z p V U / G W d p 6 Y R Q W F S w o R 2 9 y + D 6 v n c g 1 W G 8 a 0 A w v d e k B u H Y I h m b R 6 L g M W M P o G D 3 O s K h N S p e v k e e u J r r M d J a n p 2 T i L C x S y 5 u Q N v B c i h B X 3 W P 0 q 8 + b t U 5 u a N 7 1 L / h 7 R k b k a 4 7 J W k U K d B 5 g i y p 9 U + I z e L C h F p c q N Z D q Z d X Y y + + W D S s F x m G 6 e c / 6 y L X b l h m d g l M q E F H t d L 3 2 2 u l g J e X F r m X U r f 2 w 2 h a 1 d k P p E L j + 6 L T f v M U 7 B + B s Z X 1 p W d o h D A M A E V F Q d k l a b v A d / y f / 7 h N n 1 w 5 Q 3 U V O T q 0 a q B G f r / F s n b 0 B K b m F K E U m Y R U m k x p Q q m V u i r W C w w 5 4 I V r s s C Q C W W W w P / y l 2 p b M q f A U R O 7 C M Z D w O v D 1 l p B K i z c f 4 s O U R J 4 u z q k U 2 a A I Q C 7 F V n 3 D M d 7 q u C H h 3 F X d / c t e Y s g D B n b A d Y w f X H l G F 2 9 N S Q N P q f l F h q 5 X w m A V k p C C c l S 4 y S o d S a t 1 D w T K x V Q k 4 + D i f n k u r b j h O C o M R R C O B S i a C R C M 6 t 4 R 2 y U e 9 7 1 j q H 7 B d j T z w 6 Y 1 M X G K / C 3 w 0 5 E C O j Z 8 Z 7 f M 2 f O y E Y q 5 R X 2 W 5 p t h f L S I D M r Q N O z i 7 Q U d t G T 6 d y 8 M J g H W y J 1 C X g E U o i E M q T R R E F a Y s 5 P X a P z + F o Z V 4 k k w 7 k 4 + c U s z N / p o O A o K x / Q 9 2 p V e u I 6 H i J g M 0 r j d r M f g X f 9 2 g G v t j E T v n i N D s r I G C 1 A O L y X C Y 0 1 V 8 A p F m / 3 u H v v P n V W R + h 2 3 y T 5 E 4 t 0 p D a W 0 5 b J s y u 5 T + g q Y w M I o 8 g k 0 s e O R C b W I a U e 4 v M 6 7 / I H p / T 3 O g f O o z g C N x R M K K L B x O U V + s j f X w h 4 k x I 2 A 7 w q Q C z 4 3 i F t X X a B Z f F o g L k A Y 5 b / + + 0 z O n b 8 O J 0 / 1 0 X v n T 5 K H 5 4 5 I B O 8 g w O D F F 6 e Z U 0 h + 3 f V F G / 1 W + o 5 l B q n i J Q K Q i x D J m 3 N s 5 L J p M 0 5 D m a 8 h S 2 i U 2 3 G I c F x E g q Q g a k u 6 K U 1 v D V Q n 2 C A Z P s B x X 7 7 d 9 j m B m y W 8 l L K b y t g F 9 j y Q J h K S 4 q l b B H g O 3 j x 4 g V 5 t + + 1 a z f o t 7 / 9 i o b H t 3 4 d 6 W a / h 2 y c M + Z u Z f o G O V D H i j T p o M + B S A g m D Q l l j n V w Y l t w n F E C w R Q i s G N H y z z H 7 O p 6 T / T t A K t / Y Q n M 9 r I z A 6 x f q i n d q L J h D I b 1 W B c v n p c 3 l N z v U S 9 t s w P q q 9 n 9 m N Z W b M a 7 Q j I r c U z a k s c P q l Q 5 R S Y r a d L H y v o n J n V I p w K v b d t 5 1 8 F x R g m E 1 2 t q o 0 t g n w g k W 3 w 3 u L P O R M h Q X C L + f z C n w 5 X J l G c m V C + / O X M n J 1 7 y 4 N 9 H n a c / 1 D l p w I S P P d V v 3 L h J N d W V V F S c O f n M B M F f I 5 E M i U A S j h V R 0 m Q y q h y u w T k V 0 t Y 9 d R 5 x j N r a G 9 a 1 G a c E R 4 6 h p p Z j s s g O F Q B v b M A q 3 p 0 o 6 t 8 G c t 0 7 3 Q 7 w I F d + g H P y B n d s 5 X z t h + t C A j R K S D A z f 3 X k 6 B H 9 q Y 3 A d V A B b / 7 4 H X 3 3 3 Q 9 0 9 + 4 9 8 d 3 r 6 3 0 s L + e G y x Q 2 v 8 Q L E 6 z w u h V J h R w g D N e l I Y n H p U g l e U I m B C a L 5 T p D P E U m R T Q T k N f e g T f 5 q / b i p O C 6 9 n h 4 h 4 r F 2 8 X h S r / M j c T J T 9 8 P K R M y C t v A m t 6 r Q L + x 2 Q R v r k D j / P p 3 3 9 C l K x e l k 3 r 2 b F C m J e B Z 3 t z a J L 5 4 c 3 M L d O B A n S w o h P n d i p s 3 b 1 H w w E l 6 P b 9 M H 5 5 U b 7 X H k g 3 U j X V T m Y E Z H 4 2 8 T q u O q B 8 J Q h Q d 8 7 0 U e m N U 6 o / R 2 L w r Y 0 L X T O S m Y w m y e t l M 6 G L H 2 J B M 6 v 7 q z z 7 X v + Q s O N I o Y Y A K 8 X v i S O i c / Y X 2 q j d f v Q w p 5 P F 5 h S h w r r 1 w 4 Z x s V / b h R 1 e k g Q 8 M D M t 7 q Y a H R / Q n 0 o C q K G + N L 4 y S x + s T V V K p k z Y 7 N G U s X 1 N k g n T S M Q d I n Z P 1 Y S r w W U z g H O S c U Q t F 9 V N 5 a c K p F y M k h W w J q q z c v b 0 0 d h v y J h A n h u G F K M W 5 I C O R M P k 8 Z j z F J z T 2 u t p 3 p i F K b Z U 7 8 7 S H W o d x z d d f X 6 X v v v 1 B T O s G K D d I F 5 j Z D 3 V 0 0 O n T J 2 Q b a L w 5 w / q y b R C i v / 8 Z H T 7 S y Z 0 a Z y T S 4 1 o 7 G N U c E G J o s i i S I J 2 k c 4 0 h 8 r v x l g 9 N J s 5 X Z E L M x B F y Y Q w F w q W l F 4 i F 4 7 g c x + j i 5 T O p d u K 0 4 F g J F e O e K i 7 z H 2 5 u W P t n n w n A 7 0 3 m M L e z O d B 4 O z s P y U 6 z n 3 / x q T j T b g a z y S Z 2 p o X K Z 7 D C a h 3 e s A j D h t / v p e l l t 5 j i N 0 N M u y q J x D F E Q m w C H x e x Z A J B J h d d K R K l Y n z O x C y F F I l U n g R I K w 4 s p l g 6 O t f y 6 0 i j h A k r E V W Y 1 Q W r U t D 7 B Y F c H Q 8 2 A X p 9 S C J r y I a a m h p Z 0 g 6 1 C j 6 B P Y 9 6 6 P n I c 9 l H / f 7 9 B / S k r 5 f + q K u U x s b G Z B x m B + y C q 0 g B A l n S H A K s t n / c v i b H 2 N s / q I m F 6 1 I k 0 t e m 1 D w h F k i E c 2 p M l W T p V F 0 N L / u N b c U p w d F j q O m w S y o Z w R S 8 F V s 1 l H x F V X D n 0 g l A e W 3 X l w 8 7 0 e J 1 o S D M 8 R P H Z Q c k r N z 9 8 M M P Z B 8 L W A 1 R 3 l a 1 0 I B 5 Q Y s h R W Q h E 4 i h 0 4 2 l U b r Q H F I k 4 b z e l x 5 6 u a D U Q l W n l j G T N R h i M Y n M 3 B P y P v r E W d 7 l m X D k P J Q 1 x L m H Q u P w u 5 U K w F X B Y W / j Q O m b E Q q N N F f g W h g f 8 M q c W D x J L 9 d K q O e l n 8 Y X l J i E J w V U b 6 h + R T a e / / j 8 1 8 / 8 Q g K k D Z k a y 2 L 0 S f s q t V d F t J R R Y X k N 1 6 l 0 W i I h r Q h j i G N i 6 U w l x P j H u K M w u 8 c 4 N D j S U 8 I a Z i K Q U g k 6 X L m s C j 6 j s e w 1 K d V c E a e g / 8 0 6 D W z t l W u 5 Y B 9 A N F q M o 0 6 e O E L B 2 C R F J m 5 S i W u O y 1 p 5 U k x N T 9 P j x 0 / o y N H D + l M K s O B 9 N + h n I q 4 n E w j T V h G W N A x L h k C L a 7 h m v Z q n x l u G R M j j m I k j Z G L p J M Y I L a E + / f y C b R t x U n D 0 G A o h l H B L h R d 6 u I K k Y D e S a i / h 9 a p 6 9 5 N S c 3 c 2 b o R Z e 3 B g K K v r E d a d / b 9 v n 9 D y a l i c b N W 7 d e u o r a 1 V j B j Y Q R Z L Z 2 A R h K k d C x q h 7 q H s I c l u j / r o 6 / 4 A h a K K S F Y y 1 Q R 5 n G U I w 2 R D h w h i P Z / F s 0 H T U K R S 5 x V 5 J C 1 5 6 j g 1 H 8 X 3 i X p P x q N U W 1 f D d 2 7 f T p w S X N e f P n d 8 6 6 z 1 R s T 7 / N r z E t k R C U v j s Z G + P I D u i f c C y d A Y l 8 b u U X 3 h k o x Z M J 6 B F S 4 Y L F o / J s K j 8 n P j p d A 4 D + u c 9 T z K Y n 5 h g R 7 c e y g 7 J a m G m h T z O S Q O i H b j z l O 6 c P b Q p s t j 8 O Z 4 j / 5 + a 9 l O s C r Y N 6 W I h f s V M m n y S B 7 H J + p C V F G o O j 8 Q y R D m 2 w G f u h c 5 z i A O x x K w z J 0 D 1 s K l 3 q X L E r e 0 J E B / + M e f 6 b t w L v K C U E B 5 b J 7 6 5 y t p J Y Y J R q 8 Q C 2 R S D W n 9 O 4 n y G Y X e B F 1 p C 8 u z o R F m k z J 4 g y F 2 m 8 W W Y 1 h i 0 d L S T G M v x i j K v T q 2 I w s G C 0 W q P H s 2 w I 2 T G y u T C o 0 f y z u w 9 5 6 d g c G g p 6 d X N o o B T N n O r r j p 3 r h f v k M m Y h F n k A k q X F f j G h V 5 F Y k g n R B f H / F Q O J J U B M J 1 I B S k D 8 f u Z J Q l n Z J G 6 w m V 3 j v i r / / m j + U e n A 7 X 9 f 7 8 I F Q F h a l / 2 k e L E b g k s Y R i Q s G P D G E v S S k A 7 k b 6 k X I G G i n G Q / B 4 a G 1 t Z U m k y A J f P J j E o e J 1 d 9 + m K 1 c u Z S U S g G v x J v f T p 9 X 8 F c r 1 0 Y S P p p b d K e I g T s 8 3 K U u d k V Y X m 9 f I 6 4 L U U W T C 9 n D X B r 2 K R C n J h D S k E o 5 B J E 0 m T i s S a V c j J l N t T R l 9 8 f M P 5 F 6 c D k d t d J n t 3 z w V 0 N w K V 5 B W D Z J S I c r y h 0 r c S / j 9 F m 9 K t w M k N V 4 m g L c M w p U I K 3 g R I K l A I I y R j h 4 9 L P N M W w G + e q W l x Y o 8 H L 4 Z C N D L J S a T j H 0 g h S w E w r G u B 8 Q u i q 8 j E 7 w b H k 2 4 5 Z x 8 V p P J G C J M r C Q X x 1 p q Y X O W B A I T 6 4 u f f Z B q B 0 7 / Z 1 H M n Y + W c r i / m A J X p L K q E E Z S 7 Q U 8 m N j + z k U g g n X l b i Y w g Q v v 8 t 7 e P m n U d g C B Y E K H Y Q P p 4 V m 3 G C G U a q c 7 M I 6 R V u W + n l S X W D p Z y Y T 0 / I o m o v 4 c v k u 5 E U E l N H V o Y i O p Q L Q Y B Y s K 8 q p e 8 4 p Q B R V F q j J T v Z i K V U + n K n a v k A p v A A z H t v c s M J d n I x S k G N 7 q c e B A / a Z u R F A R y 8 v K Z F k 9 U B 1 E 2 V r U P C G G S q s 8 c 5 y g o 7 V h z t N E 0 X H 3 c 6 9 c Z + p J P o 9 6 0 4 S R g H O o U y G X y g e p I K F + 9 R e / l P v I F z h + Y j c z N F R h s I 6 B q y G T j q X S V N g r u D + + 3 d 1 Y k 1 u O j w A Y J V 6 8 G N u w 8 B B p z D f V s M p o y F P g Q d m a 8 o V 0 U Z 2 X 5 G k y I S A P X u l I C y k 4 X g 7 h p d y a X J J n Y v V 5 R R 6 O M X 7 C M W I m E s Z w U P X a 2 g / a t g E n B 8 d P 7 G a G 8 o q A 6 h l F N V C 9 W p p U a i J w r 4 y p s J V X L q + I g R c D 1 L Q Q j 6 F y A c z s X V 1 n Z T x 1 6 9 Y d e v S o h / r 6 H o v R A n N Q k P K K U E r V M 0 E R w T J + 4 r J X d Y G y B 0 F A J n U d y H J 3 1 C P 5 K R J J j O t Q b 6 r O U u q e k I o D N r b k g P q F m 5 F d G 3 B y Y J X P L t v Z 4 V B L k a o Q D q g Q V J 5 U C G J U m q 4 4 7 r M 5 5 D d 6 X v o o l s B z b w 5 Y 9 w o K A r L 3 Q y 7 A / B b M 4 l V V 1 X T + f J c Y M j o 6 O l g l x N w W r H G G P H G a X l K S C 2 l D n j S 5 V D 5 i j 0 u T h g O k D f z 1 0 p K J 8 z V x V A e o 6 s l 0 i C r m + s P Y S d J R + u N f / Y z v d G P d O z 3 k 1 R j K o K D A T T 4 v 9 5 R C J u j a p r J 0 L E F V r u j 6 O u Q j V D V l v 3 e M n W D F W z f 5 u w k w R s L y 9 T N n T s u E M Q C J B D J B X U y R Q k u a V 0 w o R S R 1 r I J W + 4 R Y K o 2 V u E i D K H P L S e q f d n N 9 m L o w 9 Y P z 6 + v K S C u 1 5 b K y 6 h U H C 3 k M 9 3 Z f j v C 2 k J e E A o 4 e K u W K R G W g h 9 O V o X s 7 J a X U O Y R 8 J R O A O 9 9 K Q m F S N 5 s x w g D E G x g Y p N N n T j G B l C q J o g F J 8 D s L C 0 s y f h H v B g 5 r k S S N z a k J Z r k G P n Z C E E U k K V 9 O Q x K 9 X i Y a m n H R D 0 N e e j T B q p 6 c 0 9 e A n B y v U + 9 w j H r j P D W J a + o w S n / + V 3 8 k 9 5 a P y D u j h D W 0 H A x K B S i 1 T w X p D R F b K h D H 0 s t y j 5 q P G J 3 L P o 7 C M 2 7 V a Y y M P K e h w W F Z l m H G R i l i Y F z E 5 Y V 3 L e F r R m Z d 9 M 0 z n 5 A j f Q 1 I o T 8 D k u A 3 p W x 1 z G H 0 N Z N P z p l y V / l K A q m 8 l H q H Y 8 T S G S K t C P X Z l 1 d s 6 z p f Q t 5 M 7 N r 9 q y g P y O 4 6 i k D p y p H e T / I M q d A Q 1 L F q C J p c e S K 5 p p a y E w o r a 7 E b E a Q L A C M F 5 p q e 9 Q / I c n i 8 s R 1 5 n Y c P y f n 1 Y 6 A k 4 d V B e B 0 p X j f 6 N R N p g N U 1 l K G U k y 4 v I Q Z / L p U 2 n 5 f v 0 s T h I N o B 8 n V Z p + o C a R C H 4 5 i u L 9 y v v K I m r j w j y s q C 1 N b e b K n h / P u X t y q f w e k T 1 d x F a z J x J a V 0 c U l r E k l a V 7 a u a N M Y 0 L i k d x d y m e A s h L d 4 E 8 b K y i o 1 N T W J S o f n e t b / T J b A t 7 Q 2 C 6 G w D d i h Q x 3 q m T k o a 5 x p / H F 5 d y + W b 8 D D f G V p X v L U t R w b w l j K T k h l y l G + R x + j v D k v R S A p f 5 0 2 Z N J 1 I 0 R C G r G s A k 6 w q v f f 1 A P l M f K e U M D Z U 7 V c y Y p M U o F a D V R E 4 q A r X h q A B N X T q g l L b b T g 7 0 n x y m H A P e G l 0 J s B z w i n W E z W Y k / y z s O d M q b C 0 g v 4 8 S l j g 3 r O 9 e q e C s H i I E u o H q q u b 6 F A Q V A R R p e T K j f V 8 a T L T w d d p k b l S 1 3 P Q Z W / T g u Z F I l S Z M K Y i e t J 5 U X p b 3 7 9 Z / p p 8 h u u 7 s E x B z a h 7 W N l J U K 9 T 2 b J B Y d Z j 5 c H 3 c o j X Z x n 3 d j + C m k e M i K 4 1 H Z Y i G H h S g f u X 3 T a a S j 2 J + h S q 9 q r K 3 O 8 d O 3 a j 3 T l y m V J S + c g p 3 V H s U U w B E P 6 6 o B f O h h I J c 4 Q g p h z Q j K k U + R S w Z B v P Q m V R q B I Z 7 Q D 3 c E x g Y x 0 g h N s I h a h P / n z X 1 B N j d r z L 9 + B F s R R / o d g M E D F R b A u q U o z q l + 6 p 9 S V r I N K o + f k W D c E k W Q 6 q I a j G h 3 / 4 d 9 4 t 1 i O u G l w x i M v V c N E r G n Q W N 7 h 9 2 F J h S K A B G 7 w x l K X G b C k H b v I v p q Z 4 T J Q e Y i 7 R 7 x c H j h O k y N F H J Q V y k V i c 6 x j X Y a i C f C x i T P z c B 2 I Z K x 5 i E G m A w 2 1 T C a 8 K N u + X v M t u G 4 N j u 8 J C W V w 8 9 Y o x Z M s g S C d R F I p K S X r p 7 S k W i e h Y J Z J S a r 1 E o v / y H f y k a T l S G U x U g l B + t z 6 / F 0 B i M 0 R d n x t L 1 + i + p I Y P X 3 a z 7 / k o s q q S h n / 6 M v w V 8 i V D s h H n B B X I 4 y 3 6 u v r 6 N 6 9 + 3 T 2 7 B l u 7 G o Z e 0 o S 6 W u F V E h z n D 7 O i E E c T i M W 8 u H Y Q i a J o e 5 x n p F K o u Y J q c J i V f z 1 3 / + l 3 P t e w Z 4 j F H D 9 5 g g P c U E a v R C R S Y Q 1 V G n 1 z 5 B J E W i 9 + p d W + w y p Q J E N B F M J j V S O J W 8 z Z F 6 A F q + T N l C n 1 D X c v O X o 8 0 N r 3 I B V f o o 0 c o H l G L E 5 z 2 o c G j R e F Q p j B T w r G h s b Z I z 1 L c h k U f t S R N K k M X l C G J x L p T P V P C u Z L K S C l I J E E m I p N Q + r c H 1 e D / 3 d / / w r V a 5 7 C K 5 b Q 3 u P U M C 1 6 0 P c n I x 0 0 m T i B u R J k Q q S i o l g I Z f Z R n e D p A J h 5 J y k 1 D X 4 E T m n 8 w w s y Z x h C G E H I Y a K V Z S k t q o o t V Y o E 7 k 0 e A n 6 O 1 L H l n y J E 7 S 4 B L e H p D j H Y v X u 9 y K Z 1 D m J h S z q W B H H 5 F m J p E i k y M R 5 I A 5 I p U l k i J V S 8 z S h 0 i F C X o + b / v 4 3 / 1 3 u f 6 + B C T W h a m q P A Y 3 h h 2 s D P E p U E s p q p M i U V P b q n y Y O j v G F J g / 0 k R h Z m j 0 4 p 1 K S l k j + G q w / U k g X e y r F 9 2 z A T T l 1 A s + i U / q S J H 3 U H i K P C 8 f p P J V W x + l 0 Z k j Q x I K b n r 3 y q G M h i j o H 9 Y 0 T K f K Y c 4 o 4 T K C U p 7 m V V G m J l J J Q 2 q q H W K l 5 T C w Z M 4 W 5 r I n + 4 R / / J l 1 2 e w x 7 l l A A 9 t D + 8 f o z f k o Q a D 2 h U m M q I Z I h l C I T 8 o Q k q a D y w Q u h D v L U A Q P n V S y Q b J 3 e F t C o d V I z S R 2 b t D 7 J M V I l / j h 1 N U X U s Q R z j T n e G G D R e z D h p Y V V e A f y P x B F z u l Y S J N O p y U T P m t P p k w 1 D + u a x G v c Q i Y j m T z c Y f 3 t P / x V a n n + X o T r 9 h 4 m l M E 3 3 z 7 m J z V E w o 5 J i l A i q Z g s I q F S p F K E U g Q C W V R a j o U 8 a Q K p P C Q 5 r W M D n Y P E 1 g A Z 8 M e A G 7 B E 5 q 8 5 L x k g A N H H H W t y F g e K F O Y a S B o V q 3 w V + l 5 6 6 d W y W p a h Q l o a S a z z D J G M + d y Q S O a a D M G E S J p Q Q i Z I J D 7 W k k n 8 A X m 8 h G O Z Z + L g 8 T C Z / s d f U K B g b 7 + R c l 8 Q C v j m 2 z 5 u b i C M J l J K Y i k i K X I x D Y y U 0 v k g i S I R K M L s S K U Z H I M x E s k 5 + Z 9 K G + i r b a E K X 1 d B q i a 4 c a v I k l Y n Q Q b k Y T P M r k b s i G Q I A h c l N 4 3 P u y k S J y o t i N O r J Z e M l X A y T S Q E k M Y S p 4 w S m j C S x 2 n k I W b S C M E k V s c Y N 8 n 4 C Z J J A i S T U v f W k S k e k T c g / s N v / l r u f 6 / D d X t 4 f x A K + P 3 X j 7 j 5 G U K p e F N J B d J o c q l g I Z c m D N J C F + G L I o 3 K M z D n t g a 3 Y f y V N I B G n Q I a u E r o / y C A S r t 4 H G W 8 I O Q M r t W f V S R R M R L q n C Y M g o V I O F Z k 4 q B J p S S Q O l 5 H J i Y Q 0 l D t l C c 5 J B P I l L b m G X W v I O D f s w Y I O z C h J l X p 7 x P c u P G U l p b D m l B q w 0 w h F k h l I Z S S U C C E l V T M D p 2 n O K X z A O S r T H V o S V s S m 0 B X Q S q y H u s j E E D H k m f O y S H O I c 0 H m e l 1 Q R E l l U 4 R i m M h E Q i j j t M E w n U c y / b I i l A S U m M n E A g x S I S 0 G j P B F a y u v p b + 9 C / z d y n G T r D v C A U 8 u D 9 I U 9 O L R F D 7 N J H E C q g J p S Q W U 2 I D q V T M f / Q x i I I Y 3 5 q O 1 X 8 5 0 F B 5 W c G N 2 E B S 1 m N J c 5 D / 1 l j + q l j S O s 8 S 0 s e a O N Z j T R 4 r k V J p I Y 6 6 R p G I Y 0 0 i Q 6 g 0 m d J q H s g E R 9 c j R w / R 5 z / / C H e 3 r + C 6 s w 8 J B c z P L 9 N 1 l l b M m r S h I k U m R S z E 6 y S V G 6 x Q R E o R C r E Q R v 5 K r C I V K 5 h z c m A L b s s a O g E u p N I 6 p S 9 C w 5 e z 5 h q c T + X p t I 7 X B 0 M a D k I g f Q y y p A h m C G U h U o p c I I 8 m F K Q R j r V q J 0 E m b L 3 0 q z / / Q 6 q t g z v R / o P r z s j + J B S A R v L V V 3 e 5 M X B B i K R S q p 9 V / U u b 1 U E g E z M z r G m G y s s g F Y 5 U h h w D 6 V Q a 6 y s A Z D A p k w Y J U j k c 4 V h d J D G O 5 R q d t g Q 5 x j 8 Q Q v L S s Z A E a Y k t R M I 1 I A 7 y h E A 4 x z E k k i G V J p F I J Z Z O I F t R s I j + 9 u / / Q j w w 9 i e I / j 9 P Q x c l U D u L m A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 G u i d = " 2 a 2 b 4 1 9 c - a 8 d b - 4 5 e 1 - a 4 7 1 - 9 c 3 9 7 8 6 2 f 5 1 e "   R e v = " 1 "   R e v G u i d = " 3 2 8 a d 8 5 3 - 6 f 8 8 - 4 e 5 2 - b 5 2 8 - b d b 2 9 5 3 a 7 1 3 1 " 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2 4 6 D 2 C F 1 - 6 F 4 F - 4 B D 5 - B 1 1 B - E 0 7 C 7 2 8 4 8 4 2 F } "   T o u r I d = " b 4 3 f 8 a 2 1 - b d c 1 - 4 b 5 c - a 8 0 f - 3 7 d 2 b a 0 f 7 f b 3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D 4 n S U R B V H h e 7 X 3 3 c x x J d u Z r D 6 D h P Q H C E / R u Q H J o x p s 1 k k 6 h W N k 4 h U K r k y 5 i F a f 7 I / Q P 3 Q 8 X O p n V 7 M 5 w D I c k 6 E k A J E E 4 g j A E C B A e a N / 3 v p e Z 3 Y V G o d E A w W E 1 o I 9 M Z F Z W d X d V Z n 7 5 X r 5 8 m e X 6 1 2 u 3 k / R f I I + v k D w l x y k a j V M s F q N k M r k u G F j T i U S C O g P 9 5 P F 4 q K K i n I q L i / W Z 9 b j z w k 9 z a 2 5 9 t B F u F 9 G n h 0 L 0 f M 5 L g z N e n b s e H V U x a q 2 M 0 b X h A A X 9 S Z p d d V N D a Y w K V p 9 R Y 2 M D B Q I B u s 2 / U 1 W U o M F Z / g 6 + z / L A K n m 8 h f S a r y 0 p S F A 7 f 0 f A m 5 T P 4 z f j / C h r E R c 9 n f b R f M b 9 H S m f p U J P i H x e D 5 W V l 9 P z 1 3 7 5 3 s b y B N W X J q m 6 O E l e r 5 e 8 P h 9 1 P x 6 h 2 Y U l / c n 9 j f 8 i F K O 0 4 R y t r C S F S P F 4 f B 2 J M m M r 3 m u M U H l B l J a W l q i s r E z n p o G P / P 5 Z g a S 5 / V J 7 d W x T w r Q x W U a Y U D Y / k 8 K R 2 q i Q 4 9 W y R + e Q E O S j 9 r C k Q Z C r A w W p 7 6 g r S T D p 4 l Q V j K u M L R C K u m i I S b M Q c n N Z x K n J M 0 A N j Y 1 M H A / N z c 1 T 2 F c n 5 M P 3 n m 5 U n c 7 o i 3 G q a 2 i l 0 p J C + q r 7 g f 6 m / Q s m 1 J 0 s V b j 3 U V D d R e F w X I g E i W P I l I 1 I Q G 1 x n I 5 W r 9 D M z C w d O F C v c 9 d j O e K m G y N + f b Q 9 g I A f M l H m 1 l w i U Y Z m f T T H Z I o l 1 H k r X H z x 5 Z Y w T S 6 x p C x M y H X D r x V x 6 0 r i d O p A V N L b g Q t f q t H T 0 0 u V l Z U 0 O v q C D j a 3 0 J O l Z n K 7 3 d T V F K P K I i 4 3 8 t K t E R d 9 c a q A v r 7 z l E K R i P 7 k / o P r X 3 / c n 4 T y F V Z S 0 t + a k k p W M h n Y k Q l 5 l a x W d R 2 M 0 K N H P X T q 1 E l 9 J g 1 8 6 s G E n 2 a W N 1 f z i p g k Q V + C Q j E 3 L S 7 M 0 s m m Q i o v 9 t I w S 4 i J x b Q E Q r M + V h c V d S s c S z f y T D S W M c F Z g l 0 d D F A 8 s f 6 6 D p a M B / m 8 z 2 P z P B w 2 / 9 Y 0 s f r 7 n 8 m z d 3 Y e E j J 1 j w Z o K e y m w 2 X T F P R G q a a m l q 9 K k p 9 V z y c v X t G L 6 V n 5 3 H 6 D 6 9 / 2 I a G K 6 8 7 S y i q r S E w k q 4 p n C G R i K 6 x 5 r Z V x a g w u y t j J 7 1 8 v g S A Z r G p d G Y 9 d 0 K A r m I S b N d y 7 d + 9 R V 9 d 7 k v 5 d v 1 I R d x u V w Q T N s + T 6 v D N E 4 / M e m l 7 x i M q a C / D k I M / C 9 C h N T r 6 U T g g S a 8 J 7 V s 5 / 1 h m m 8 N o K j 7 P c V F u 4 S v X 1 d U T e A v r m T o + c 3 0 / Y d 4 Q q r O m i t b W 0 i o c A 5 E o m K z C w P 1 4 f p Z 5 J n 8 5 R g P S B A Q H j l 6 2 A x j k w M E h H j x 6 R 4 9 k V N 9 0 b 3 5 m a a F A S S M r Y q j i Q o E U e D y H Y q Y o A C L 8 a d V M U t 5 p M U J O r h 4 J F Q R y w K h y h B D o d L q M I p y u r K p k n p X S g p l T K 5 M e e K Q o V t M n 3 n G S 1 8 k B p Q q R X h F W + o q I i S n C x X X 2 g J N t + A R P q 7 r 5 4 W j d L E 1 / 5 a Q q F 7 F U 8 u 0 r f q i G c 5 R 6 + m B t v N O 6 i Y j + P X e Y X u Q F G q L q 6 W l + R H W t r a z z Y n 6 O G h g Y 5 v v n c L 5 L g p 0 Q X D C s s P b / W x p N P O 8 L k z V A N Y Z A o K A h Q Y W E h 3 3 O I Q i B X h T L C P J n 2 0 R h L P K i G Z x o i V F u S l D S k N 4 r P x b 3 O d 4 + G u M w 3 Y f Q e g + v f r u 9 9 Q r n c H v K W n u a e c / f I 1 F Y V E 1 O 2 F S s r K 9 y Y 3 N w 7 F + q c 7 F h d X a O J i Q k 6 d K h D 5 y i J 9 W P v D E U K W 3 X O T 4 t C 9 x p V x f p T E t N g f H y c G h s b J Q 1 y P H v 2 T K 4 x Y y x M D c y H P F Q T u s t k K 6 W m p o N i V p + f n 6 e E y 0 d P J v i Z Y r l Z G / M Z e 5 5 Q b o + f P C U n W H 2 J p l S 8 b G T a i k g Y 2 H / Q F i G v e + N 1 k D b 4 P M Y X u Q I m 9 5 H h 5 3 T y 1 A k h e 1 / f E 2 p p a a a y s l J 9 B d 8 T B z E C h O x H Y V A 7 r e r l D 0 M B C m U x Y G S D Z / U F t Z a v U l t r i x y v s h Q d H x u X N A w S 0 0 s e l k J x l v Q h L t M w l Z e X y z k D Q z D E s 7 O v q a a m m h Y X l z g s 0 o u l G E X 2 u K R y / f s e J 5 S n 7 D 2 W T F F p r I Z I J m T C L s 8 K m L E L e G y S i a W l Z R o e H i a f z 0 d t 7 W 1 U E A j o M 7 n h 5 c u X M j G 7 s L B I r b o h Z w K 3 B k s f J n 8 z b x O G B o z n M v H 6 9 R w 9 f Z m k k L + B x 0 E 6 c w s c q X h N 0 6 N P x L D w 8 u U U V V R U U B W P n a z z b F B x 0 b H A 8 n f 4 c G e K R F Y g D w E S F + o f g P K 9 0 T + e G r f u R T C h 7 m V v R X k K t z d A r u A x I V O m Z N o J m T 7 p C H E j 0 g c W P H n y l M d A B 6 i 0 N C 1 R t g u o i s P D I z K f V V V V p X O z Y 3 r Z Q 0 + n m V y c / l h P 7 G Z i Y W G B o t H o u j E d P C I w O Y t 5 t O Y K b u w 8 Z O v n 7 x l f 9 F I 0 E q H C u R u 0 u r J I v / j 5 l / T 8 + S i F W E I t L a 9 Q X V 2 N q H w w O l g B g w p U 1 m y k Q k C H N j L y X F T B + y P T F B Y r y N 6 D 6 9 9 v 7 E 1 C e c v O r l P z T K + 4 E z J d a g m L 8 S E T k 5 O T / N e 1 6 c R u r l h d X a U X L 8 b o y J H D O m d 3 A H U S z 7 Y d s n d 3 3 6 Z I O E Q f f P i B l B m e 8 e D B g 3 I O R h S Q 4 t i x o 3 J s A E k Y L A 7 a S m Z D K K i H + O z J k y f E s H F r c F K s h 3 s N P 6 1 J 6 S e C r / y s G C A M k Q x h M o m D 4 6 3 I B F j J h J 4 W Y 6 U x H l f U 1 9 e / M Z k A m J g x x t h t l J S U U F / v Y 3 2 U H f e 1 q f 7 8 + S 4 x d 0 N V g y o 7 N j Y h R A J g 5 Q O Z p q a m p R M w q K y s U O Z 1 r V Z b Y c o Y K i 0 k J a 6 B x f D 0 w Q p 9 x d 7 C n i N U o B K S a a M 1 z 6 6 i c 8 H 5 J j X 5 O T M z I + o d G h c m c w 8 e b J S e d 7 c Q Z d X 0 b a C q u j K n Z z 3 T G B H H W 6 h 0 t e 3 n 6 f H j J / y 8 j + n i x Q t C J C v q 6 m q Z F A X S q R j g m u f P n 0 v a r q w R Q D x D O o z J L h 5 q y O q l k Y 9 w / c e N + 7 m 1 r D x A o P I 4 r Y l j p 5 J O p i I R r M g 8 t o O X u 5 q P 2 k M y x s A 4 o b 2 9 b c P 4 Y b c Q 5 f v t 6 + m l M 2 f P 6 J z d w + j o K B O g T i T E V k C x P O b x V Z F P T U z n A p j T Q Q 6 U K V S 6 1 / F q O s j j J E w p Z H Y 4 O M a Y D v e C s s R n 5 p Z W q W f 0 l b 4 i / 7 F n J F R F 0 x k K h T 3 b k k y Z A g b k A e B p g O U U l I z T 9 P Q r U e v e F p m A c C h E B R l S Y L e A x m 5 V z 7 I B 5 X G I i T A w 4 x U X q G y + g w Y w V E B l h S U P c X t 9 g f g j K q / 3 j W X v 9 v h o d n Y 2 V U e J S I i O H d i 5 Q c d p c I v M z f M Q K K n i c Y 1 a f r G O T H z a i o 0 V z A X A n 0 e P D M C 0 f L Z q g t 5 v D s n 3 o E c d f f G C n v U P S M / 6 t v D q 1 a x Y C t 8 G I A 2 2 c + 9 + b 5 J a K p R 0 + j 7 H + S x 0 N i B T R 0 c 7 1 V Y U U X F y S l y d f m A V M r P M 0 W n N J 2 p E m q F 8 / X 4 f l Q S L q L K k w L Z u 8 y 3 s C Q k V c x 9 M k c k Q S p B R m X b A A H w 1 6 h J i f X k 4 R N V V l f I d 8 E f D e K m q s p K O H D 1 M D x 8 + k p 7 1 b a C p q Z H H L E 8 3 N L 7 d A L w V j F E h V 3 T W x F K d D C a J t 4 N A w E + X j p S J l M f 6 q h G 9 j M Q A z w g v k / L y M j H E g I g g Z H v N x v V k + Q i Z D 8 z n U F B 1 R l b Z G j I Z b J R G m z d W e B l g c h T A e G l h f k E a o U z U t r X K g P v 0 6 V M y p 3 X z 5 i 3 x E t h N o N G j d + / u v k W 9 P J b C 7 + w W o I r 1 P x 3 Q R 7 n j S l t 6 b m s n H v A X W 8 K y p A T q 4 1 d P A 9 J x G a A u Y M p f Y V V U P C h e j D G p X N R W 6 r W t 4 3 w K L K H s s v M j B K v a u e E n U t I J Q G V t h 0 z o U e C 6 A 8 D v D M Y H e F X D Q 8 A s z c D n H z x 4 J M v c z 5 w 5 J d Y + L G P I 9 r 3 b B b w R L l 5 8 n x o P N l J f X 6 9 4 T W D u x g D P i A n g 7 a q e U K s S y Z 3 N 9 7 z f n P 7 9 J 1 P 2 K 4 2 z A e u 4 U L 6 o r d / 3 B 2 h o 1 i N L R 5 b D L i m 7 2 p o a W l 5 e l k 4 L U g p l 0 F q F b Q T S d Z x v I a / H U K u R E m l o q J x U 4 F N W b N X o D Z m A 4 a E R W + M D v q O + X p m K E c 6 c O S 2 6 / 8 2 b 3 d L I d w N 4 j s H B I f H s P n b s m P T Y I C 3 W S l 3 9 5 j u 6 f f u O O N M O D Q 3 L d Z g c z R V B H q P g + 3 M B v C / W W F U D S g u S s p g S G F v w q j G R H O W O y 6 1 h O t m g y h j r x G B F 7 B 5 U U x E o V 3 j a z 7 N G g H I H + Z O R V d u 6 z p e Q t 2 O o Q O V p 7 q 3 X G y E E F g J t R S b 0 w P U l y g U G 6 g c 2 O 7 E D L I f W 5 Q e o e L g I d X V 1 y b J w u A 3 l 2 m A z g e 8 d H 5 8 Q v z i 4 5 a C 3 h i E B k 7 L w 6 3 v v v b N 0 + c p F H s y 7 x d E U 3 h R w n s V 4 7 v b t u y L J t n r O Q x 0 d o s J C 4 u E + T Z l Z g a M Q P 0 K Q x z 6 G U E B 0 8 p Z O q T 0 n v h 3 Y n v p X y G O x 8 O I 0 x a K q A 8 D v n m n C 3 h f p s R k 6 C Z Q p S P X 6 9 T y d z G O r n + u 3 3 Q + y 1 4 Y D 4 Q 9 W U y h R L + q P l V D W R p L Z Y D J R X p h I T d p i L g U 6 P R q x H a C W x J h U 5 T Y b s Q B w 8 Y E k Q e P P 1 c 0 H 9 w d S P H s 2 y O O z k y x F s K j P H i D B r V t 3 Z J L V K k H x 7 C A U G m R D Q z 3 V 1 t a m H F G t e P 3 6 N S 0 v L V M R S y q M z z A G h G R F 7 H Z j 3 V J C J p Z X 4 3 6 q r 2 A p X F i Q G k N C z S 0 K F t M P I 0 X k 9 S k y w Q o I w 8 V 2 M M N E G V 6 u p o W Q l z 5 q W 6 P u 3 p c U C b a L f 2 R H w T A d b D w g Z Y I 6 R U c 5 s b B G s y v 2 P o p O h u s / u x / m H a F c J a f E T y 9 z z s m K r Q g F i 5 7 B / X s P 6 O x 7 m 0 + q T k 9 P C 9 k y P Q a s Q K O H Q Q P j g B o e G 2 Q D 5 o U e P u y h z s 4 O W e q B 3 n k r 9 P U 9 F u + M z Q g L U k P K 1 R + o p 5 r q 6 n V L 8 + E q B W B c u B V M u Y F w U G 9 V A 4 + K i n l 3 p o 5 J F i C / J 0 k f d 2 y / s Y 8 8 f 0 6 t L c q b H h u / z B W d o 0 h c P T u K A O O t k 7 W r l A z N S F n 3 v V y W c / m E v F P 5 A u U d X M G b E w n Y i k x f M J n w e f T C s D J V V m d f v w Q J l b l 3 R C Z g q Y M q B v V v 5 t X M p i o g / O B G n 4 / S h Q v n R G 3 M h U w A 1 L 8 7 d + 7 q o 4 0 A 4 c + d 6 6 K K 8 n I Z Y 4 F c k E D w O I f b l N X A k Q 2 4 H w T s M Y h n Q s M G i e F u d P y A k n 4 g A d S / 7 Q J k g n o 7 M D A g 3 i E g 5 Q c p a 6 J L 5 g H v T w S o s L h M J G l r 5 d u Z 7 H 6 b c P 3 n r f y S U M m i k 1 L Y x i f M j l T Z C J W c f 0 q F k X G Z B 8 G Y C Q 0 G P X E 2 P H s 2 I G Z t O 4 N F J k B U k P T B / U d 0 6 v Q J k U B K N V t g I r 2 g p u a D 2 1 q A a A C p h g V 7 G G f l A s y j T U x O 0 r 0 7 9 + k X v / y Z P G M u 9 5 8 N G F v B 3 8 9 g s 3 V Y u Q B S D 8 S F W r k Y d l H 3 c / W 9 U D 9 d i S j V J 3 q p i S X y k 1 e 5 e X k 4 B X k l o Q K V p 7 j n f z O n 1 x W q o A 8 / v C L L C K A C b U U m A D 1 9 r p I E j R a r W N s 7 2 k R K f P f t 9 / T 0 a T + f c d G J k 8 d 3 R C Y A U j L X p f U A J C o k Q l u 7 m k d 7 U z I B M D B Y g X 0 o s J / E T g A i v X j x Q t K l g W R q I l k k V d J N 4 W C n p D s r t z 8 H 9 i 7 B p Y y G 4 v z g c v u 4 Y S s J s B l p t i I T U F G F / e O 2 h 3 B o + + M F S B L M K 3 l Y b c L e C x j c Q 4 X a K f B s O y F F g I k F a b 5 b y D R G Y J M W 6 6 T t d o C d l E y d W b / C x c 8 5 v e S l y U U s o E y K h T O z P T g 1 i M T O h x C o O L r O 5 J s L e e x w w j L v l A v w O 5 g Y z V V C W S F G E w 4 7 + a w d d v L M P r 9 P 1 K v d A i x 8 h 5 l U W I R o 8 K N F D c w F K B d Y O G d Y h Q X w W M Y R V 4 o K j 8 m J M S Z U g q V V S 4 n H t k 0 4 M e T N x O 7 a G j f s D O m 0 W T o b 8 H X b A c i w U 0 K E W L I d b F I 7 B b 0 p d k I m o K C g c F c J B V Q H F i k 6 2 a 2 P M H / l o p d L m 0 t P E A j q 3 a O H P X T j R j d d / e Z b k d a X L 1 / U V 6 D T 0 k n U E P 5 z m Y d j H g 5 u d Q 5 V k A f h z R X r n w D + s i N b j p 1 y R X n R 9 t Q f / G a m q g a H z 9 U I 3 G e 4 s S R 4 X M a D a j u E u R f P d V 4 q G 7 C J C 7 y z 7 V 5 I s B W w O n Y 3 C Y V 7 g Z H m 5 x + f 1 j k K P Z N + e r X s F i s e p h k w 9 7 W 6 u i L 1 h G O U A 3 Z 2 w l z a h x 9 9 s G 5 c J 3 x x p e s T W 7 G h d Y J U d 8 f 9 s h y k s c i + j J 2 G v C B U J M Z 6 + h u O n Q A s G n S x + g Y j Q 6 6 f w X W Y a A R A n h c 8 C M f i O + w O C 8 G F 5 Q j L T K 5 M 4 H 6 H h 5 k E G d t s b R d w P 4 K k k / G Y z a T t Z s B 9 Q 6 3 a b Z 9 D r A 8 7 d v w Y F R Y U 0 P G 6 9 U T F f u 6 x e C w 1 Z 7 e 2 G p J t 0 S Y m J o V Q R t r D E w S m f Q N 0 U F x c A t y r u Y 7 / 8 H 8 3 T f J 4 y i 2 0 c z 5 c X 9 3 u c f S d u v 1 l F K Y D M n 4 y p n L A 2 k h y b T C e q e / F m l R V X S V W M 3 i Q W w f 6 2 D 9 u b W 1 V T M 4 r K x y b 7 Y e 9 H t k / A r 9 i p Q 5 I g / k d 3 N e r J a I i 9 4 r M M 8 F 7 A e 0 B + y / k u o u R H X C P v b 2 P Z Z + H 7 Z A J W F 5 e o Z 5 H v X T 6 z E l u w A X 8 + d 3 p O 7 / + / V X 6 9 L O P U + W W 6 Y l e 6 X 5 F 7 3 U U 8 / O n S w r z f S C Y F a j P C E v O 6 V A J D b x S G g A + Y + p S 7 V E R p X g s y t d G 6 W z 9 C i 1 z j 7 a m J 4 K d C t f v 7 j i b U K 5 i 7 J K z u V d E J p k C X D d h m z l V z G 9 8 0 p a e o M V k J 9 L o c Q H M E 8 G E j v k m A / S O a B c w 8 a K y M V Y w + / K 9 e v W K B g e G Z J + E p 0 + f U d f 5 C 1 R Z U S L X o r H t x C J n B Z 7 1 + o 3 b d K 7 r d E 6 m / U z A m f b o 0 a N U X L y 5 S 9 N 2 g b L + 8 d p 1 u v L B F f G k g N P t Q s h D 9 8 b 8 8 m 4 q A L 6 R 2 O d 8 K 0 D a / 8 u d J S o u s / E q 4 d + B I S j B 0 g 5 k i k N l T Y b p f M M q T U Z 2 b i n 9 K b A 7 3 d Z b R D S a N k Z k k s c O d m Q C T j f E 1 3 k 7 Y D x y 7 9 4 D U T / g B Y C 3 X 5 w 4 c V w a r w l Y L I f P R O J u m u b x A c i E C d Z H D x / x P S X p 4 q X 3 6 f C R w 1 R b X 0 s V 5 c X S C 2 O 8 Z c i E s Q v U L j j Q Y u w B q b c Z M p 8 P z w x V b y f E h K T F R v 9 v S u p M o F P B M 4 2 P j 8 n G n r d u 3 a a J k V 4 6 W z 1 J D a W K R C + X c p O k K 1 G X L Z m U q o f / k E T 4 i w N 4 U e S H 0 u f 5 2 9 / 8 r 3 / W a c e h o O o Y S 6 f N t w L L J B j U u W j G u 5 E A 7 H J q z O X 4 L l Q a V C g 0 O O w X A S J I R W Y A 3 / 5 y 0 U M l g Q R 5 E 2 s y y I Z E 6 z z c K e M E 8 x k 4 z d 6 / / 0 C W s V s b M d Q 1 u P B g W 2 V 4 l W M d V U l J s Z A S 3 h R Q e / A I 8 L V 7 8 P C h f H c k E h Z 1 D W M P 7 E I L y x g V 1 g i 5 7 T b a t A O + d 5 p V T 6 z t 2 m 1 g M W B r a y u V V 5 R T e 1 u b q L Q Y k 0 4 O P a S a 2 l p a i v j E 8 T h z E t g A 5 X l z N E D j 8 9 k k D Z c r F w x 3 p Z T k + k K d 4 c 0 g 2 O O j M h C j U H J n k 8 k / B b j 2 0 S i c G d b W 3 O v I t B W w l N 0 O 2 K Q U 2 2 J 9 / / 0 1 + u b r q 2 K l A n w + r 4 x T 7 D C z 4 u Y B t o s O l M b 5 T h J 0 8 0 a 3 O L 9 i w j Z z P A P S w D s C D p 9 Q J T F m g A q 5 s r J M 1 T x e g y c 5 l l 5 g c S L I B N K B x G j 4 v b 1 9 / A 1 J e v / 9 C 3 T q 1 A l p o F D T L l w 4 T 8 0 H G 2 g p l K S R x 7 e Y J b m 7 4 G C h J F 5 8 h u / f T e D 7 4 I O H T q F E v 0 8 Y z w L v D 9 z v w k g 3 H a 0 J 0 V 1 W A T O B V + p g v N X z 0 i e d S C 6 Q 2 u R O S 0 k r o t E 5 H / k I V t p 0 G 3 F a 4 D F U b 4 6 P 9 9 P C 5 f F T 1 N s h B g K Q S n o p R j Y J t R m i 4 V U q n v + R D n d 2 y t I E j M f Q o P G d D + 4 / 5 D H B Z b H k L S 8 v c c 9 b I S Z x v I b T A C T A m K l F e 0 r b A f e C 6 0 B a e E V g o e C X X 3 7 + R t 4 R A M z P V 6 9 + R 5 9 8 8 t G 2 D B z Y P g w k f x O z P S S n 1 + s T A u H 5 M I f U 2 t r M U t 1 + Q x m U 6 9 2 7 9 2 m h 6 C x 9 c U J N x j 4 Y 9 9 M r 7 p y 2 C y W Z 8 A J x Z Z h Q x o k I n W 9 c p v l E g G m 1 u + r s b s H z 6 3 / 8 p 3 + G 5 u K 0 4 C 8 / w q p E 2 h A B 7 I R M Q C K 6 T H X B q I x j Q F C M a + b n 5 0 S S 4 C 3 m M O t i n m d s b I y C 1 e 1 U U Z T + 7 q G h I X k 7 B t y H s o 1 J M E j H x o 8 Y k + F a O M d i n Z O d K p k r 8 I x Q / 6 B 7 g q C b L Y C 0 h 0 t 8 C N U a q e 0 3 P p Q V 1 E 6 o c 9 j X D + O / e D w m X u 9 w k u 1 / h f 3 R t a 1 b Q 5 V P k s I z / d S 7 2 E w j c 4 F N t Y a t I P X L w a h 8 S R 6 z I p 5 b S V L Q F S Z X A I a i j e 3 m X Q f P r 3 / z T 4 4 c Q 0 V d N S I 1 j G R 6 E 4 Q j U f I W H 6 B T h x u 4 X 8 N W w A V 0 + P B h U V U w 8 Q k 1 D k s v o P + X e E O p x X 6 o 1 K G h E T q n z d b o g d F r Q x K B l D C R Q 8 2 D F J m a 4 r F V 5 y F q b m 6 S a 5 d Z 3 U N j f h M J B a K j E W O N E 8 z I u U o o q J t Q T 5 9 z J 9 H W 1 r L O G J M r 8 A y Q T P g u S C R 0 P n D O h W T H W K 6 i E D 5 2 + m I L H v U 8 p r Y T l + j 5 1 C q r n b l Z J 5 s q 4 q I S W g G r b J p Q M N g o i R W J J q i 9 M k R h 9 / b c n X 4 q 8 F M w r R w Y 4 v G 0 1 W s 7 0 s g O R c F S W o n 5 q f v O I 2 6 U l d L o A U g P W P v M m M g d X Z D f Q u P B h C j G I l h f Z C Q T p B C s X D i G U Q L f h f m p x o Y G + U 5 s i Q X g e + H Z k U 2 i b Q W Q F h I P 3 w k i T + j 7 2 Q q 4 v 3 u s d s F k / g d / + A s h P D 6 P g L V a 1 3 7 4 0 X b c a N Z O 4 T q U A f Y 0 x x Q A O h d 0 H n f v 3 O P n S Y 8 d 7 V 6 A D Q T 8 X h r p u 0 H N / l G d k 0 b Q n 6 A A f w 6 v I c V q a b P 0 4 8 W c n Z H B J U a h 9 V B t I y J + f 8 4 M j p R Q 3 q J 6 L j T l J W 1 H q p 0 S z B 2 o o M 4 D 6 n 2 4 + A 6 z x 4 K R I h h v P H r U y + O l G U 6 X i O Q Z e z F O p W U l Y p W D t A R Z s O k 9 p B w a O 4 6 j r N + P j I y m 1 i r B W l d U V C A G i Z 0 C 7 j o w Z I A Q l R W V 1 N B 4 Q I g P l d I O e B 7 c H / b 3 6 + h o k / V e k E y 4 3 j w n P B f a D 7 W L I Q T f h f F J D 6 d f 8 f 0 O D g 4 L e b C S 2 O N x s V S P y P O g 0 0 D n A k N J L i o n O h j M T 1 V V l M r b O F Z 4 P H q x N c I S L U F H 6 2 L U g h d + l 7 G W 4 E u K 1 0 k 8 i Y Z o A 3 4 e P J N R 9 Z S E g u o X p 9 V w g g o 8 M X I z 4 Z 0 G z 9 8 5 c Q x V 2 M S N Q I 2 f d h N J t 0 + 8 m i s K I n T 7 1 h 0 h L P z t j I 8 c e m l M 1 O I l Y i A U i I O G D K s g 1 C 3 s z o P P W N / a B z U E 5 n B M A s M Y g T H a Y x 5 7 w G 9 t p + M n S E K 4 5 j Q 1 N Y m 3 B j o / / L 6 R g F Z g 6 f v 4 + K S M l 2 C I a G l p k v s 2 v 4 0 5 K Z A H 0 u 4 A P w u s c 3 h G n E Y n 8 f h J P 1 1 8 / z y r p z V C Y G y 6 i Y b c w G o e J C y + B 9 + U 4 L x c f A l x P d T C p 0 + f 0 t G 2 a n l j P l R E b P 6 S i d F 5 L 8 U 3 T H O A S B w h W w i l i c S E k g B C R R J U F Q i R R 6 Y 7 d J t x S N i 5 T v I W I R P j U q q 7 j 7 F 5 N 9 1 m 9 a W L x 0 W Y p 4 H B w R A X v b n 1 j R I A 8 j D p i / E W G h 3 U I M D M d 4 F A z c 3 N d I h 7 f k y m o j e H u 8 9 O 1 T 1 I E + w f A b c l S M F j x 4 9 K Q 8 a W Z Z k v f k Y Z Q T X 0 s 5 r V 1 X W W r l y 5 L O M 2 K 5 F x v 0 9 Y a g G l r K Y C I C Y W V 8 J q + W d / + i c i m f A b + B z I h 3 N G D U Y H A s u o j G m 2 A X R K 2 G 0 3 2 9 J 7 + 9 W + y O S 6 V / 9 B L 8 k 1 g E D D 4 x X 6 d r e z 3 S 0 4 c g x l x k / W Y G B N 7 x T 1 H e f J x 2 o e G t D M z G v 6 l 3 / 5 V x l X K P P 4 j L 5 q I 9 D I T E P z u Z P 0 4 0 i A X o X V / g c e D z w k X L T M E s O Q b i f A P c C S h j E a g H u E R A G Z l 5 Y W x d o H y f J y a k q 2 E Y O q C R K B + H Y k h t q J D W j m 5 x d p a H h Y V L / t 4 N G j H l l 1 n P k u 3 a 0 A K Y V O Y W L i J T 1 4 8 E C k f y a y 7 Z u u i G T q W s V S 9 R y w n A M r h Z O i L j o r O F J C 7 Q Z p N o P 0 3 q z 6 A W h c V V U V M s e D n h T v l E 2 v 0 d k I e D 6 Y J e y o 1 L b K G M 0 s w 3 s a i / j U l m S Y + J T f 2 A Y g B S A l c T 8 w V R s y W Q G p g t + H 8 y 7 m x P x e n 5 j l 3 2 d 1 b S s r H i T Q h x 9 e p i B / x + s 5 9 W L t X A H n Y N w P H G y 3 C 9 w X r I w w k M B V C R L L a A A o v 8 1 v g 8 s P J z c 7 z / m Y e B c f P 4 f B c Q s M / R V H t c 6 8 a W m / M b C + 5 v W q i x t o L 1 3 g B u n z + W X S E l Y 0 u 3 E K A N U O 4 y r T e M G Z 0 o I E e d 1 Q P V x C R q h o U M u 2 o + 7 B 8 P H V f / 5 O J m 8 x 9 4 P 3 1 e J 7 r I C p H t 9 / 6 d L 7 s t N q R 0 e H N H R I p V z J i + s w t l p Z X q H r 1 2 / m L K m a e R z 3 H q u 8 I M R 2 p Z s B 7 h O 7 4 c J l 6 4 U m F I w V u c K u J U B L n 5 x 2 3 i 6 z j l s C z + 3 2 r Z I J g G d 0 9 4 i b C q o 7 R T W B V e r T T z + m 4 u K S T X 8 b p n T r B i u 4 V 4 y j S g s 9 M v l b W V 1 H s w t r l P A E a W L R T 0 N M W r w g e j O g 0 5 i c n B T f u M + / + E z I 4 v c H x D B g B V Q l O P G e O n U y p W 7 u F P g 8 d q a F + m j 2 6 s s F h T y G w l v h Q U R I 0 5 1 i Y m y C L v N z A o M z W 6 v F U P u k P l A l U i 3 r 6 y Y S C m 9 o P + 8 6 O E 7 l Q 3 2 h E E 1 4 W 4 B L z Y u V S u r X a 3 E g m a p r q m S H V r v f R W O E u m V F O U u o y h L + f M 0 5 u j t V T n 3 z 9 b R W f p 6 e z W J j f C / d f u G n v i n 7 h g N L H v Y q B 1 E g 9 f D 7 a O i Z 0 g 3 E g 2 N s p t R 6 E 2 C M h r E X v O B z B Q w V W N o C S b 0 T w E S P F y E Y Q G X L h v X 8 E W r p t A K O l k J o w s 4 C P 1 U m x 9 5 t g C j f j E h v g 2 C j c 1 6 a 5 c q F S l T H g 3 t 4 A x i r n w F + N l B Q y B J l K n U P M y s e + n Y w Q I 8 m f R T x V F K w u M x W 1 Z t Y 8 M h 4 I R O Q P L C 6 b a U e Q s 0 q L d 3 c X I 3 7 w Z h q a m p K J m a t g D T B E h A Y X G Z n Z m X L 5 h 9 + + J G + Z f V y c X G B 7 t 9 / a G s s 2 A z w m v / + u 2 s i r b c L G C f g l Z I z p J w 5 m D r X S T y v 5 O i 0 X R t 6 l 8 H z d / / 4 v x 0 1 s R t z V 0 l D k I L T 4 W 0 D a 3 j g n 1 Y e i N I 0 j 1 W K K h r p z p h f / N U g a Y Z f e 2 l g K k m L y U r y + g p l n w N 8 J p F E I W 4 N W L O w / B 5 z Y A s h t 5 D x Q e 8 A H e 0 4 s K V r E s 5 j H g w T t X Z S C m Z 6 z E V B g k B 9 f D 4 6 y n q 8 q l x Y A u G C h J 1 s S 3 j 8 h z E g 5 r Z a 2 1 r E 1 Q r L T R 4 + e C T j M V g X Y d H D 2 j A 7 k s O L / p t v v q P X c 6 9 l + T s M F f D W z w a Q F R 3 C I B O 5 w 7 K U 5 D F L 7 a V w 9 o 4 E C w x l U l c m d N E e d M y d H d y w M B + V 5 L i 2 t k g / r z P g + u b B k 7 f f Y n O E t 6 C C l i P V o l Y Y w 4 S V U G + b X P j + m R d 9 V N N 8 Q u e 8 X W C d V d f B y J b r n K A e Y v I Y 8 2 G Q p G i k K B 9 0 P P D s O H f u v d T 4 a p m v j Y j F E k v x F 8 Q K m G 3 s B U M M v h / f B 3 c p j C l B K v U b K H + 1 B w d M 9 M Y C e m f U T d 6 5 + 2 I g g c u V I a B x j c L v 4 b P Y O s D 4 R V q x 1 Q v c Q B r 4 M I J A c b 4 P p B F i 0 S i T C X u t R y i O E A t T R 2 s Z d z b O 2 b L Z d d V B h H L 5 K 2 g l W i X + a O + C U O 8 C M L 1 3 V G e 3 n q E s 4 D m B h o s G 2 t f b J 8 t M 0 D E v L S 3 T B x 9 c z k q a X I H f w b g K c 3 F q w t g n U r G s t J T c + v s x / s L 8 2 5 X W s M y J w Y 0 J 4 7 / K q g p 5 g w f m 4 G D 6 / 8 U v v r S 9 J 7 z R M P M 1 o V a o O t e E 4 g 5 D y A R y g 1 B m G Y e Q K S J x Q 1 0 R N T Y 4 5 / U 3 T K i n z m m l v k o m V H m q B 9 4 P h M I z / e x I 2 p v A P G O m O R z l Y Z a Z d L F E K m J J s s i q 3 t M n / e I l s R u E A v D 7 G G N 9 8 u n H 6 + 4 B d Y K X F W D 3 p d e r 7 t S L 2 H B f 6 A D x d g 6 M s T D p D I k H 6 Z U J j C W x f X M 2 i E o H 9 Y 7 J p C Q U S K S l l C Z U l M k E C Q V C 1 V U X U E v z z r a 3 f h v I r s j + x K g p t Z 8 D 2 s u Y m x q W T S A R 4 I 8 H b 3 A 0 X B g Q Q B 4 E 7 H W H B o v l F F C / M I a B u o f F k c e O H d k 1 M q X A P I K E s g J j O U g i T I C D T B h f A p C a m G f C G A 8 E x F Q A 1 k / Z 4 f u h L c j E Z M Y / T q i 0 B D 5 U Z y W W t M p g Y L 3 Y 9 r f J f p t w 1 M R u 1 F W U K s j 9 g p a D 9 e J H B 0 9 3 G B W w 8 Q s 2 i 4 G x A U Y E 9 P o Y / M O 4 c O f O P R k v o e F C M s B 3 0 G 6 M 8 q a o O 9 B I s 8 t E i 2 E 3 P Z n y p e b T M B c F q Q g c r r H 3 U k D V Z R I c k g k W U W x F k B 2 a R J a 0 s E f a B C J 9 P h V A f C a U T V t 6 V 8 F R E i p D y 9 n z g E r T U r J I M z O z s v 4 I m + J D E s A w 0 H G o X V x 1 s E l L I U s G 7 C H 4 2 W e f i D U P g O G m s u L N N t H M B B o p z N u z S w k 6 W F N I p Y E E B X w J 6 p n 0 s Z q l l o Z g P J U N m a o q A D U v m s t + e s K f N G G s a X O s L 9 J 5 U A 9 x 7 B y 4 1 R Y Y z v j n o d 3 d V M T p w C K 9 U C Q p J I G 1 7 N L l i 6 k G W c 9 q 0 8 c f f 0 Q t r c 3 i L o T s D Y 1 1 l 3 s g j H 8 W F u b p S l d n y n K H V 8 2 c a Y z Q 1 Z 4 F c X b d y m 8 Q J m x p / B r f 5 P p O X v 0 Z x Z n 0 + F l C i k D p w H / A K 0 l b 2 9 C 7 / u c o C R W K Z p / X 2 G u I J 7 3 U 2 l j B h C q X 8 R E k k x U Y 3 E O P g B k 7 E 5 i s t b p C 7 Q a w d g q v H Y X X v M H Q a y / d e R G g l V c j M k 7 a C l b S Y 6 4 u Y 8 X J p h A e 6 R S 4 o v 9 I L A R C v p z T w X L s J D h q D O X 3 7 M y t J V + R f s m Y P f C e J L w + E w s b r U A j w r 5 7 l Z X l G 6 X W G w D z V t a J 5 t / 1 B 2 h + 1 c X q G g / + Q z G 6 / 1 J t H Z Y N e B 8 W g B c H Q F X M B Y Y w n M D f N G E Q 4 5 w l N k H O a U u w X V t 6 V 8 F R E q q 9 y l G 3 8 9 Z x o T m 7 h a o 4 G J Q 3 y 1 t 9 C G G M w J x U g T j 1 b t 3 A c w U a J v Z k h 3 X v + f N R u v / g E U 0 + u 0 X j v V d p r O d r 8 s f m q L 1 o Q j X g L I B K C E n 3 c D L 3 j W G E H D p A 3 e M / H O k 8 I V a G C m g C / 1 P X O w f c g m 1 o 9 o 5 C Y W 4 d 2 p 7 B 4 2 n 7 R o d 5 H c z 7 2 G H 6 1 S u Z P M U y j w R X 3 9 a W s 9 w A f 0 B I J x h I s K T k 0 K F D V N V y h u q O f E C N x z 6 h S x 9 9 I Z L y 3 r 1 7 t J r F l w / q 6 a 3 7 / d z g d U Z O M C S x I Y 6 W Q u q c C T p f k 8 6 u L b 2 r 4 K j l G / h z u s F 5 i 8 b e F q a X 9 M v E N N B g s c P Q b / / j K 3 r w 4 C F L i u f i k G v W a G E u q q + n T z Z L g a q 3 F n P T + M K b j z s h 9 f C m D p j r s S n L / N w 8 u X x F M r + E t W I V J R 5 q q P S I t 3 l n Z y c 9 v P 9 Q 1 m 7 Z L e U Y m i u i a N U F f Z Q 7 h C Q m B m m E Z I h V H v / R 5 3 S + 5 T i z H b 3 L 4 C w d i w u n t j h O X f W 5 r 9 X J d 1 w f C U i j A W Z n Z 6 S R X r r 8 P r W 3 t 8 v 8 F H p 8 s z k K z O x F w a L U O A f L 8 J s r 3 t w y y s U u E 8 Y / / H B N 3 i e M f S y w K x H e 8 o 4 d i i 4 0 h c W 5 F 4 B T 7 P s X L 4 g V 8 M 7 t u + u W c z y e 9 s l O R j 7 / D v f M s x C F H 1 a n W a X T e R u D O u c k O M o o M b + q X r V f V u R j S b U / D B T w c r 8 + z K T i d g G r H e Z 6 s H 8 D L H + I s S e E M T y g E V m X x 2 N D f o t B b s f A z r K d x 0 7 I I s e y 8 j L q 7 x 8 g D 3 8 v v r r T Z g I X Z M I + F n j T v d W j A i 8 C y A 3 r S W H S y h m X A 2 J 9 D f + R u S Z I U a X m 4 f p 0 C A a Z v L h R h w R H S a i p e T U L j w a U u c 3 v X g a 2 K / 7 6 c Y x 6 W J 3 D T k x m D s g K S J D 7 9 9 Q b P t 4 G x l d K e O w W E + / 1 s 2 f T r / s 0 k s k O U E V v 3 r g l 8 1 c h f o Z c T e R K J O M P S I M I s Z F E I A r H 0 I U t R F L n d B D i q e t K S p 3 j a Q 4 4 a m L X x 5 U H M h n P 5 s 5 q Z / l p v U 3 E 3 Y U U q 7 7 E 4 6 N G W Z 4 O j 2 / M Q 2 F T E x g J 4 H Z 0 4 u T x l K f E b q O 2 x C V L 7 Q 8 f P i R u U L k A h P r 0 8 0 9 k H 8 L v H m P O b H s w E i g d a z L p W N Z E 6 f M q b Q k g F R O t t K T Q 0 o L e / T 9 H S a g o d 3 H o s I y K 0 1 K Z p A b W 4 f c D s M 1 x 3 B O k f 7 s 1 Q 7 0 9 v b J p J X Z x R a O 5 1 X 2 H T p w 4 9 t b I B I z N E 5 W 3 n J O N X L a D g N 9 P 5 9 8 / T 9 5 A 7 i Z 8 1 L F A e K Q I Y y x 2 R j K l S K P T K k + l r e T C j l N O g q P G U L P L r I 9 z o W H w D V K t s X 7 e E N x + z 5 f P S P j K u C x c d P K k G t M c b D p I P / / F l z K e e p v 4 6 G g h D Y 9 O 6 a P t Y W A m Q A l X 7 v N O A F c z F L 4 U M a x B l m + Y Y x k z p V U / G W d p 6 Y R Q W F S w o R 2 9 y + D 6 v n c g 1 W G 8 a 0 A w v d e k B u H Y I h m b R 6 L g M W M P o G D 3 O s K h N S p e v k e e u J r r M d J a n p 2 T i L C x S y 5 u Q N v B c i h B X 3 W P 0 q 8 + b t U 5 u a N 7 1 L / h 7 R k b k a 4 7 J W k U K d B 5 g i y p 9 U + I z e L C h F p c q N Z D q Z d X Y y + + W D S s F x m G 6 e c / 6 y L X b l h m d g l M q E F H t d L 3 2 2 u l g J e X F r m X U r f 2 w 2 h a 1 d k P p E L j + 6 L T f v M U 7 B + B s Z X 1 p W d o h D A M A E V F Q d k l a b v A d / y f / 7 h N n 1 w 5 Q 3 U V O T q 0 a q B G f r / F s n b 0 B K b m F K E U m Y R U m k x p Q q m V u i r W C w w 5 4 I V r s s C Q C W W W w P / y l 2 p b M q f A U R O 7 C M Z D w O v D 1 l p B K i z c f 4 s O U R J 4 u z q k U 2 a A I Q C 7 F V n 3 D M d 7 q u C H h 3 F X d / c t e Y s g D B n b A d Y w f X H l G F 2 9 N S Q N P q f l F h q 5 X w m A V k p C C c l S 4 y S o d S a t 1 D w T K x V Q k 4 + D i f n k u r b j h O C o M R R C O B S i a C R C M 6 t 4 R 2 y U e 9 7 1 j q H 7 B d j T z w 6 Y 1 M X G K / C 3 w 0 5 E C O j Z 8 Z 7 f M 2 f O y E Y q 5 R X 2 W 5 p t h f L S I D M r Q N O z i 7 Q U d t G T 6 d y 8 M J g H W y J 1 C X g E U o i E M q T R R E F a Y s 5 P X a P z + F o Z V 4 k k w 7 k 4 + c U s z N / p o O A o K x / Q 9 2 p V e u I 6 H i J g M 0 r j d r M f g X f 9 2 g G v t j E T v n i N D s r I G C 1 A O L y X C Y 0 1 V 8 A p F m / 3 u H v v P n V W R + h 2 3 y T 5 E 4 t 0 p D a W 0 5 b J s y u 5 T + g q Y w M I o 8 g k 0 s e O R C b W I a U e 4 v M 6 7 / I H p / T 3 O g f O o z g C N x R M K K L B x O U V + s j f X w h 4 k x I 2 A 7 w q Q C z 4 3 i F t X X a B Z f F o g L k A Y 5 b / + + 0 z O n b 8 O J 0 / 1 0 X v n T 5 K H 5 4 5 I B O 8 g w O D F F 6 e Z U 0 h + 3 f V F G / 1 W + o 5 l B q n i J Q K Q i x D J m 3 N s 5 L J p M 0 5 D m a 8 h S 2 i U 2 3 G I c F x E g q Q g a k u 6 K U 1 v D V Q n 2 C A Z P s B x X 7 7 d 9 j m B m y W 8 l L K b y t g F 9 j y Q J h K S 4 q l b B H g O 3 j x 4 g V 5 t + + 1 a z f o t 7 / 9 i o b H t 3 4 d 6 W a / h 2 y c M + Z u Z f o G O V D H i j T p o M + B S A g m D Q l l j n V w Y l t w n F E C w R Q i s G N H y z z H 7 O p 6 T / T t A K t / Y Q n M 9 r I z A 6 x f q i n d q L J h D I b 1 W B c v n p c 3 l N z v U S 9 t s w P q q 9 n 9 m N Z W b M a 7 Q j I r c U z a k s c P q l Q 5 R S Y r a d L H y v o n J n V I p w K v b d t 5 1 8 F x R g m E 1 2 t q o 0 t g n w g k W 3 w 3 u L P O R M h Q X C L + f z C n w 5 X J l G c m V C + / O X M n J 1 7 y 4 N 9 H n a c / 1 D l p w I S P P d V v 3 L h J N d W V V F S c O f n M B M F f I 5 E M i U A S j h V R 0 m Q y q h y u w T k V 0 t Y 9 d R 5 x j N r a G 9 a 1 G a c E R 4 6 h p p Z j s s g O F Q B v b M A q 3 p 0 o 6 t 8 G c t 0 7 3 Q 7 w I F d + g H P y B n d s 5 X z t h + t C A j R K S D A z f 3 X k 6 B H 9 q Y 3 A d V A B b / 7 4 H X 3 3 3 Q 9 0 9 + 4 9 8 d 3 r 6 3 0 s L + e G y x Q 2 v 8 Q L E 6 z w u h V J h R w g D N e l I Y n H p U g l e U I m B C a L 5 T p D P E U m R T Q T k N f e g T f 5 q / b i p O C 6 9 n h 4 h 4 r F 2 8 X h S r / M j c T J T 9 8 P K R M y C t v A m t 6 r Q L + x 2 Q R v r k D j / P p 3 3 9 C l K x e l k 3 r 2 b F C m J e B Z 3 t z a J L 5 4 c 3 M L d O B A n S w o h P n d i p s 3 b 1 H w w E l 6 P b 9 M H 5 5 U b 7 X H k g 3 U j X V T m Y E Z H 4 2 8 T q u O q B 8 J Q h Q d 8 7 0 U e m N U 6 o / R 2 L w r Y 0 L X T O S m Y w m y e t l M 6 G L H 2 J B M 6 v 7 q z z 7 X v + Q s O N I o Y Y A K 8 X v i S O i c / Y X 2 q j d f v Q w p 5 P F 5 h S h w r r 1 w 4 Z x s V / b h R 1 e k g Q 8 M D M t 7 q Y a H R / Q n 0 o C q K G + N L 4 y S x + s T V V K p k z Y 7 N G U s X 1 N k g n T S M Q d I n Z P 1 Y S r w W U z g H O S c U Q t F 9 V N 5 a c K p F y M k h W w J q q z c v b 0 0 d h v y J h A n h u G F K M W 5 I C O R M P k 8 Z j z F J z T 2 u t p 3 p i F K b Z U 7 8 7 S H W o d x z d d f X 6 X v v v 1 B T O s G K D d I F 5 j Z D 3 V 0 0 O n T J 2 Q b a L w 5 w / q y b R C i v / 8 Z H T 7 S y Z 0 a Z y T S 4 1 o 7 G N U c E G J o s i i S I J 2 k c 4 0 h 8 r v x l g 9 N J s 5 X Z E L M x B F y Y Q w F w q W l F 4 i F 4 7 g c x + j i 5 T O p d u K 0 4 F g J F e O e K i 7 z H 2 5 u W P t n n w n A 7 0 3 m M L e z O d B 4 O z s P y U 6 z n 3 / x q T j T b g a z y S Z 2 p o X K Z 7 D C a h 3 e s A j D h t / v p e l l t 5 j i N 0 N M u y q J x D F E Q m w C H x e x Z A J B J h d d K R K l Y n z O x C y F F I l U n g R I K w 4 s p l g 6 O t f y 6 0 i j h A k r E V W Y 1 Q W r U t D 7 B Y F c H Q 8 2 A X p 9 S C J r y I a a m h p Z 0 g 6 1 C j 6 B P Y 9 6 6 P n I c 9 l H / f 7 9 B / S k r 5 f + q K u U x s b G Z B x m B + y C q 0 g B A l n S H A K s t n / c v i b H 2 N s / q I m F 6 1 I k 0 t e m 1 D w h F k i E c 2 p M l W T p V F 0 N L / u N b c U p w d F j q O m w S y o Z w R S 8 F V s 1 l H x F V X D n 0 g l A e W 3 X l w 8 7 0 e J 1 o S D M 8 R P H Z Q c k r N z 9 8 M M P Z B 8 L W A 1 R 3 l a 1 0 I B 5 Q Y s h R W Q h E 4 i h 0 4 2 l U b r Q H F I k 4 b z e l x 5 6 u a D U Q l W n l j G T N R h i M Y n M 3 B P y P v r E W d 7 l m X D k P J Q 1 x L m H Q u P w u 5 U K w F X B Y W / j Q O m b E Q q N N F f g W h g f 8 M q c W D x J L 9 d K q O e l n 8 Y X l J i E J w V U b 6 h + R T a e / / j 8 1 8 / 8 Q g K k D Z k a y 2 L 0 S f s q t V d F t J R R Y X k N 1 6 l 0 W i I h r Q h j i G N i 6 U w l x P j H u K M w u 8 c 4 N D j S U 8 I a Z i K Q U g k 6 X L m s C j 6 j s e w 1 K d V c E a e g / 8 0 6 D W z t l W u 5 Y B 9 A N F q M o 0 6 e O E L B 2 C R F J m 5 S i W u O y 1 p 5 U k x N T 9 P j x 0 / o y N H D + l M K s O B 9 N + h n I q 4 n E w j T V h G W N A x L h k C L a 7 h m v Z q n x l u G R M j j m I k j Z G L p J M Y I L a E + / f y C b R t x U n D 0 G A o h l H B L h R d 6 u I K k Y D e S a i / h 9 a p 6 9 5 N S c 3 c 2 b o R Z e 3 B g K K v r E d a d / b 9 v n 9 D y a l i c b N W 7 d e u o r a 1 V j B j Y Q R Z L Z 2 A R h K k d C x q h 7 q H s I c l u j / r o 6 / 4 A h a K K S F Y y 1 Q R 5 n G U I w 2 R D h w h i P Z / F s 0 H T U K R S 5 x V 5 J C 1 5 6 j g 1 H 8 X 3 i X p P x q N U W 1 f D d 2 7 f T p w S X N e f P n d 8 6 6 z 1 R s T 7 / N r z E t k R C U v j s Z G + P I D u i f c C y d A Y l 8 b u U X 3 h k o x Z M J 6 B F S 4 Y L F o / J s K j 8 n P j p d A 4 D + u c 9 T z K Y n 5 h g R 7 c e y g 7 J a m G m h T z O S Q O i H b j z l O 6 c P b Q p s t j 8 O Z 4 j / 5 + a 9 l O s C r Y N 6 W I h f s V M m n y S B 7 H J + p C V F G o O j 8 Q y R D m 2 w G f u h c 5 z i A O x x K w z J 0 D 1 s K l 3 q X L E r e 0 J E B / + M e f 6 b t w L v K C U E B 5 b J 7 6 5 y t p J Y Y J R q 8 Q C 2 R S D W n 9 O 4 n y G Y X e B F 1 p C 8 u z o R F m k z J 4 g y F 2 m 8 W W Y 1 h i 0 d L S T G M v x i j K v T q 2 I w s G C 0 W q P H s 2 w I 2 T G y u T C o 0 f y z u w 9 5 6 d g c G g p 6 d X N o o B T N n O r r j p 3 r h f v k M m Y h F n k A k q X F f j G h V 5 F Y k g n R B f H / F Q O J J U B M J 1 I B S k D 8 f u Z J Q l n Z J G 6 w m V 3 j v i r / / m j + U e n A 7 X 9 f 7 8 I F Q F h a l / 2 k e L E b g k s Y R i Q s G P D G E v S S k A 7 k b 6 k X I G G i n G Q / B 4 a G 1 t Z U m k y A J f P J j E o e J 1 d 9 + m K 1 c u Z S U S g G v x J v f T p 9 X 8 F c r 1 0 Y S P p p b d K e I g T s 8 3 K U u d k V Y X m 9 f I 6 4 L U U W T C 9 n D X B r 2 K R C n J h D S k E o 5 B J E 0 m T i s S a V c j J l N t T R l 9 8 f M P 5 F 6 c D k d t d J n t 3 z w V 0 N w K V 5 B W D Z J S I c r y h 0 r c S / j 9 F m 9 K t w M k N V 4 m g L c M w p U I K 3 g R I K l A I I y R j h 4 9 L P N M W w G + e q W l x Y o 8 H L 4 Z C N D L J S a T j H 0 g h S w E w r G u B 8 Q u i q 8 j E 7 w b H k 2 4 5 Z x 8 V p P J G C J M r C Q X x 1 p q Y X O W B A I T 6 4 u f f Z B q B 0 7 / Z 1 H M n Y + W c r i / m A J X p L K q E E Z S 7 Q U 8 m N j + z k U g g n X l b i Y w g Q v v 8 t 7 e P m n U d g C B Y E K H Y Q P p 4 V m 3 G C G U a q c 7 M I 6 R V u W + n l S X W D p Z y Y T 0 / I o m o v 4 c v k u 5 E U E l N H V o Y i O p Q L Q Y B Y s K 8 q p e 8 4 p Q B R V F q j J T v Z i K V U + n K n a v k A p v A A z H t v c s M J d n I x S k G N 7 q c e B A / a Z u R F A R y 8 v K Z F k 9 U B 1 E 2 V r U P C G G S q s 8 c 5 y g o 7 V h z t N E 0 X H 3 c 6 9 c Z + p J P o 9 6 0 4 S R g H O o U y G X y g e p I K F + 9 R e / l P v I F z h + Y j c z N F R h s I 6 B q y G T j q X S V N g r u D + + 3 d 1 Y k 1 u O j w A Y J V 6 8 G N u w 8 B B p z D f V s M p o y F P g Q d m a 8 o V 0 U Z 2 X 5 G k y I S A P X u l I C y k 4 X g 7 h p d y a X J J n Y v V 5 R R 6 O M X 7 C M W I m E s Z w U P X a 2 g / a t g E n B 8 d P 7 G a G 8 o q A 6 h l F N V C 9 W p p U a i J w r 4 y p s J V X L q + I g R c D 1 L Q Q j 6 F y A c z s X V 1 n Z T x 1 6 9 Y d e v S o h / r 6 H o v R A n N Q k P K K U E r V M 0 E R w T J + 4 r J X d Y G y B 0 F A J n U d y H J 3 1 C P 5 K R J J j O t Q b 6 r O U u q e k I o D N r b k g P q F m 5 F d G 3 B y Y J X P L t v Z 4 V B L k a o Q D q g Q V J 5 U C G J U m q 4 4 7 r M 5 5 D d 6 X v o o l s B z b w 5 Y 9 w o K A r L 3 Q y 7 A / B b M 4 l V V 1 X T + f J c Y M j o 6 O l g l x N w W r H G G P H G a X l K S C 2 l D n j S 5 V D 5 i j 0 u T h g O k D f z 1 0 p K J 8 z V x V A e o 6 s l 0 i C r m + s P Y S d J R + u N f / Y z v d G P d O z 3 k 1 R j K o K D A T T 4 v 9 5 R C J u j a p r J 0 L E F V r u j 6 O u Q j V D V l v 3 e M n W D F W z f 5 u w k w R s L y 9 T N n T s u E M Q C J B D J B X U y R Q k u a V 0 w o R S R 1 r I J W + 4 R Y K o 2 V u E i D K H P L S e q f d n N 9 m L o w 9 Y P z 6 + v K S C u 1 5 b K y 6 h U H C 3 k M 9 3 Z f j v C 2 k J e E A o 4 e K u W K R G W g h 9 O V o X s 7 J a X U O Y R 8 J R O A O 9 9 K Q m F S N 5 s x w g D E G x g Y p N N n T j G B l C q J o g F J 8 D s L C 0 s y f h H v B g 5 r k S S N z a k J Z r k G P n Z C E E U k K V 9 O Q x K 9 X i Y a m n H R D 0 N e e j T B q p 6 c 0 9 e A n B y v U + 9 w j H r j P D W J a + o w S n / + V 3 8 k 9 5 a P y D u j h D W 0 H A x K B S i 1 T w X p D R F b K h D H 0 s t y j 5 q P G J 3 L P o 7 C M 2 7 V a Y y M P K e h w W F Z l m H G R i l i Y F z E 5 Y V 3 L e F r R m Z d 9 M 0 z n 5 A j f Q 1 I o T 8 D k u A 3 p W x 1 z G H 0 N Z N P z p l y V / l K A q m 8 l H q H Y 8 T S G S K t C P X Z l 1 d s 6 z p f Q t 5 M 7 N r 9 q y g P y O 4 6 i k D p y p H e T / I M q d A Q 1 L F q C J p c e S K 5 p p a y E w o r a 7 E b E a Q L A C M F 5 p q e 9 Q / I c n i 8 s R 1 5 n Y c P y f n 1 Y 6 A k 4 d V B e B 0 p X j f 6 N R N p g N U 1 l K G U k y 4 v I Q Z / L p U 2 n 5 f v 0 s T h I N o B 8 n V Z p + o C a R C H 4 5 i u L 9 y v v K I m r j w j y s q C 1 N b e b K n h / P u X t y q f w e k T 1 d x F a z J x J a V 0 c U l r E k l a V 7 a u a N M Y 0 L i k d x d y m e A s h L d 4 E 8 b K y i o 1 N T W J S o f n e t b / T J b A t 7 Q 2 C 6 G w D d i h Q x 3 q m T k o a 5 x p / H F 5 d y + W b 8 D D f G V p X v L U t R w b w l j K T k h l y l G + R x + j v D k v R S A p f 5 0 2 Z N J 1 I 0 R C G r G s A k 6 w q v f f 1 A P l M f K e U M D Z U 7 V c y Y p M U o F a D V R E 4 q A r X h q A B N X T q g l L b b T g 7 0 n x y m H A P e G l 0 J s B z w i n W E z W Y k / y z s O d M q b C 0 g v 4 8 S l j g 3 r O 9 e q e C s H i I E u o H q q u b 6 F A Q V A R R p e T K j f V 8 a T L T w d d p k b l S 1 3 P Q Z W / T g u Z F I l S Z M K Y i e t J 5 U X p b 3 7 9 Z / p p 8 h u u 7 s E x B z a h 7 W N l J U K 9 T 2 b J B Y d Z j 5 c H 3 c o j X Z x n 3 d j + C m k e M i K 4 1 H Z Y i G H h S g f u X 3 T a a S j 2 J + h S q 9 q r K 3 O 8 d O 3 a j 3 T l y m V J S + c g p 3 V H s U U w B E P 6 6 o B f O h h I J c 4 Q g p h z Q j K k U + R S w Z B v P Q m V R q B I Z 7 Q D 3 c E x g Y x 0 g h N s I h a h P / n z X 1 B N j d r z L 9 + B F s R R / o d g M E D F R b A u q U o z q l + 6 p 9 S V r I N K o + f k W D c E k W Q 6 q I a j G h 3 / 4 d 9 4 t 1 i O u G l w x i M v V c N E r G n Q W N 7 h 9 2 F J h S K A B G 7 w x l K X G b C k H b v I v p q Z 4 T J Q e Y i 7 R 7 x c H j h O k y N F H J Q V y k V i c 6 x j X Y a i C f C x i T P z c B 2 I Z K x 5 i E G m A w 2 1 T C a 8 K N u + X v M t u G 4 N j u 8 J C W V w 8 9 Y o x Z M s g S C d R F I p K S X r p 7 S k W i e h Y J Z J S a r 1 E o v / y H f y k a T l S G U x U g l B + t z 6 / F 0 B i M 0 R d n x t L 1 + i + p I Y P X 3 a z 7 / k o s q q S h n / 6 M v w V 8 i V D s h H n B B X I 4 y 3 6 u v r 6 N 6 9 + 3 T 2 7 B l u 7 G o Z e 0 o S 6 W u F V E h z n D 7 O i E E c T i M W 8 u H Y Q i a J o e 5 x n p F K o u Y J q c J i V f z 1 3 / + l 3 P t e w Z 4 j F H D 9 5 g g P c U E a v R C R S Y Q 1 V G n 1 z 5 B J E W i 9 + p d W + w y p Q J E N B F M J j V S O J W 8 z Z F 6 A F q + T N l C n 1 D X c v O X o 8 0 N r 3 I B V f o o 0 c o H l G L E 5 z 2 o c G j R e F Q p j B T w r G h s b Z I z 1 L c h k U f t S R N K k M X l C G J x L p T P V P C u Z L K S C l I J E E m I p N Q + r c H 1 e D / 3 d / / w r V a 5 7 C K 5 b Q 3 u P U M C 1 6 0 P c n I x 0 0 m T i B u R J k Q q S i o l g I Z f Z R n e D p A J h 5 J y k 1 D X 4 E T m n 8 w w s y Z x h C G E H I Y a K V Z S k t q o o t V Y o E 7 k 0 e A n 6 O 1 L H l n y J E 7 S 4 B L e H p D j H Y v X u 9 y K Z 1 D m J h S z q W B H H 5 F m J p E i k y M R 5 I A 5 I p U l k i J V S 8 z S h 0 i F C X o + b / v 4 3 / 1 3 u f 6 + B C T W h a m q P A Y 3 h h 2 s D P E p U E s p q p M i U V P b q n y Y O j v G F J g / 0 k R h Z m j 0 4 p 1 K S l k j + G q w / U k g X e y r F 9 2 z A T T l 1 A s + i U / q S J H 3 U H i K P C 8 f p P J V W x + l 0 Z k j Q x I K b n r 3 y q G M h i j o H 9 Y 0 T K f K Y c 4 o 4 T K C U p 7 m V V G m J l J J Q 2 q q H W K l 5 T C w Z M 4 W 5 r I n + 4 R / / J l 1 2 e w x 7 l l A A 9 t D + 8 f o z f k o Q a D 2 h U m M q I Z I h l C I T 8 o Q k q a D y w Q u h D v L U A Q P n V S y Q b J 3 e F t C o d V I z S R 2 b t D 7 J M V I l / j h 1 N U X U s Q R z j T n e G G D R e z D h p Y V V e A f y P x B F z u l Y S J N O p y U T P m t P p k w 1 D + u a x G v c Q i Y j m T z c Y f 3 t P / x V a n n + X o T r 9 h 4 m l M E 3 3 z 7 m J z V E w o 5 J i l A i q Z g s I q F S p F K E U g Q C W V R a j o U 8 a Q K p P C Q 5 r W M D n Y P E 1 g A Z 8 M e A G 7 B E 5 q 8 5 L x k g A N H H H W t y F g e K F O Y a S B o V q 3 w V + l 5 6 6 d W y W p a h Q l o a S a z z D J G M + d y Q S O a a D M G E S J p Q Q i Z I J D 7 W k k n 8 A X m 8 h G O Z Z + L g 8 T C Z / s d f U K B g b 7 + R c l 8 Q C v j m 2 z 5 u b i C M J l J K Y i k i K X I x D Y y U 0 v k g i S I R K M L s S K U Z H I M x E s k 5 + Z 9 K G + i r b a E K X 1 d B q i a 4 c a v I k l Y n Q Q b k Y T P M r k b s i G Q I A h c l N 4 3 P u y k S J y o t i N O r J Z e M l X A y T S Q E k M Y S p 4 w S m j C S x 2 n k I W b S C M E k V s c Y N 8 n 4 C Z J J A i S T U v f W k S k e k T c g / s N v / l r u f 6 / D d X t 4 f x A K + P 3 X j 7 j 5 G U K p e F N J B d J o c q l g I Z c m D N J C F + G L I o 3 K M z D n t g a 3 Y f y V N I B G n Q I a u E r o / y C A S r t 4 H G W 8 I O Q M r t W f V S R R M R L q n C Y M g o V I O F Z k 4 q B J p S S Q O l 5 H J i Y Q 0 l D t l C c 5 J B P I l L b m G X W v I O D f s w Y I O z C h J l X p 7 x P c u P G U l p b D m l B q w 0 w h F k h l I Z S S U C C E l V T M D p 2 n O K X z A O S r T H V o S V s S m 0 B X Q S q y H u s j E E D H k m f O y S H O I c 0 H m e l 1 Q R E l l U 4 R i m M h E Q i j j t M E w n U c y / b I i l A S U m M n E A g x S I S 0 G j P B F a y u v p b + 9 C / z d y n G T r D v C A U 8 u D 9 I U 9 O L R F D 7 N J H E C q g J p S Q W U 2 I D q V T M f / Q x i I I Y 3 5 q O 1 X 8 5 0 F B 5 W c G N 2 E B S 1 m N J c 5 D / 1 l j + q l j S O s 8 S 0 s e a O N Z j T R 4 r k V J p I Y 6 6 R p G I Y 0 0 i Q 6 g 0 m d J q H s g E R 9 c j R w / R 5 z / / C H e 3 r + C 6 s w 8 J B c z P L 9 N 1 l l b M m r S h I k U m R S z E 6 y S V G 6 x Q R E o R C r E Q R v 5 K r C I V K 5 h z c m A L b s s a O g E u p N I 6 p S 9 C w 5 e z 5 h q c T + X p t I 7 X B 0 M a D k I g f Q y y p A h m C G U h U o p c I I 8 m F K Q R j r V q J 0 E m b L 3 0 q z / / Q 6 q t g z v R / o P r z s j + J B S A R v L V V 3 e 5 M X B B i K R S q p 9 V / U u b 1 U E g E z M z r G m G y s s g F Y 5 U h h w D 6 V Q a 6 y s A Z D A p k w Y J U j k c 4 V h d J D G O 5 R q d t g Q 5 x j 8 Q Q v L S s Z A E a Y k t R M I 1 I A 7 y h E A 4 x z E k k i G V J p F I J Z Z O I F t R s I j + 9 u / / Q j w w 9 i e I / j 9 P Q x c l U D u L m A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246D2CF1-6F4F-4BD5-B11B-E07C7284842F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2094F99D-54A4-4C9F-B35C-B51497C8AD4C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 2020</vt:lpstr>
      <vt:lpstr>'September 2020'!_Hlk50391038</vt:lpstr>
      <vt:lpstr>'September 2020'!Print_Area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2020-11-01T17:22:38Z</dcterms:modified>
</cp:coreProperties>
</file>