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50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9" i="1" l="1"/>
  <c r="E161" i="1"/>
  <c r="E162" i="1"/>
  <c r="E163" i="1"/>
  <c r="E164" i="1"/>
  <c r="E165" i="1"/>
  <c r="E166" i="1"/>
  <c r="E167" i="1"/>
  <c r="E168" i="1"/>
  <c r="L137" i="1"/>
  <c r="L136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2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C12" i="2" l="1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R179" i="1" l="1"/>
  <c r="S179" i="1"/>
  <c r="T179" i="1"/>
  <c r="U179" i="1"/>
  <c r="V179" i="1"/>
  <c r="R180" i="1"/>
  <c r="S180" i="1"/>
  <c r="T180" i="1"/>
  <c r="U180" i="1"/>
  <c r="V180" i="1"/>
  <c r="R181" i="1"/>
  <c r="S181" i="1"/>
  <c r="T181" i="1"/>
  <c r="U181" i="1"/>
  <c r="V181" i="1"/>
  <c r="R182" i="1"/>
  <c r="S182" i="1"/>
  <c r="T182" i="1"/>
  <c r="U182" i="1"/>
  <c r="V182" i="1"/>
  <c r="R183" i="1"/>
  <c r="S183" i="1"/>
  <c r="T183" i="1"/>
  <c r="U183" i="1"/>
  <c r="V183" i="1"/>
  <c r="R184" i="1"/>
  <c r="S184" i="1"/>
  <c r="T184" i="1"/>
  <c r="U184" i="1"/>
  <c r="V184" i="1"/>
  <c r="R185" i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V178" i="1"/>
  <c r="U178" i="1"/>
  <c r="T178" i="1"/>
  <c r="S178" i="1"/>
  <c r="R178" i="1"/>
  <c r="V174" i="1"/>
  <c r="U174" i="1"/>
  <c r="T174" i="1"/>
  <c r="S174" i="1"/>
  <c r="R174" i="1"/>
  <c r="V173" i="1"/>
  <c r="U173" i="1"/>
  <c r="T173" i="1"/>
  <c r="S173" i="1"/>
  <c r="R173" i="1"/>
  <c r="R161" i="1"/>
  <c r="S161" i="1"/>
  <c r="T161" i="1"/>
  <c r="U161" i="1"/>
  <c r="V161" i="1"/>
  <c r="R162" i="1"/>
  <c r="S162" i="1"/>
  <c r="T162" i="1"/>
  <c r="U162" i="1"/>
  <c r="V162" i="1"/>
  <c r="R163" i="1"/>
  <c r="S163" i="1"/>
  <c r="T163" i="1"/>
  <c r="U163" i="1"/>
  <c r="V163" i="1"/>
  <c r="R164" i="1"/>
  <c r="S164" i="1"/>
  <c r="T164" i="1"/>
  <c r="U164" i="1"/>
  <c r="V164" i="1"/>
  <c r="R165" i="1"/>
  <c r="S165" i="1"/>
  <c r="T165" i="1"/>
  <c r="U165" i="1"/>
  <c r="V165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U169" i="1"/>
  <c r="V169" i="1"/>
  <c r="V160" i="1"/>
  <c r="U160" i="1"/>
  <c r="T160" i="1"/>
  <c r="S160" i="1"/>
  <c r="R160" i="1"/>
  <c r="V157" i="1"/>
  <c r="U157" i="1"/>
  <c r="T157" i="1"/>
  <c r="S157" i="1"/>
  <c r="R157" i="1"/>
  <c r="V156" i="1"/>
  <c r="U156" i="1"/>
  <c r="T156" i="1"/>
  <c r="S156" i="1"/>
  <c r="R156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V149" i="1"/>
  <c r="U149" i="1"/>
  <c r="T149" i="1"/>
  <c r="S149" i="1"/>
  <c r="R149" i="1"/>
  <c r="R123" i="1"/>
  <c r="S123" i="1"/>
  <c r="T123" i="1"/>
  <c r="U123" i="1"/>
  <c r="V123" i="1"/>
  <c r="R124" i="1"/>
  <c r="S124" i="1"/>
  <c r="T124" i="1"/>
  <c r="U124" i="1"/>
  <c r="V124" i="1"/>
  <c r="R125" i="1"/>
  <c r="S125" i="1"/>
  <c r="T125" i="1"/>
  <c r="U125" i="1"/>
  <c r="V125" i="1"/>
  <c r="R126" i="1"/>
  <c r="S126" i="1"/>
  <c r="T126" i="1"/>
  <c r="U126" i="1"/>
  <c r="V126" i="1"/>
  <c r="R127" i="1"/>
  <c r="S127" i="1"/>
  <c r="T127" i="1"/>
  <c r="U127" i="1"/>
  <c r="V127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U146" i="1"/>
  <c r="V146" i="1"/>
  <c r="V122" i="1"/>
  <c r="U122" i="1"/>
  <c r="T122" i="1"/>
  <c r="S122" i="1"/>
  <c r="R122" i="1"/>
  <c r="R116" i="1"/>
  <c r="S116" i="1"/>
  <c r="T116" i="1"/>
  <c r="U116" i="1"/>
  <c r="V116" i="1"/>
  <c r="R117" i="1"/>
  <c r="S117" i="1"/>
  <c r="T117" i="1"/>
  <c r="U117" i="1"/>
  <c r="V117" i="1"/>
  <c r="R118" i="1"/>
  <c r="S118" i="1"/>
  <c r="T118" i="1"/>
  <c r="U118" i="1"/>
  <c r="V118" i="1"/>
  <c r="R119" i="1"/>
  <c r="S119" i="1"/>
  <c r="T119" i="1"/>
  <c r="U119" i="1"/>
  <c r="V119" i="1"/>
  <c r="V115" i="1"/>
  <c r="U115" i="1"/>
  <c r="T115" i="1"/>
  <c r="S115" i="1"/>
  <c r="R115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U112" i="1"/>
  <c r="V112" i="1"/>
  <c r="V103" i="1"/>
  <c r="U103" i="1"/>
  <c r="T103" i="1"/>
  <c r="S103" i="1"/>
  <c r="R103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5" i="1"/>
  <c r="S95" i="1"/>
  <c r="T95" i="1"/>
  <c r="U95" i="1"/>
  <c r="V95" i="1"/>
  <c r="R96" i="1"/>
  <c r="S96" i="1"/>
  <c r="T96" i="1"/>
  <c r="U96" i="1"/>
  <c r="V96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V90" i="1"/>
  <c r="U90" i="1"/>
  <c r="T90" i="1"/>
  <c r="S90" i="1"/>
  <c r="R90" i="1"/>
  <c r="R58" i="1"/>
  <c r="S58" i="1"/>
  <c r="T58" i="1"/>
  <c r="U58" i="1"/>
  <c r="V58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V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U86" i="1"/>
  <c r="V86" i="1"/>
  <c r="V57" i="1"/>
  <c r="U57" i="1"/>
  <c r="T57" i="1"/>
  <c r="S57" i="1"/>
  <c r="R57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U54" i="1"/>
  <c r="V54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R12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R20" i="1"/>
  <c r="S20" i="1"/>
  <c r="T20" i="1"/>
  <c r="U20" i="1"/>
  <c r="V20" i="1"/>
  <c r="R21" i="1"/>
  <c r="S21" i="1"/>
  <c r="T21" i="1"/>
  <c r="U21" i="1"/>
  <c r="V21" i="1"/>
  <c r="R22" i="1"/>
  <c r="S22" i="1"/>
  <c r="U22" i="1"/>
  <c r="V22" i="1"/>
  <c r="V6" i="1"/>
  <c r="U6" i="1"/>
  <c r="T6" i="1"/>
  <c r="I10" i="4" l="1"/>
  <c r="H10" i="4"/>
  <c r="G10" i="4"/>
  <c r="F10" i="4"/>
  <c r="E10" i="4"/>
  <c r="D10" i="4"/>
  <c r="C10" i="4"/>
  <c r="B10" i="4"/>
  <c r="O169" i="1" l="1"/>
  <c r="O190" i="1"/>
  <c r="K190" i="1"/>
  <c r="H190" i="1"/>
  <c r="D190" i="1"/>
  <c r="K175" i="1"/>
  <c r="H175" i="1"/>
  <c r="D175" i="1"/>
  <c r="H169" i="1"/>
  <c r="T169" i="1" s="1"/>
  <c r="D169" i="1"/>
  <c r="K169" i="1"/>
  <c r="H152" i="1"/>
  <c r="D152" i="1"/>
  <c r="O152" i="1"/>
  <c r="K152" i="1"/>
  <c r="O146" i="1"/>
  <c r="K146" i="1"/>
  <c r="H146" i="1"/>
  <c r="T146" i="1" s="1"/>
  <c r="D146" i="1"/>
  <c r="O119" i="1"/>
  <c r="K119" i="1"/>
  <c r="H119" i="1"/>
  <c r="D119" i="1"/>
  <c r="H112" i="1"/>
  <c r="G111" i="1"/>
  <c r="F111" i="1"/>
  <c r="G108" i="1"/>
  <c r="F108" i="1"/>
  <c r="G107" i="1"/>
  <c r="F107" i="1"/>
  <c r="G104" i="1"/>
  <c r="F104" i="1"/>
  <c r="D112" i="1"/>
  <c r="D104" i="1"/>
  <c r="O112" i="1"/>
  <c r="T112" i="1" s="1"/>
  <c r="N111" i="1"/>
  <c r="M111" i="1"/>
  <c r="N108" i="1"/>
  <c r="M108" i="1"/>
  <c r="N107" i="1"/>
  <c r="M107" i="1"/>
  <c r="N104" i="1"/>
  <c r="M104" i="1"/>
  <c r="K104" i="1"/>
  <c r="K112" i="1" s="1"/>
  <c r="N100" i="1"/>
  <c r="M100" i="1"/>
  <c r="N98" i="1"/>
  <c r="M98" i="1"/>
  <c r="N97" i="1"/>
  <c r="M97" i="1"/>
  <c r="N96" i="1"/>
  <c r="M96" i="1"/>
  <c r="N95" i="1"/>
  <c r="M95" i="1"/>
  <c r="N91" i="1"/>
  <c r="M91" i="1"/>
  <c r="N90" i="1"/>
  <c r="M90" i="1"/>
  <c r="K100" i="1"/>
  <c r="K98" i="1"/>
  <c r="K97" i="1"/>
  <c r="K96" i="1"/>
  <c r="K95" i="1"/>
  <c r="K91" i="1"/>
  <c r="G100" i="1"/>
  <c r="F100" i="1"/>
  <c r="G98" i="1"/>
  <c r="F98" i="1"/>
  <c r="G97" i="1"/>
  <c r="F97" i="1"/>
  <c r="G96" i="1"/>
  <c r="F96" i="1"/>
  <c r="G95" i="1"/>
  <c r="F95" i="1"/>
  <c r="G91" i="1"/>
  <c r="F91" i="1"/>
  <c r="G90" i="1"/>
  <c r="F90" i="1"/>
  <c r="D100" i="1"/>
  <c r="D98" i="1"/>
  <c r="D97" i="1"/>
  <c r="D96" i="1"/>
  <c r="D95" i="1"/>
  <c r="D91" i="1"/>
  <c r="O86" i="1"/>
  <c r="K86" i="1"/>
  <c r="H86" i="1"/>
  <c r="T86" i="1" s="1"/>
  <c r="D86" i="1"/>
  <c r="O54" i="1"/>
  <c r="K54" i="1"/>
  <c r="H54" i="1"/>
  <c r="T54" i="1" s="1"/>
  <c r="O22" i="1"/>
  <c r="H22" i="1"/>
  <c r="O170" i="1" l="1"/>
  <c r="O191" i="1" s="1"/>
  <c r="T22" i="1"/>
  <c r="H170" i="1"/>
  <c r="H191" i="1" s="1"/>
  <c r="J10" i="4"/>
  <c r="J12" i="4" s="1"/>
  <c r="I12" i="4"/>
  <c r="H12" i="4"/>
  <c r="G12" i="4"/>
  <c r="F12" i="4"/>
  <c r="E12" i="4"/>
  <c r="C12" i="4"/>
  <c r="L188" i="1"/>
  <c r="E186" i="1"/>
  <c r="L187" i="1"/>
  <c r="L186" i="1"/>
  <c r="L184" i="1"/>
  <c r="L183" i="1"/>
  <c r="L182" i="1"/>
  <c r="L180" i="1"/>
  <c r="L179" i="1"/>
  <c r="L178" i="1"/>
  <c r="V175" i="1"/>
  <c r="U175" i="1"/>
  <c r="L173" i="1"/>
  <c r="E173" i="1"/>
  <c r="L166" i="1"/>
  <c r="L167" i="1"/>
  <c r="L161" i="1"/>
  <c r="L157" i="1"/>
  <c r="L149" i="1"/>
  <c r="E151" i="1"/>
  <c r="L142" i="1"/>
  <c r="E145" i="1"/>
  <c r="E142" i="1"/>
  <c r="L135" i="1"/>
  <c r="L133" i="1"/>
  <c r="L130" i="1"/>
  <c r="L127" i="1"/>
  <c r="L125" i="1"/>
  <c r="L122" i="1"/>
  <c r="L117" i="1"/>
  <c r="E118" i="1"/>
  <c r="L118" i="1"/>
  <c r="E83" i="1"/>
  <c r="E84" i="1"/>
  <c r="E82" i="1"/>
  <c r="E80" i="1"/>
  <c r="E78" i="1"/>
  <c r="E76" i="1"/>
  <c r="E74" i="1"/>
  <c r="E72" i="1"/>
  <c r="E70" i="1"/>
  <c r="E68" i="1"/>
  <c r="E66" i="1"/>
  <c r="E64" i="1"/>
  <c r="E62" i="1"/>
  <c r="E60" i="1"/>
  <c r="E58" i="1"/>
  <c r="L50" i="1"/>
  <c r="D54" i="1"/>
  <c r="L51" i="1"/>
  <c r="L32" i="1"/>
  <c r="K22" i="1"/>
  <c r="D22" i="1"/>
  <c r="E19" i="1" s="1"/>
  <c r="E14" i="1"/>
  <c r="E10" i="1"/>
  <c r="E9" i="1"/>
  <c r="E8" i="1"/>
  <c r="S6" i="1"/>
  <c r="R6" i="1"/>
  <c r="E6" i="1"/>
  <c r="L6" i="1" l="1"/>
  <c r="L40" i="1"/>
  <c r="L115" i="1"/>
  <c r="L123" i="1"/>
  <c r="L126" i="1"/>
  <c r="L129" i="1"/>
  <c r="L131" i="1"/>
  <c r="L134" i="1"/>
  <c r="L138" i="1"/>
  <c r="E18" i="1"/>
  <c r="L57" i="1"/>
  <c r="E61" i="1"/>
  <c r="E115" i="1"/>
  <c r="E122" i="1"/>
  <c r="E123" i="1"/>
  <c r="E124" i="1"/>
  <c r="E129" i="1"/>
  <c r="E130" i="1"/>
  <c r="E131" i="1"/>
  <c r="E132" i="1"/>
  <c r="E137" i="1"/>
  <c r="E140" i="1"/>
  <c r="E144" i="1"/>
  <c r="L163" i="1"/>
  <c r="L165" i="1"/>
  <c r="E11" i="1"/>
  <c r="E13" i="1"/>
  <c r="E16" i="1"/>
  <c r="E20" i="1"/>
  <c r="L29" i="1"/>
  <c r="L37" i="1"/>
  <c r="L43" i="1"/>
  <c r="K170" i="1"/>
  <c r="L116" i="1"/>
  <c r="E125" i="1"/>
  <c r="E126" i="1"/>
  <c r="E127" i="1"/>
  <c r="E128" i="1"/>
  <c r="E133" i="1"/>
  <c r="E134" i="1"/>
  <c r="E135" i="1"/>
  <c r="E136" i="1"/>
  <c r="E138" i="1"/>
  <c r="E139" i="1"/>
  <c r="E141" i="1"/>
  <c r="E143" i="1"/>
  <c r="L156" i="1"/>
  <c r="L162" i="1"/>
  <c r="L95" i="1"/>
  <c r="L105" i="1"/>
  <c r="L94" i="1"/>
  <c r="L48" i="1"/>
  <c r="L25" i="1"/>
  <c r="L33" i="1"/>
  <c r="L44" i="1"/>
  <c r="L52" i="1"/>
  <c r="E117" i="1"/>
  <c r="L140" i="1"/>
  <c r="L144" i="1"/>
  <c r="L151" i="1"/>
  <c r="E181" i="1"/>
  <c r="E185" i="1"/>
  <c r="E189" i="1"/>
  <c r="D12" i="4"/>
  <c r="E91" i="1"/>
  <c r="L36" i="1"/>
  <c r="L39" i="1"/>
  <c r="L30" i="1"/>
  <c r="L38" i="1"/>
  <c r="L41" i="1"/>
  <c r="L49" i="1"/>
  <c r="L124" i="1"/>
  <c r="L128" i="1"/>
  <c r="L132" i="1"/>
  <c r="E150" i="1"/>
  <c r="E160" i="1"/>
  <c r="E174" i="1"/>
  <c r="L181" i="1"/>
  <c r="L185" i="1"/>
  <c r="L28" i="1"/>
  <c r="L47" i="1"/>
  <c r="E7" i="1"/>
  <c r="E17" i="1"/>
  <c r="E21" i="1"/>
  <c r="L27" i="1"/>
  <c r="L35" i="1"/>
  <c r="L46" i="1"/>
  <c r="E57" i="1"/>
  <c r="E65" i="1"/>
  <c r="E69" i="1"/>
  <c r="E73" i="1"/>
  <c r="E77" i="1"/>
  <c r="E81" i="1"/>
  <c r="E85" i="1"/>
  <c r="E116" i="1"/>
  <c r="L139" i="1"/>
  <c r="L143" i="1"/>
  <c r="L150" i="1"/>
  <c r="L160" i="1"/>
  <c r="L164" i="1"/>
  <c r="L168" i="1"/>
  <c r="L174" i="1"/>
  <c r="R175" i="1"/>
  <c r="E180" i="1"/>
  <c r="E184" i="1"/>
  <c r="E188" i="1"/>
  <c r="E149" i="1"/>
  <c r="E157" i="1"/>
  <c r="E179" i="1"/>
  <c r="E183" i="1"/>
  <c r="E187" i="1"/>
  <c r="L45" i="1"/>
  <c r="L53" i="1"/>
  <c r="E100" i="1"/>
  <c r="L26" i="1"/>
  <c r="L34" i="1"/>
  <c r="E156" i="1"/>
  <c r="E12" i="1"/>
  <c r="E15" i="1"/>
  <c r="L31" i="1"/>
  <c r="L42" i="1"/>
  <c r="E59" i="1"/>
  <c r="E63" i="1"/>
  <c r="E67" i="1"/>
  <c r="E71" i="1"/>
  <c r="E75" i="1"/>
  <c r="E79" i="1"/>
  <c r="L141" i="1"/>
  <c r="L145" i="1"/>
  <c r="E178" i="1"/>
  <c r="E182" i="1"/>
  <c r="L106" i="1" l="1"/>
  <c r="L90" i="1"/>
  <c r="L91" i="1"/>
  <c r="L92" i="1"/>
  <c r="L98" i="1"/>
  <c r="L108" i="1"/>
  <c r="E104" i="1"/>
  <c r="L93" i="1"/>
  <c r="K191" i="1"/>
  <c r="L22" i="1"/>
  <c r="L146" i="1"/>
  <c r="L54" i="1"/>
  <c r="L119" i="1"/>
  <c r="L86" i="1"/>
  <c r="L112" i="1"/>
  <c r="L169" i="1"/>
  <c r="L152" i="1"/>
  <c r="L100" i="1"/>
  <c r="L97" i="1"/>
  <c r="L96" i="1"/>
  <c r="L111" i="1"/>
  <c r="L103" i="1"/>
  <c r="L107" i="1"/>
  <c r="L109" i="1"/>
  <c r="L99" i="1"/>
  <c r="L110" i="1"/>
  <c r="L104" i="1"/>
  <c r="E110" i="1"/>
  <c r="E107" i="1"/>
  <c r="E99" i="1"/>
  <c r="E96" i="1"/>
  <c r="E93" i="1"/>
  <c r="E98" i="1"/>
  <c r="E94" i="1"/>
  <c r="E105" i="1"/>
  <c r="E95" i="1"/>
  <c r="D170" i="1"/>
  <c r="E112" i="1" s="1"/>
  <c r="E111" i="1"/>
  <c r="E90" i="1"/>
  <c r="E97" i="1"/>
  <c r="E92" i="1"/>
  <c r="E109" i="1"/>
  <c r="E108" i="1"/>
  <c r="E106" i="1"/>
  <c r="E103" i="1"/>
  <c r="E54" i="1" l="1"/>
  <c r="E146" i="1"/>
  <c r="D191" i="1"/>
  <c r="E86" i="1"/>
  <c r="E22" i="1"/>
  <c r="E169" i="1"/>
  <c r="E119" i="1"/>
  <c r="E152" i="1"/>
</calcChain>
</file>

<file path=xl/sharedStrings.xml><?xml version="1.0" encoding="utf-8"?>
<sst xmlns="http://schemas.openxmlformats.org/spreadsheetml/2006/main" count="408" uniqueCount="257">
  <si>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</si>
  <si>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</si>
  <si>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</si>
  <si>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</si>
  <si>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</si>
  <si>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</si>
  <si>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</si>
  <si>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</si>
  <si>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</si>
  <si>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</si>
  <si>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</si>
  <si>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</si>
  <si>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</si>
  <si>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</si>
  <si>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</si>
  <si>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</si>
  <si>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</si>
  <si>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</si>
  <si>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</si>
  <si>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</si>
  <si>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</si>
  <si>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</si>
  <si>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</si>
  <si>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</si>
  <si>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</si>
  <si>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</si>
  <si>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</si>
  <si>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</si>
  <si>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</si>
  <si>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</si>
  <si>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</si>
  <si>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</si>
  <si>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 (GTEIF)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</si>
  <si>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</si>
  <si>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</si>
  <si>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</si>
  <si>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</si>
  <si>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</si>
  <si>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</si>
  <si>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</si>
  <si>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</si>
  <si>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</si>
  <si>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</si>
  <si>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</si>
  <si>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</si>
  <si>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</si>
  <si>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</si>
  <si>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</si>
  <si>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</si>
  <si>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</si>
  <si>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</si>
  <si>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</si>
  <si>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</si>
  <si>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</si>
  <si>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</si>
  <si>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</si>
  <si>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</si>
  <si>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</si>
  <si>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</si>
  <si>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</si>
  <si>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</si>
  <si>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</si>
  <si>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</si>
  <si>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</si>
  <si>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</si>
  <si>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</si>
  <si>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</si>
  <si>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</si>
  <si>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</si>
  <si>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</si>
  <si>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</si>
  <si>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</si>
  <si>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</si>
  <si>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</si>
  <si>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</si>
  <si>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</si>
  <si>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Guaranty Trust Money Market Fund (GTMMF)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</si>
  <si>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</si>
  <si>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</si>
  <si>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</si>
  <si>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</si>
  <si>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</si>
  <si>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</si>
  <si>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</si>
  <si>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</si>
  <si>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</si>
  <si>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</si>
  <si>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</si>
  <si>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</si>
  <si>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</si>
  <si>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</si>
  <si>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</si>
  <si>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</si>
  <si>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</si>
  <si>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</si>
  <si>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</si>
  <si>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</si>
  <si>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</si>
  <si>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</si>
  <si>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</si>
  <si>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</si>
  <si>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</si>
  <si>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</si>
  <si>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</si>
  <si>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</si>
  <si>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</si>
  <si>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</si>
  <si>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</si>
  <si>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</si>
  <si>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</si>
  <si>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</si>
  <si>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</si>
  <si>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</si>
  <si>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</si>
  <si>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</si>
  <si>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</si>
  <si>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</si>
  <si>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</si>
  <si>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</si>
  <si>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</si>
  <si>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</si>
  <si>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</si>
  <si>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</si>
  <si>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</si>
  <si>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</si>
  <si>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</si>
  <si>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</si>
  <si>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</si>
  <si>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</si>
  <si>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</si>
  <si>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</si>
  <si>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</si>
  <si>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</si>
  <si>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</si>
  <si>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</si>
  <si>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</si>
  <si>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</si>
  <si>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</si>
  <si>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</si>
  <si>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</si>
  <si>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</si>
  <si>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</si>
  <si>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</si>
  <si>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</si>
  <si>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</si>
  <si>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</si>
  <si>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</si>
  <si>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</si>
  <si>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</si>
  <si>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</si>
  <si>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</si>
  <si>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</si>
  <si>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</si>
  <si>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</si>
  <si>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</si>
  <si>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</si>
  <si>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</si>
  <si>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</si>
  <si>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</si>
  <si>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</si>
  <si>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</si>
  <si>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</si>
  <si>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</si>
  <si>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</si>
  <si>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</si>
  <si>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</si>
  <si>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</si>
  <si>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</si>
  <si>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</si>
  <si>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</si>
  <si>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</si>
  <si>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</si>
  <si>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Guaranty Trust Balanced Fund (GTBF)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</si>
  <si>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</si>
  <si>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</si>
  <si>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</si>
  <si>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</si>
  <si>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</si>
  <si>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</si>
  <si>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</si>
  <si>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</si>
  <si>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</si>
  <si>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</si>
  <si>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</si>
  <si>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</si>
  <si>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</si>
  <si>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</si>
  <si>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</si>
  <si>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</si>
  <si>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</si>
  <si>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</si>
  <si>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</si>
  <si>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</si>
  <si>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</si>
  <si>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</si>
  <si>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</si>
  <si>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</si>
  <si>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</si>
  <si>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</si>
  <si>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</si>
  <si>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</si>
  <si>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</si>
  <si>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</si>
  <si>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</si>
  <si>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</si>
  <si>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</si>
  <si>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</si>
  <si>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</si>
  <si>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</si>
  <si>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</si>
  <si>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</si>
  <si>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</si>
  <si>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</si>
  <si>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</si>
  <si>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</si>
  <si>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</si>
  <si>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</si>
  <si>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</si>
  <si>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</si>
  <si>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</si>
  <si>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</si>
  <si>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</si>
  <si>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</si>
  <si>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</si>
  <si>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</si>
  <si>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</si>
  <si>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</si>
  <si>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</si>
  <si>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</si>
  <si>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</si>
  <si>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</si>
  <si>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</si>
  <si>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</si>
  <si>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NAV, Unit Price and Yield as at Week Ended September 29, 2023</t>
  </si>
  <si>
    <t>Unitholders</t>
  </si>
  <si>
    <t>Week ended September 29, 2023</t>
  </si>
  <si>
    <t>EUROBONDS</t>
  </si>
  <si>
    <t>FIXED INCOME</t>
  </si>
  <si>
    <t>EQUITIES</t>
  </si>
  <si>
    <t>DATE</t>
  </si>
  <si>
    <t>TOTAL NAV</t>
  </si>
  <si>
    <t>-0.28% </t>
  </si>
  <si>
    <t>34.90% </t>
  </si>
  <si>
    <t>Uniholders</t>
  </si>
  <si>
    <t>9.70% </t>
  </si>
  <si>
    <t>5,88% </t>
  </si>
  <si>
    <t>6.63% </t>
  </si>
  <si>
    <t>-0.45% </t>
  </si>
  <si>
    <t> 55.80%</t>
  </si>
  <si>
    <t>-0.047% </t>
  </si>
  <si>
    <t>32.36% </t>
  </si>
  <si>
    <t>-0.38% </t>
  </si>
  <si>
    <t> -0.53%</t>
  </si>
  <si>
    <t>55.00% </t>
  </si>
  <si>
    <t>NET ASSET VALUES AND UNIT PRICES OF COLLECTIVE INVESTMENT SCHEMES AS AT WEEK ENDED FRIDAY, OCTOBER 6, 2023</t>
  </si>
  <si>
    <t>NAV, Unit Price and Yield as at Week Ended October 6, 2023</t>
  </si>
  <si>
    <t>Week ended October 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</si>
</sst>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8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" fontId="6" fillId="0" borderId="5" xfId="0" applyNumberFormat="1" applyFont="1" applyBorder="1" applyAlignment="1">
      <alignment wrapText="1"/>
    </xf>
    <xf numFmtId="43" fontId="3" fillId="5" borderId="5" xfId="1" applyFont="1" applyFill="1" applyBorder="1" applyAlignment="1">
      <alignment horizontal="center"/>
    </xf>
    <xf numFmtId="2" fontId="0" fillId="0" borderId="0" xfId="0" applyNumberFormat="1"/>
    <xf numFmtId="0" fontId="6" fillId="3" borderId="5" xfId="0" applyFont="1" applyFill="1" applyBorder="1" applyAlignment="1">
      <alignment horizontal="left" wrapText="1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9" fontId="6" fillId="0" borderId="5" xfId="0" applyNumberFormat="1" applyFont="1" applyBorder="1" applyAlignment="1">
      <alignment wrapText="1"/>
    </xf>
    <xf numFmtId="0" fontId="18" fillId="0" borderId="0" xfId="0" applyFont="1" applyBorder="1"/>
    <xf numFmtId="16" fontId="20" fillId="3" borderId="0" xfId="0" applyNumberFormat="1" applyFont="1" applyFill="1" applyBorder="1"/>
    <xf numFmtId="43" fontId="19" fillId="0" borderId="0" xfId="1" applyFont="1" applyBorder="1"/>
    <xf numFmtId="0" fontId="0" fillId="0" borderId="0" xfId="0" applyBorder="1"/>
    <xf numFmtId="0" fontId="21" fillId="0" borderId="5" xfId="0" applyFont="1" applyBorder="1" applyAlignment="1">
      <alignment horizontal="right"/>
    </xf>
    <xf numFmtId="16" fontId="22" fillId="3" borderId="5" xfId="0" applyNumberFormat="1" applyFont="1" applyFill="1" applyBorder="1"/>
    <xf numFmtId="0" fontId="22" fillId="0" borderId="5" xfId="0" applyFont="1" applyBorder="1" applyAlignment="1">
      <alignment horizontal="right"/>
    </xf>
    <xf numFmtId="4" fontId="20" fillId="3" borderId="5" xfId="0" applyNumberFormat="1" applyFont="1" applyFill="1" applyBorder="1"/>
    <xf numFmtId="43" fontId="20" fillId="3" borderId="5" xfId="1" applyFont="1" applyFill="1" applyBorder="1" applyAlignment="1">
      <alignment horizontal="right" vertical="top" wrapText="1"/>
    </xf>
    <xf numFmtId="4" fontId="20" fillId="3" borderId="5" xfId="0" applyNumberFormat="1" applyFont="1" applyFill="1" applyBorder="1" applyAlignment="1">
      <alignment horizontal="right"/>
    </xf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16" fontId="10" fillId="3" borderId="0" xfId="0" applyNumberFormat="1" applyFont="1" applyFill="1" applyBorder="1"/>
    <xf numFmtId="0" fontId="10" fillId="0" borderId="0" xfId="0" applyFont="1" applyBorder="1" applyAlignment="1">
      <alignment horizontal="right"/>
    </xf>
    <xf numFmtId="4" fontId="11" fillId="3" borderId="0" xfId="0" applyNumberFormat="1" applyFont="1" applyFill="1" applyBorder="1"/>
    <xf numFmtId="4" fontId="11" fillId="3" borderId="0" xfId="0" applyNumberFormat="1" applyFont="1" applyFill="1" applyBorder="1" applyAlignment="1">
      <alignment horizontal="right"/>
    </xf>
    <xf numFmtId="43" fontId="12" fillId="3" borderId="0" xfId="1" applyFont="1" applyFill="1" applyBorder="1" applyAlignment="1">
      <alignment horizontal="right" vertical="top" wrapText="1"/>
    </xf>
    <xf numFmtId="0" fontId="23" fillId="0" borderId="0" xfId="0" applyFont="1" applyBorder="1" applyAlignment="1">
      <alignment horizontal="right"/>
    </xf>
    <xf numFmtId="0" fontId="19" fillId="0" borderId="0" xfId="0" applyFont="1"/>
    <xf numFmtId="16" fontId="22" fillId="3" borderId="5" xfId="0" applyNumberFormat="1" applyFont="1" applyFill="1" applyBorder="1" applyAlignment="1">
      <alignment wrapText="1"/>
    </xf>
    <xf numFmtId="0" fontId="22" fillId="0" borderId="5" xfId="0" applyFont="1" applyBorder="1" applyAlignment="1">
      <alignment horizontal="right" wrapText="1"/>
    </xf>
    <xf numFmtId="10" fontId="24" fillId="2" borderId="5" xfId="2" applyNumberFormat="1" applyFont="1" applyFill="1" applyBorder="1" applyAlignment="1">
      <alignment horizontal="center" vertical="top" wrapText="1"/>
    </xf>
    <xf numFmtId="4" fontId="15" fillId="10" borderId="0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</cellXfs>
  <cellStyles count="6">
    <cellStyle name="Comma" xfId="1" builtinId="3"/>
    <cellStyle name="Comma 10 13" xfId="3"/>
    <cellStyle name="Comma 3 2" xfId="4"/>
    <cellStyle name="Normal" xfId="0" builtinId="0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September 29,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22.347298706339998</c:v>
                </c:pt>
                <c:pt idx="1">
                  <c:v>852.62489816965001</c:v>
                </c:pt>
                <c:pt idx="2">
                  <c:v>300.146733726062</c:v>
                </c:pt>
                <c:pt idx="3">
                  <c:v>580.580020013899</c:v>
                </c:pt>
                <c:pt idx="4">
                  <c:v>92.953013524979994</c:v>
                </c:pt>
                <c:pt idx="5" formatCode="_(* #,##0.00_);_(* \(#,##0.00\);_(* &quot;-&quot;??_);_(@_)">
                  <c:v>39.835802330054499</c:v>
                </c:pt>
                <c:pt idx="6">
                  <c:v>3.8718250999600001</c:v>
                </c:pt>
                <c:pt idx="7">
                  <c:v>45.697413516339999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October 6,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22.4195298394467</c:v>
                </c:pt>
                <c:pt idx="1">
                  <c:v>857.85123900994995</c:v>
                </c:pt>
                <c:pt idx="2">
                  <c:v>298.61216302386498</c:v>
                </c:pt>
                <c:pt idx="3">
                  <c:v>574.27221068857102</c:v>
                </c:pt>
                <c:pt idx="4">
                  <c:v>93.025791056550005</c:v>
                </c:pt>
                <c:pt idx="5" formatCode="_(* #,##0.00_);_(* \(#,##0.00\);_(* &quot;-&quot;??_);_(@_)">
                  <c:v>39.656232639742797</c:v>
                </c:pt>
                <c:pt idx="6">
                  <c:v>3.87183460409</c:v>
                </c:pt>
                <c:pt idx="7">
                  <c:v>45.358758187989999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  <a:endParaRPr lang="en-US" sz="2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06-Oct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3871834604.0900002</c:v>
                </c:pt>
                <c:pt idx="1">
                  <c:v>22419529839.446701</c:v>
                </c:pt>
                <c:pt idx="2" formatCode="_(* #,##0.00_);_(* \(#,##0.00\);_(* &quot;-&quot;??_);_(@_)">
                  <c:v>39656232639.742752</c:v>
                </c:pt>
                <c:pt idx="3">
                  <c:v>45358758187.989998</c:v>
                </c:pt>
                <c:pt idx="4">
                  <c:v>93025791056.550003</c:v>
                </c:pt>
                <c:pt idx="5">
                  <c:v>298612163023.86542</c:v>
                </c:pt>
                <c:pt idx="6">
                  <c:v>574272210688.57068</c:v>
                </c:pt>
                <c:pt idx="7">
                  <c:v>857851239009.95007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8-WEEK MOVEMENT IN TOTAL NAV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'NAV Movement'!$B$2:$I$2</c:f>
              <c:numCache>
                <c:formatCode>d\-mmm</c:formatCode>
                <c:ptCount val="8"/>
                <c:pt idx="0">
                  <c:v>45156</c:v>
                </c:pt>
                <c:pt idx="1">
                  <c:v>45163</c:v>
                </c:pt>
                <c:pt idx="2">
                  <c:v>45170</c:v>
                </c:pt>
                <c:pt idx="3">
                  <c:v>45177</c:v>
                </c:pt>
                <c:pt idx="4">
                  <c:v>45184</c:v>
                </c:pt>
                <c:pt idx="5">
                  <c:v>45191</c:v>
                </c:pt>
                <c:pt idx="6">
                  <c:v>45198</c:v>
                </c:pt>
                <c:pt idx="7">
                  <c:v>45205</c:v>
                </c:pt>
              </c:numCache>
            </c:numRef>
          </c:cat>
          <c:val>
            <c:numRef>
              <c:f>'NAV Movement'!$B$3:$I$3</c:f>
              <c:numCache>
                <c:formatCode>_(* #,##0.00_);_(* \(#,##0.00\);_(* "-"??_);_(@_)</c:formatCode>
                <c:ptCount val="8"/>
                <c:pt idx="0">
                  <c:v>1917546500429.8425</c:v>
                </c:pt>
                <c:pt idx="1">
                  <c:v>1943407345708.8286</c:v>
                </c:pt>
                <c:pt idx="2">
                  <c:v>1922810043593.2705</c:v>
                </c:pt>
                <c:pt idx="3">
                  <c:v>1905565030169.3159</c:v>
                </c:pt>
                <c:pt idx="4">
                  <c:v>1930034404358.7712</c:v>
                </c:pt>
                <c:pt idx="5">
                  <c:v>1927585637735.8486</c:v>
                </c:pt>
                <c:pt idx="6">
                  <c:v>1938057005087.2852</c:v>
                </c:pt>
                <c:pt idx="7">
                  <c:v>1935067759050.2058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304800</xdr:colOff>
      <xdr:row>29</xdr:row>
      <xdr:rowOff>134469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11</xdr:col>
      <xdr:colOff>161925</xdr:colOff>
      <xdr:row>21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1"/>
  <sheetViews>
    <sheetView tabSelected="1" zoomScale="110" zoomScaleNormal="110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2" ht="26.25" x14ac:dyDescent="0.45">
      <c r="A1" s="132" t="s">
        <v>254</v>
      </c>
      <c r="B1" s="133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5"/>
    </row>
    <row r="2" spans="1:22" ht="15" customHeight="1" x14ac:dyDescent="0.25">
      <c r="A2" s="1"/>
      <c r="B2" s="1"/>
      <c r="C2" s="1"/>
      <c r="D2" s="138" t="s">
        <v>233</v>
      </c>
      <c r="E2" s="139"/>
      <c r="F2" s="139"/>
      <c r="G2" s="139"/>
      <c r="H2" s="139"/>
      <c r="I2" s="139"/>
      <c r="J2" s="140"/>
      <c r="K2" s="138" t="s">
        <v>255</v>
      </c>
      <c r="L2" s="139"/>
      <c r="M2" s="139"/>
      <c r="N2" s="139"/>
      <c r="O2" s="139"/>
      <c r="P2" s="139"/>
      <c r="Q2" s="140"/>
      <c r="R2" s="138" t="s">
        <v>0</v>
      </c>
      <c r="S2" s="139"/>
      <c r="T2" s="140"/>
      <c r="U2" s="136" t="s">
        <v>1</v>
      </c>
      <c r="V2" s="136"/>
    </row>
    <row r="3" spans="1:22" ht="25.5" x14ac:dyDescent="0.25">
      <c r="A3" s="88" t="s">
        <v>2</v>
      </c>
      <c r="B3" s="82" t="s">
        <v>3</v>
      </c>
      <c r="C3" s="82" t="s">
        <v>4</v>
      </c>
      <c r="D3" s="83" t="s">
        <v>5</v>
      </c>
      <c r="E3" s="84" t="s">
        <v>6</v>
      </c>
      <c r="F3" s="84" t="s">
        <v>7</v>
      </c>
      <c r="G3" s="84" t="s">
        <v>8</v>
      </c>
      <c r="H3" s="84" t="s">
        <v>234</v>
      </c>
      <c r="I3" s="84" t="s">
        <v>9</v>
      </c>
      <c r="J3" s="84" t="s">
        <v>10</v>
      </c>
      <c r="K3" s="85" t="s">
        <v>5</v>
      </c>
      <c r="L3" s="84" t="s">
        <v>6</v>
      </c>
      <c r="M3" s="84" t="s">
        <v>7</v>
      </c>
      <c r="N3" s="84" t="s">
        <v>8</v>
      </c>
      <c r="O3" s="84" t="s">
        <v>234</v>
      </c>
      <c r="P3" s="84" t="s">
        <v>9</v>
      </c>
      <c r="Q3" s="84" t="s">
        <v>10</v>
      </c>
      <c r="R3" s="83" t="s">
        <v>11</v>
      </c>
      <c r="S3" s="84" t="s">
        <v>12</v>
      </c>
      <c r="T3" s="84" t="s">
        <v>243</v>
      </c>
      <c r="U3" s="84" t="s">
        <v>13</v>
      </c>
      <c r="V3" s="84" t="s">
        <v>14</v>
      </c>
    </row>
    <row r="4" spans="1:22" ht="7.5" customHeight="1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</row>
    <row r="5" spans="1:22" ht="15" customHeight="1" x14ac:dyDescent="0.25">
      <c r="A5" s="129" t="s">
        <v>15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</row>
    <row r="6" spans="1:22" x14ac:dyDescent="0.25">
      <c r="A6" s="81">
        <v>1</v>
      </c>
      <c r="B6" s="62" t="s">
        <v>16</v>
      </c>
      <c r="C6" s="63" t="s">
        <v>17</v>
      </c>
      <c r="D6" s="2">
        <v>679549287.59000003</v>
      </c>
      <c r="E6" s="3">
        <f t="shared" ref="E6:E21" si="0">(D6/$D$22)</f>
        <v>3.0408565103092734E-2</v>
      </c>
      <c r="F6" s="4">
        <v>270.8023</v>
      </c>
      <c r="G6" s="4">
        <v>274.45769999999999</v>
      </c>
      <c r="H6" s="60">
        <v>1790</v>
      </c>
      <c r="I6" s="5">
        <v>-7.0000000000000001E-3</v>
      </c>
      <c r="J6" s="5">
        <v>0.4365</v>
      </c>
      <c r="K6" s="2">
        <v>688976999.73000002</v>
      </c>
      <c r="L6" s="3">
        <f>(K6/$K$22)</f>
        <v>3.0731108308870918E-2</v>
      </c>
      <c r="M6" s="4">
        <v>272.12880000000001</v>
      </c>
      <c r="N6" s="4">
        <v>275.23970000000003</v>
      </c>
      <c r="O6" s="60">
        <v>1790</v>
      </c>
      <c r="P6" s="5">
        <v>4.8999999999999998E-3</v>
      </c>
      <c r="Q6" s="5">
        <v>0.44359999999999999</v>
      </c>
      <c r="R6" s="86">
        <f>((K6-D6)/D6)</f>
        <v>1.3873478071671693E-2</v>
      </c>
      <c r="S6" s="86">
        <f t="shared" ref="S6" si="1">((N6-G6)/G6)</f>
        <v>2.8492550946832211E-3</v>
      </c>
      <c r="T6" s="86">
        <f>((O6-H6)/H6)</f>
        <v>0</v>
      </c>
      <c r="U6" s="87">
        <f>P6-I6</f>
        <v>1.1900000000000001E-2</v>
      </c>
      <c r="V6" s="89">
        <f>Q6-J6</f>
        <v>7.0999999999999952E-3</v>
      </c>
    </row>
    <row r="7" spans="1:22" x14ac:dyDescent="0.25">
      <c r="A7" s="81">
        <v>2</v>
      </c>
      <c r="B7" s="62" t="s">
        <v>18</v>
      </c>
      <c r="C7" s="63" t="s">
        <v>19</v>
      </c>
      <c r="D7" s="4">
        <v>497569770.35000002</v>
      </c>
      <c r="E7" s="3">
        <f t="shared" si="0"/>
        <v>2.226532060489431E-2</v>
      </c>
      <c r="F7" s="4">
        <v>182.4657</v>
      </c>
      <c r="G7" s="4">
        <v>184.923</v>
      </c>
      <c r="H7" s="60">
        <v>362</v>
      </c>
      <c r="I7" s="5">
        <v>8.4159999999999999E-3</v>
      </c>
      <c r="J7" s="5">
        <v>0.25879999999999997</v>
      </c>
      <c r="K7" s="4">
        <v>490013556.19999999</v>
      </c>
      <c r="L7" s="3">
        <f t="shared" ref="L7:L21" si="2">(K7/$K$22)</f>
        <v>2.1856549165354539E-2</v>
      </c>
      <c r="M7" s="4">
        <v>179.70519999999999</v>
      </c>
      <c r="N7" s="4">
        <v>182.1165</v>
      </c>
      <c r="O7" s="60">
        <v>363</v>
      </c>
      <c r="P7" s="5">
        <v>-1.005E-2</v>
      </c>
      <c r="Q7" s="5">
        <v>0.23980000000000001</v>
      </c>
      <c r="R7" s="86">
        <f t="shared" ref="R7:R22" si="3">((K7-D7)/D7)</f>
        <v>-1.5186240403400816E-2</v>
      </c>
      <c r="S7" s="86">
        <f t="shared" ref="S7:S22" si="4">((N7-G7)/G7)</f>
        <v>-1.5176587011891434E-2</v>
      </c>
      <c r="T7" s="86">
        <f t="shared" ref="T7:T22" si="5">((O7-H7)/H7)</f>
        <v>2.7624309392265192E-3</v>
      </c>
      <c r="U7" s="87">
        <f t="shared" ref="U7:U22" si="6">P7-I7</f>
        <v>-1.8466E-2</v>
      </c>
      <c r="V7" s="89">
        <f t="shared" ref="V7:V22" si="7">Q7-J7</f>
        <v>-1.8999999999999961E-2</v>
      </c>
    </row>
    <row r="8" spans="1:22" x14ac:dyDescent="0.25">
      <c r="A8" s="81">
        <v>3</v>
      </c>
      <c r="B8" s="62" t="s">
        <v>20</v>
      </c>
      <c r="C8" s="63" t="s">
        <v>21</v>
      </c>
      <c r="D8" s="4">
        <v>3232077153.3400002</v>
      </c>
      <c r="E8" s="3">
        <f t="shared" si="0"/>
        <v>0.14462943355310542</v>
      </c>
      <c r="F8" s="4">
        <v>29.007899999999999</v>
      </c>
      <c r="G8" s="4">
        <v>29.8825</v>
      </c>
      <c r="H8" s="64">
        <v>0</v>
      </c>
      <c r="I8" s="6">
        <v>-0.50970000000000004</v>
      </c>
      <c r="J8" s="6">
        <v>0.41439999999999999</v>
      </c>
      <c r="K8" s="4">
        <v>3210732192.4099998</v>
      </c>
      <c r="L8" s="3">
        <f t="shared" si="2"/>
        <v>0.14321139717929243</v>
      </c>
      <c r="M8" s="4">
        <v>28.777999999999999</v>
      </c>
      <c r="N8" s="4">
        <v>29.645700000000001</v>
      </c>
      <c r="O8" s="64">
        <v>6328</v>
      </c>
      <c r="P8" s="6">
        <v>-0.41320000000000001</v>
      </c>
      <c r="Q8" s="6">
        <v>0.39040000000000002</v>
      </c>
      <c r="R8" s="86">
        <f t="shared" si="3"/>
        <v>-6.6041000623832911E-3</v>
      </c>
      <c r="S8" s="86">
        <f t="shared" si="4"/>
        <v>-7.924370450932779E-3</v>
      </c>
      <c r="T8" s="86" t="e">
        <f t="shared" si="5"/>
        <v>#DIV/0!</v>
      </c>
      <c r="U8" s="87">
        <f t="shared" si="6"/>
        <v>9.650000000000003E-2</v>
      </c>
      <c r="V8" s="89">
        <f t="shared" si="7"/>
        <v>-2.3999999999999966E-2</v>
      </c>
    </row>
    <row r="9" spans="1:22" x14ac:dyDescent="0.25">
      <c r="A9" s="81">
        <v>4</v>
      </c>
      <c r="B9" s="62" t="s">
        <v>22</v>
      </c>
      <c r="C9" s="63" t="s">
        <v>23</v>
      </c>
      <c r="D9" s="4">
        <v>404477133.60000002</v>
      </c>
      <c r="E9" s="3">
        <f t="shared" si="0"/>
        <v>1.8099598475642541E-2</v>
      </c>
      <c r="F9" s="4">
        <v>179.95</v>
      </c>
      <c r="G9" s="4">
        <v>179.95</v>
      </c>
      <c r="H9" s="60">
        <v>1630</v>
      </c>
      <c r="I9" s="5">
        <v>-2.12E-2</v>
      </c>
      <c r="J9" s="5">
        <v>0.31780000000000003</v>
      </c>
      <c r="K9" s="4">
        <v>415418694.08999997</v>
      </c>
      <c r="L9" s="3">
        <f t="shared" si="2"/>
        <v>1.8529322294666473E-2</v>
      </c>
      <c r="M9" s="4">
        <v>180.2</v>
      </c>
      <c r="N9" s="4">
        <v>180.2</v>
      </c>
      <c r="O9" s="60">
        <v>1647</v>
      </c>
      <c r="P9" s="5">
        <v>1.4E-3</v>
      </c>
      <c r="Q9" s="5">
        <v>0.3196</v>
      </c>
      <c r="R9" s="86">
        <f t="shared" si="3"/>
        <v>2.7051122501328836E-2</v>
      </c>
      <c r="S9" s="86">
        <f t="shared" si="4"/>
        <v>1.3892747985551543E-3</v>
      </c>
      <c r="T9" s="86">
        <f t="shared" si="5"/>
        <v>1.0429447852760737E-2</v>
      </c>
      <c r="U9" s="87">
        <f t="shared" si="6"/>
        <v>2.2599999999999999E-2</v>
      </c>
      <c r="V9" s="89">
        <f t="shared" si="7"/>
        <v>1.7999999999999683E-3</v>
      </c>
    </row>
    <row r="10" spans="1:22" x14ac:dyDescent="0.25">
      <c r="A10" s="81">
        <v>5</v>
      </c>
      <c r="B10" s="62" t="s">
        <v>24</v>
      </c>
      <c r="C10" s="63" t="s">
        <v>25</v>
      </c>
      <c r="D10" s="7">
        <v>122610873.79000001</v>
      </c>
      <c r="E10" s="3">
        <f t="shared" si="0"/>
        <v>5.4866082653298445E-3</v>
      </c>
      <c r="F10" s="4">
        <v>127.9221</v>
      </c>
      <c r="G10" s="4">
        <v>128.51669999999999</v>
      </c>
      <c r="H10" s="64">
        <v>48</v>
      </c>
      <c r="I10" s="6">
        <v>-2.4840000000000001E-3</v>
      </c>
      <c r="J10" s="6">
        <v>0.2175</v>
      </c>
      <c r="K10" s="7">
        <v>122216701.79000001</v>
      </c>
      <c r="L10" s="3">
        <f t="shared" si="2"/>
        <v>5.4513499018593262E-3</v>
      </c>
      <c r="M10" s="4">
        <v>127.4948</v>
      </c>
      <c r="N10" s="4">
        <v>128.08529999999999</v>
      </c>
      <c r="O10" s="64">
        <v>48</v>
      </c>
      <c r="P10" s="6">
        <v>-5.0639999999999999E-3</v>
      </c>
      <c r="Q10" s="6">
        <v>0.2135</v>
      </c>
      <c r="R10" s="86">
        <f t="shared" si="3"/>
        <v>-3.2148209030392555E-3</v>
      </c>
      <c r="S10" s="86">
        <f t="shared" si="4"/>
        <v>-3.3567621951076901E-3</v>
      </c>
      <c r="T10" s="86">
        <f t="shared" si="5"/>
        <v>0</v>
      </c>
      <c r="U10" s="87">
        <f t="shared" si="6"/>
        <v>-2.5799999999999998E-3</v>
      </c>
      <c r="V10" s="89">
        <f t="shared" si="7"/>
        <v>-4.0000000000000036E-3</v>
      </c>
    </row>
    <row r="11" spans="1:22" x14ac:dyDescent="0.25">
      <c r="A11" s="81">
        <v>6</v>
      </c>
      <c r="B11" s="62" t="s">
        <v>26</v>
      </c>
      <c r="C11" s="63" t="s">
        <v>27</v>
      </c>
      <c r="D11" s="4">
        <v>680244424.25</v>
      </c>
      <c r="E11" s="3">
        <f t="shared" si="0"/>
        <v>3.0439671174082993E-2</v>
      </c>
      <c r="F11" s="4">
        <v>247.98</v>
      </c>
      <c r="G11" s="4">
        <v>251.31</v>
      </c>
      <c r="H11" s="64">
        <v>1553</v>
      </c>
      <c r="I11" s="6">
        <v>-0.01</v>
      </c>
      <c r="J11" s="6">
        <v>0.49740000000000001</v>
      </c>
      <c r="K11" s="4">
        <v>691903794.12</v>
      </c>
      <c r="L11" s="3">
        <f t="shared" si="2"/>
        <v>3.0861654953290303E-2</v>
      </c>
      <c r="M11" s="4">
        <v>248.95</v>
      </c>
      <c r="N11" s="4">
        <v>252.26</v>
      </c>
      <c r="O11" s="64">
        <v>1557</v>
      </c>
      <c r="P11" s="6">
        <v>3.8E-3</v>
      </c>
      <c r="Q11" s="6">
        <v>0.50329999999999997</v>
      </c>
      <c r="R11" s="86">
        <f t="shared" si="3"/>
        <v>1.7139971243211559E-2</v>
      </c>
      <c r="S11" s="86">
        <f t="shared" si="4"/>
        <v>3.7801917949941851E-3</v>
      </c>
      <c r="T11" s="86">
        <f t="shared" si="5"/>
        <v>2.5756600128783E-3</v>
      </c>
      <c r="U11" s="87">
        <f t="shared" si="6"/>
        <v>1.38E-2</v>
      </c>
      <c r="V11" s="89">
        <f t="shared" si="7"/>
        <v>5.8999999999999608E-3</v>
      </c>
    </row>
    <row r="12" spans="1:22" x14ac:dyDescent="0.25">
      <c r="A12" s="81">
        <v>7</v>
      </c>
      <c r="B12" s="62" t="s">
        <v>28</v>
      </c>
      <c r="C12" s="63" t="s">
        <v>29</v>
      </c>
      <c r="D12" s="2">
        <v>315717889.75</v>
      </c>
      <c r="E12" s="3">
        <f t="shared" si="0"/>
        <v>1.4127787608639687E-2</v>
      </c>
      <c r="F12" s="4">
        <v>158.81</v>
      </c>
      <c r="G12" s="4">
        <v>162.91</v>
      </c>
      <c r="H12" s="60">
        <v>0</v>
      </c>
      <c r="I12" s="5">
        <v>-1.6400000000000001E-2</v>
      </c>
      <c r="J12" s="5">
        <v>0.26329999999999998</v>
      </c>
      <c r="K12" s="2">
        <v>313777571.44</v>
      </c>
      <c r="L12" s="3">
        <f t="shared" si="2"/>
        <v>1.3995724874119118E-2</v>
      </c>
      <c r="M12" s="4">
        <v>157.83000000000001</v>
      </c>
      <c r="N12" s="4">
        <v>161.88</v>
      </c>
      <c r="O12" s="60">
        <v>0</v>
      </c>
      <c r="P12" s="5">
        <v>-6.1700000000000001E-3</v>
      </c>
      <c r="Q12" s="5">
        <v>0.25550800000000001</v>
      </c>
      <c r="R12" s="86">
        <f t="shared" si="3"/>
        <v>-6.1457344451923074E-3</v>
      </c>
      <c r="S12" s="86">
        <f t="shared" si="4"/>
        <v>-6.322509360996877E-3</v>
      </c>
      <c r="T12" s="86" t="e">
        <f t="shared" si="5"/>
        <v>#DIV/0!</v>
      </c>
      <c r="U12" s="87">
        <f t="shared" si="6"/>
        <v>1.0230000000000001E-2</v>
      </c>
      <c r="V12" s="89">
        <f t="shared" si="7"/>
        <v>-7.7919999999999656E-3</v>
      </c>
    </row>
    <row r="13" spans="1:22" x14ac:dyDescent="0.25">
      <c r="A13" s="81">
        <v>8</v>
      </c>
      <c r="B13" s="62" t="s">
        <v>30</v>
      </c>
      <c r="C13" s="63" t="s">
        <v>31</v>
      </c>
      <c r="D13" s="7">
        <v>34174907.740000002</v>
      </c>
      <c r="E13" s="3">
        <f t="shared" si="0"/>
        <v>1.5292634778405886E-3</v>
      </c>
      <c r="F13" s="4">
        <v>132.47999999999999</v>
      </c>
      <c r="G13" s="4">
        <v>137.29</v>
      </c>
      <c r="H13" s="60">
        <v>2</v>
      </c>
      <c r="I13" s="5">
        <v>-1.1900000000000001E-2</v>
      </c>
      <c r="J13" s="5">
        <v>0.36709999999999998</v>
      </c>
      <c r="K13" s="7">
        <v>34174907.740000002</v>
      </c>
      <c r="L13" s="3">
        <f t="shared" si="2"/>
        <v>1.5243365041433632E-3</v>
      </c>
      <c r="M13" s="4">
        <v>132.47999999999999</v>
      </c>
      <c r="N13" s="4">
        <v>137.29</v>
      </c>
      <c r="O13" s="60">
        <v>2</v>
      </c>
      <c r="P13" s="5">
        <v>-1.1900000000000001E-2</v>
      </c>
      <c r="Q13" s="5">
        <v>0.36709999999999998</v>
      </c>
      <c r="R13" s="86">
        <f t="shared" si="3"/>
        <v>0</v>
      </c>
      <c r="S13" s="86">
        <f t="shared" si="4"/>
        <v>0</v>
      </c>
      <c r="T13" s="86">
        <f t="shared" si="5"/>
        <v>0</v>
      </c>
      <c r="U13" s="87">
        <f t="shared" si="6"/>
        <v>0</v>
      </c>
      <c r="V13" s="89">
        <f t="shared" si="7"/>
        <v>0</v>
      </c>
    </row>
    <row r="14" spans="1:22" ht="12" customHeight="1" x14ac:dyDescent="0.25">
      <c r="A14" s="81">
        <v>9</v>
      </c>
      <c r="B14" s="62" t="s">
        <v>32</v>
      </c>
      <c r="C14" s="63" t="s">
        <v>33</v>
      </c>
      <c r="D14" s="2">
        <v>514917259.23000002</v>
      </c>
      <c r="E14" s="3">
        <f t="shared" si="0"/>
        <v>2.3041588426251994E-2</v>
      </c>
      <c r="F14" s="4">
        <v>1.6526000000000001</v>
      </c>
      <c r="G14" s="4">
        <v>1.7037</v>
      </c>
      <c r="H14" s="60">
        <v>320</v>
      </c>
      <c r="I14" s="5">
        <v>-9.3513967150220534E-3</v>
      </c>
      <c r="J14" s="5">
        <v>0.33177532436135082</v>
      </c>
      <c r="K14" s="2">
        <v>526127214.07669997</v>
      </c>
      <c r="L14" s="3">
        <f t="shared" si="2"/>
        <v>2.3467361619287395E-2</v>
      </c>
      <c r="M14" s="4">
        <v>1.6526000000000001</v>
      </c>
      <c r="N14" s="4">
        <v>1.7037</v>
      </c>
      <c r="O14" s="60">
        <v>350</v>
      </c>
      <c r="P14" s="5">
        <v>-2.4204284158302336E-4</v>
      </c>
      <c r="Q14" s="5">
        <v>0.33145297767749216</v>
      </c>
      <c r="R14" s="86">
        <f t="shared" si="3"/>
        <v>2.1770400284238212E-2</v>
      </c>
      <c r="S14" s="86">
        <f t="shared" si="4"/>
        <v>0</v>
      </c>
      <c r="T14" s="86">
        <f t="shared" si="5"/>
        <v>9.375E-2</v>
      </c>
      <c r="U14" s="87">
        <f t="shared" si="6"/>
        <v>9.10935387343903E-3</v>
      </c>
      <c r="V14" s="89">
        <f t="shared" si="7"/>
        <v>-3.2234668385866527E-4</v>
      </c>
    </row>
    <row r="15" spans="1:22" x14ac:dyDescent="0.25">
      <c r="A15" s="81">
        <v>10</v>
      </c>
      <c r="B15" s="62" t="s">
        <v>34</v>
      </c>
      <c r="C15" s="63" t="s">
        <v>35</v>
      </c>
      <c r="D15" s="2">
        <v>1261928926.47</v>
      </c>
      <c r="E15" s="3">
        <f t="shared" si="0"/>
        <v>5.6468969384294604E-2</v>
      </c>
      <c r="F15" s="4">
        <v>2.5388000000000002</v>
      </c>
      <c r="G15" s="4">
        <v>2.5916000000000001</v>
      </c>
      <c r="H15" s="60">
        <v>3674</v>
      </c>
      <c r="I15" s="5">
        <v>0.1938</v>
      </c>
      <c r="J15" s="5">
        <v>0.28349999999999997</v>
      </c>
      <c r="K15" s="2">
        <v>1252108660.29</v>
      </c>
      <c r="L15" s="3">
        <f t="shared" si="2"/>
        <v>5.5849015088931107E-2</v>
      </c>
      <c r="M15" s="4">
        <v>2.52</v>
      </c>
      <c r="N15" s="4">
        <v>2.57</v>
      </c>
      <c r="O15" s="60">
        <v>3674</v>
      </c>
      <c r="P15" s="5">
        <v>0.18440000000000001</v>
      </c>
      <c r="Q15" s="5">
        <v>0.27350000000000002</v>
      </c>
      <c r="R15" s="86">
        <f t="shared" si="3"/>
        <v>-7.7819487088471341E-3</v>
      </c>
      <c r="S15" s="86">
        <f t="shared" si="4"/>
        <v>-8.3346195400525874E-3</v>
      </c>
      <c r="T15" s="86">
        <f t="shared" si="5"/>
        <v>0</v>
      </c>
      <c r="U15" s="87">
        <f t="shared" si="6"/>
        <v>-9.3999999999999917E-3</v>
      </c>
      <c r="V15" s="89">
        <f t="shared" si="7"/>
        <v>-9.9999999999999534E-3</v>
      </c>
    </row>
    <row r="16" spans="1:22" x14ac:dyDescent="0.25">
      <c r="A16" s="81">
        <v>11</v>
      </c>
      <c r="B16" s="62" t="s">
        <v>36</v>
      </c>
      <c r="C16" s="63" t="s">
        <v>37</v>
      </c>
      <c r="D16" s="4">
        <v>427053364.63</v>
      </c>
      <c r="E16" s="3">
        <f t="shared" si="0"/>
        <v>1.9109842770788379E-2</v>
      </c>
      <c r="F16" s="4">
        <v>16.174171999999999</v>
      </c>
      <c r="G16" s="4">
        <v>16.279575000000001</v>
      </c>
      <c r="H16" s="60">
        <v>238</v>
      </c>
      <c r="I16" s="5">
        <v>-1.3397196489429608E-2</v>
      </c>
      <c r="J16" s="5">
        <v>0.38873208914189594</v>
      </c>
      <c r="K16" s="4">
        <v>426580571.62</v>
      </c>
      <c r="L16" s="3">
        <f t="shared" si="2"/>
        <v>1.9027186327049566E-2</v>
      </c>
      <c r="M16" s="4">
        <v>16.137080000000001</v>
      </c>
      <c r="N16" s="4">
        <v>16.248656</v>
      </c>
      <c r="O16" s="60">
        <v>238</v>
      </c>
      <c r="P16" s="5">
        <v>-1.5659758751523256E-2</v>
      </c>
      <c r="Q16" s="5">
        <v>0.38573276837985593</v>
      </c>
      <c r="R16" s="86">
        <f t="shared" si="3"/>
        <v>-1.1071052218722581E-3</v>
      </c>
      <c r="S16" s="86">
        <f t="shared" si="4"/>
        <v>-1.8992510553869377E-3</v>
      </c>
      <c r="T16" s="86">
        <f t="shared" si="5"/>
        <v>0</v>
      </c>
      <c r="U16" s="87">
        <f t="shared" si="6"/>
        <v>-2.2625622620936481E-3</v>
      </c>
      <c r="V16" s="89">
        <f t="shared" si="7"/>
        <v>-2.9993207620400142E-3</v>
      </c>
    </row>
    <row r="17" spans="1:22" x14ac:dyDescent="0.25">
      <c r="A17" s="81">
        <v>12</v>
      </c>
      <c r="B17" s="62" t="s">
        <v>38</v>
      </c>
      <c r="C17" s="63" t="s">
        <v>39</v>
      </c>
      <c r="D17" s="4">
        <v>324900830.47000003</v>
      </c>
      <c r="E17" s="3">
        <f t="shared" si="0"/>
        <v>1.4538707104578353E-2</v>
      </c>
      <c r="F17" s="4">
        <v>1.7992649999999999</v>
      </c>
      <c r="G17" s="4">
        <v>1.8228439999999999</v>
      </c>
      <c r="H17" s="60">
        <v>17</v>
      </c>
      <c r="I17" s="5">
        <v>7.3005939266213298E-4</v>
      </c>
      <c r="J17" s="5">
        <v>0.26647167832167801</v>
      </c>
      <c r="K17" s="4">
        <v>343781262.39999998</v>
      </c>
      <c r="L17" s="3">
        <f t="shared" si="2"/>
        <v>1.5334008556911123E-2</v>
      </c>
      <c r="M17" s="4">
        <v>1.91</v>
      </c>
      <c r="N17" s="4">
        <v>1.93</v>
      </c>
      <c r="O17" s="60">
        <v>17</v>
      </c>
      <c r="P17" s="5">
        <v>8.9999999999999998E-4</v>
      </c>
      <c r="Q17" s="5">
        <v>0.34150000000000003</v>
      </c>
      <c r="R17" s="86">
        <f t="shared" si="3"/>
        <v>5.8111368637278032E-2</v>
      </c>
      <c r="S17" s="86">
        <f t="shared" si="4"/>
        <v>5.8785063340582096E-2</v>
      </c>
      <c r="T17" s="86">
        <f t="shared" si="5"/>
        <v>0</v>
      </c>
      <c r="U17" s="87">
        <f t="shared" si="6"/>
        <v>1.69940607337867E-4</v>
      </c>
      <c r="V17" s="89">
        <f t="shared" si="7"/>
        <v>7.5028321678322019E-2</v>
      </c>
    </row>
    <row r="18" spans="1:22" x14ac:dyDescent="0.25">
      <c r="A18" s="81">
        <v>13</v>
      </c>
      <c r="B18" s="62" t="s">
        <v>40</v>
      </c>
      <c r="C18" s="63" t="s">
        <v>41</v>
      </c>
      <c r="D18" s="2">
        <v>991628395.82000005</v>
      </c>
      <c r="E18" s="3">
        <f t="shared" si="0"/>
        <v>4.4373524015171986E-2</v>
      </c>
      <c r="F18" s="4">
        <v>23.79</v>
      </c>
      <c r="G18" s="4">
        <v>24.27</v>
      </c>
      <c r="H18" s="60">
        <v>8863</v>
      </c>
      <c r="I18" s="5">
        <v>-1.03E-2</v>
      </c>
      <c r="J18" s="5">
        <v>0.38850000000000001</v>
      </c>
      <c r="K18" s="2">
        <v>991628395.82000005</v>
      </c>
      <c r="L18" s="3">
        <f t="shared" si="2"/>
        <v>4.4230561609514676E-2</v>
      </c>
      <c r="M18" s="4">
        <v>23.98</v>
      </c>
      <c r="N18" s="4">
        <v>24.46</v>
      </c>
      <c r="O18" s="60">
        <v>8863</v>
      </c>
      <c r="P18" s="5">
        <v>1.8E-3</v>
      </c>
      <c r="Q18" s="5">
        <v>0.39240000000000003</v>
      </c>
      <c r="R18" s="86">
        <f t="shared" si="3"/>
        <v>0</v>
      </c>
      <c r="S18" s="86">
        <f t="shared" si="4"/>
        <v>7.8285949732180178E-3</v>
      </c>
      <c r="T18" s="86">
        <f t="shared" si="5"/>
        <v>0</v>
      </c>
      <c r="U18" s="87">
        <f t="shared" si="6"/>
        <v>1.21E-2</v>
      </c>
      <c r="V18" s="89">
        <f t="shared" si="7"/>
        <v>3.9000000000000146E-3</v>
      </c>
    </row>
    <row r="19" spans="1:22" ht="12.75" customHeight="1" x14ac:dyDescent="0.25">
      <c r="A19" s="81">
        <v>14</v>
      </c>
      <c r="B19" s="62" t="s">
        <v>42</v>
      </c>
      <c r="C19" s="63" t="s">
        <v>43</v>
      </c>
      <c r="D19" s="2">
        <v>496730926.04000002</v>
      </c>
      <c r="E19" s="3">
        <f t="shared" si="0"/>
        <v>2.2227783884191596E-2</v>
      </c>
      <c r="F19" s="4">
        <v>4847.87</v>
      </c>
      <c r="G19" s="4">
        <v>4908.04</v>
      </c>
      <c r="H19" s="60">
        <v>1136</v>
      </c>
      <c r="I19" s="5">
        <v>-8.6999999999999994E-3</v>
      </c>
      <c r="J19" s="5">
        <v>0.49890000000000001</v>
      </c>
      <c r="K19" s="2">
        <v>498996960.24000001</v>
      </c>
      <c r="L19" s="3">
        <f t="shared" si="2"/>
        <v>2.225724463507817E-2</v>
      </c>
      <c r="M19" s="4">
        <v>4870.01</v>
      </c>
      <c r="N19" s="4">
        <v>4930.41</v>
      </c>
      <c r="O19" s="60">
        <v>1135</v>
      </c>
      <c r="P19" s="5">
        <v>4.5999999999999999E-3</v>
      </c>
      <c r="Q19" s="5">
        <v>0.50580000000000003</v>
      </c>
      <c r="R19" s="86">
        <f t="shared" si="3"/>
        <v>4.5618947426227137E-3</v>
      </c>
      <c r="S19" s="86">
        <f t="shared" si="4"/>
        <v>4.5578275645675034E-3</v>
      </c>
      <c r="T19" s="86">
        <f t="shared" si="5"/>
        <v>-8.8028169014084509E-4</v>
      </c>
      <c r="U19" s="87">
        <f t="shared" si="6"/>
        <v>1.3299999999999999E-2</v>
      </c>
      <c r="V19" s="89">
        <f t="shared" si="7"/>
        <v>6.9000000000000172E-3</v>
      </c>
    </row>
    <row r="20" spans="1:22" x14ac:dyDescent="0.25">
      <c r="A20" s="81">
        <v>15</v>
      </c>
      <c r="B20" s="62" t="s">
        <v>44</v>
      </c>
      <c r="C20" s="63" t="s">
        <v>43</v>
      </c>
      <c r="D20" s="4">
        <v>9869848772.1200008</v>
      </c>
      <c r="E20" s="3">
        <f t="shared" si="0"/>
        <v>0.44165735205033491</v>
      </c>
      <c r="F20" s="4">
        <v>16844.89</v>
      </c>
      <c r="G20" s="4">
        <v>17052.39</v>
      </c>
      <c r="H20" s="60">
        <v>29700</v>
      </c>
      <c r="I20" s="5">
        <v>4.1999999999999997E-3</v>
      </c>
      <c r="J20" s="5">
        <v>0.37830000000000003</v>
      </c>
      <c r="K20" s="4">
        <v>9926171051.3299999</v>
      </c>
      <c r="L20" s="3">
        <f t="shared" si="2"/>
        <v>0.44274661968446394</v>
      </c>
      <c r="M20" s="4">
        <v>16934.27</v>
      </c>
      <c r="N20" s="4">
        <v>17142.55</v>
      </c>
      <c r="O20" s="60">
        <v>29611</v>
      </c>
      <c r="P20" s="5">
        <v>4.1999999999999997E-3</v>
      </c>
      <c r="Q20" s="5">
        <v>0.3856</v>
      </c>
      <c r="R20" s="86">
        <f t="shared" si="3"/>
        <v>5.7064987022999039E-3</v>
      </c>
      <c r="S20" s="86">
        <f t="shared" si="4"/>
        <v>5.2872353963286005E-3</v>
      </c>
      <c r="T20" s="86">
        <f t="shared" si="5"/>
        <v>-2.9966329966329966E-3</v>
      </c>
      <c r="U20" s="87">
        <f t="shared" si="6"/>
        <v>0</v>
      </c>
      <c r="V20" s="89">
        <f t="shared" si="7"/>
        <v>7.2999999999999732E-3</v>
      </c>
    </row>
    <row r="21" spans="1:22" x14ac:dyDescent="0.25">
      <c r="A21" s="81">
        <v>16</v>
      </c>
      <c r="B21" s="63" t="s">
        <v>45</v>
      </c>
      <c r="C21" s="63" t="s">
        <v>46</v>
      </c>
      <c r="D21" s="4">
        <v>2493868791.1500001</v>
      </c>
      <c r="E21" s="3">
        <f t="shared" si="0"/>
        <v>0.11159598410175997</v>
      </c>
      <c r="F21" s="4">
        <v>1.234</v>
      </c>
      <c r="G21" s="8">
        <v>1.2459</v>
      </c>
      <c r="H21" s="60">
        <v>3394</v>
      </c>
      <c r="I21" s="5">
        <v>-1.8499999999999999E-2</v>
      </c>
      <c r="J21" s="5">
        <v>0.35260000000000002</v>
      </c>
      <c r="K21" s="4">
        <v>2486921306.1500001</v>
      </c>
      <c r="L21" s="3">
        <f t="shared" si="2"/>
        <v>0.11092655929716748</v>
      </c>
      <c r="M21" s="4">
        <v>1.2305999999999999</v>
      </c>
      <c r="N21" s="8">
        <v>1.2424999999999999</v>
      </c>
      <c r="O21" s="60">
        <v>3400</v>
      </c>
      <c r="P21" s="5" t="s">
        <v>241</v>
      </c>
      <c r="Q21" s="5" t="s">
        <v>242</v>
      </c>
      <c r="R21" s="86">
        <f t="shared" si="3"/>
        <v>-2.7858261928833472E-3</v>
      </c>
      <c r="S21" s="86">
        <f t="shared" si="4"/>
        <v>-2.7289509591460546E-3</v>
      </c>
      <c r="T21" s="86">
        <f t="shared" si="5"/>
        <v>1.7678255745433118E-3</v>
      </c>
      <c r="U21" s="87" t="e">
        <f t="shared" si="6"/>
        <v>#VALUE!</v>
      </c>
      <c r="V21" s="89" t="e">
        <f t="shared" si="7"/>
        <v>#VALUE!</v>
      </c>
    </row>
    <row r="22" spans="1:22" x14ac:dyDescent="0.25">
      <c r="A22" s="81"/>
      <c r="B22" s="19"/>
      <c r="C22" s="77" t="s">
        <v>47</v>
      </c>
      <c r="D22" s="58">
        <f>SUM(D6:D21)</f>
        <v>22347298706.340004</v>
      </c>
      <c r="E22" s="126">
        <f>(D22/$D$170)</f>
        <v>1.1530774712859149E-2</v>
      </c>
      <c r="F22" s="30"/>
      <c r="G22" s="31"/>
      <c r="H22" s="58">
        <f>SUM(H6:H21)</f>
        <v>52727</v>
      </c>
      <c r="I22" s="28"/>
      <c r="J22" s="60">
        <v>0</v>
      </c>
      <c r="K22" s="58">
        <f>SUM(K6:K21)</f>
        <v>22419529839.446701</v>
      </c>
      <c r="L22" s="126">
        <f>(K22/$K$170)</f>
        <v>1.1585914619574322E-2</v>
      </c>
      <c r="M22" s="30"/>
      <c r="N22" s="31"/>
      <c r="O22" s="58">
        <f>SUM(O6:O21)</f>
        <v>59023</v>
      </c>
      <c r="P22" s="28"/>
      <c r="Q22" s="69"/>
      <c r="R22" s="86">
        <f t="shared" si="3"/>
        <v>3.2322086913441966E-3</v>
      </c>
      <c r="S22" s="86" t="e">
        <f t="shared" si="4"/>
        <v>#DIV/0!</v>
      </c>
      <c r="T22" s="86">
        <f t="shared" si="5"/>
        <v>0.11940751417679747</v>
      </c>
      <c r="U22" s="87">
        <f t="shared" si="6"/>
        <v>0</v>
      </c>
      <c r="V22" s="89">
        <f t="shared" si="7"/>
        <v>0</v>
      </c>
    </row>
    <row r="23" spans="1:22" ht="9" customHeight="1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</row>
    <row r="24" spans="1:22" ht="15" customHeight="1" x14ac:dyDescent="0.25">
      <c r="A24" s="129" t="s">
        <v>48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</row>
    <row r="25" spans="1:22" x14ac:dyDescent="0.25">
      <c r="A25" s="81">
        <v>17</v>
      </c>
      <c r="B25" s="62" t="s">
        <v>49</v>
      </c>
      <c r="C25" s="63" t="s">
        <v>17</v>
      </c>
      <c r="D25" s="9">
        <v>825514511.78999996</v>
      </c>
      <c r="E25" s="3">
        <f>(D25/$K$54)</f>
        <v>9.6230497113081041E-4</v>
      </c>
      <c r="F25" s="8">
        <v>100</v>
      </c>
      <c r="G25" s="8">
        <v>100</v>
      </c>
      <c r="H25" s="60">
        <v>947</v>
      </c>
      <c r="I25" s="5">
        <v>0.10539999999999999</v>
      </c>
      <c r="J25" s="5">
        <v>0.10539999999999999</v>
      </c>
      <c r="K25" s="9">
        <v>837031257.07000005</v>
      </c>
      <c r="L25" s="3">
        <f t="shared" ref="L25:L53" si="8">(K25/$K$54)</f>
        <v>9.7573007883747015E-4</v>
      </c>
      <c r="M25" s="8">
        <v>100</v>
      </c>
      <c r="N25" s="8">
        <v>100</v>
      </c>
      <c r="O25" s="60">
        <v>947</v>
      </c>
      <c r="P25" s="5">
        <v>0.104</v>
      </c>
      <c r="Q25" s="5">
        <v>0.104</v>
      </c>
      <c r="R25" s="86">
        <f t="shared" ref="R25" si="9">((K25-D25)/D25)</f>
        <v>1.3950990704000851E-2</v>
      </c>
      <c r="S25" s="86">
        <f t="shared" ref="S25" si="10">((N25-G25)/G25)</f>
        <v>0</v>
      </c>
      <c r="T25" s="86">
        <f t="shared" ref="T25" si="11">((O25-H25)/H25)</f>
        <v>0</v>
      </c>
      <c r="U25" s="87">
        <f t="shared" ref="U25" si="12">P25-I25</f>
        <v>-1.3999999999999985E-3</v>
      </c>
      <c r="V25" s="89">
        <f t="shared" ref="V25" si="13">Q25-J25</f>
        <v>-1.3999999999999985E-3</v>
      </c>
    </row>
    <row r="26" spans="1:22" x14ac:dyDescent="0.25">
      <c r="A26" s="81">
        <v>18</v>
      </c>
      <c r="B26" s="62" t="s">
        <v>50</v>
      </c>
      <c r="C26" s="63" t="s">
        <v>51</v>
      </c>
      <c r="D26" s="9">
        <v>3693312357.5799999</v>
      </c>
      <c r="E26" s="3">
        <f t="shared" ref="E26:E53" si="14">(D26/$K$54)</f>
        <v>4.3053063160956298E-3</v>
      </c>
      <c r="F26" s="8">
        <v>100</v>
      </c>
      <c r="G26" s="8">
        <v>100</v>
      </c>
      <c r="H26" s="60">
        <v>1058</v>
      </c>
      <c r="I26" s="5">
        <v>0.1166</v>
      </c>
      <c r="J26" s="5">
        <v>0.1166</v>
      </c>
      <c r="K26" s="9">
        <v>3748227319.7399998</v>
      </c>
      <c r="L26" s="3">
        <f t="shared" si="8"/>
        <v>4.3693208674103513E-3</v>
      </c>
      <c r="M26" s="8">
        <v>100</v>
      </c>
      <c r="N26" s="8">
        <v>100</v>
      </c>
      <c r="O26" s="60">
        <v>1073</v>
      </c>
      <c r="P26" s="5">
        <v>0.10920000000000001</v>
      </c>
      <c r="Q26" s="5">
        <v>0.10920000000000001</v>
      </c>
      <c r="R26" s="86">
        <f t="shared" ref="R26:R54" si="15">((K26-D26)/D26)</f>
        <v>1.4868756509937393E-2</v>
      </c>
      <c r="S26" s="86">
        <f t="shared" ref="S26:S54" si="16">((N26-G26)/G26)</f>
        <v>0</v>
      </c>
      <c r="T26" s="86">
        <f t="shared" ref="T26:T54" si="17">((O26-H26)/H26)</f>
        <v>1.4177693761814745E-2</v>
      </c>
      <c r="U26" s="87">
        <f t="shared" ref="U26:U54" si="18">P26-I26</f>
        <v>-7.3999999999999899E-3</v>
      </c>
      <c r="V26" s="89">
        <f t="shared" ref="V26:V54" si="19">Q26-J26</f>
        <v>-7.3999999999999899E-3</v>
      </c>
    </row>
    <row r="27" spans="1:22" x14ac:dyDescent="0.25">
      <c r="A27" s="81">
        <v>19</v>
      </c>
      <c r="B27" s="62" t="s">
        <v>52</v>
      </c>
      <c r="C27" s="63" t="s">
        <v>19</v>
      </c>
      <c r="D27" s="9">
        <v>362340919.49000001</v>
      </c>
      <c r="E27" s="3">
        <f t="shared" si="14"/>
        <v>4.2238199703270146E-4</v>
      </c>
      <c r="F27" s="8">
        <v>100</v>
      </c>
      <c r="G27" s="8">
        <v>100</v>
      </c>
      <c r="H27" s="60">
        <v>1295</v>
      </c>
      <c r="I27" s="5">
        <v>9.3899999999999997E-2</v>
      </c>
      <c r="J27" s="5">
        <v>9.3899999999999997E-2</v>
      </c>
      <c r="K27" s="9">
        <v>380885848.75</v>
      </c>
      <c r="L27" s="3">
        <f t="shared" si="8"/>
        <v>4.4399988183217178E-4</v>
      </c>
      <c r="M27" s="8">
        <v>100</v>
      </c>
      <c r="N27" s="8">
        <v>100</v>
      </c>
      <c r="O27" s="60">
        <v>1300</v>
      </c>
      <c r="P27" s="5">
        <v>8.4199999999999997E-2</v>
      </c>
      <c r="Q27" s="5">
        <v>8.4199999999999997E-2</v>
      </c>
      <c r="R27" s="86">
        <f t="shared" si="15"/>
        <v>5.1180885907399699E-2</v>
      </c>
      <c r="S27" s="86">
        <f t="shared" si="16"/>
        <v>0</v>
      </c>
      <c r="T27" s="86">
        <f t="shared" si="17"/>
        <v>3.8610038610038611E-3</v>
      </c>
      <c r="U27" s="87">
        <f t="shared" si="18"/>
        <v>-9.7000000000000003E-3</v>
      </c>
      <c r="V27" s="89">
        <f t="shared" si="19"/>
        <v>-9.7000000000000003E-3</v>
      </c>
    </row>
    <row r="28" spans="1:22" x14ac:dyDescent="0.25">
      <c r="A28" s="81">
        <v>20</v>
      </c>
      <c r="B28" s="62" t="s">
        <v>53</v>
      </c>
      <c r="C28" s="63" t="s">
        <v>21</v>
      </c>
      <c r="D28" s="9">
        <v>80071215065.25</v>
      </c>
      <c r="E28" s="3">
        <f t="shared" si="14"/>
        <v>9.3339277748972591E-2</v>
      </c>
      <c r="F28" s="8">
        <v>1</v>
      </c>
      <c r="G28" s="8">
        <v>1</v>
      </c>
      <c r="H28" s="60">
        <v>0</v>
      </c>
      <c r="I28" s="5">
        <v>8.9899999999999994E-2</v>
      </c>
      <c r="J28" s="5">
        <v>8.9899999999999994E-2</v>
      </c>
      <c r="K28" s="9">
        <v>81413523130.559998</v>
      </c>
      <c r="L28" s="3">
        <f t="shared" si="8"/>
        <v>9.4904010658677498E-2</v>
      </c>
      <c r="M28" s="8">
        <v>1</v>
      </c>
      <c r="N28" s="8">
        <v>1</v>
      </c>
      <c r="O28" s="60">
        <v>53768</v>
      </c>
      <c r="P28" s="5">
        <v>8.72E-2</v>
      </c>
      <c r="Q28" s="5">
        <v>8.72E-2</v>
      </c>
      <c r="R28" s="86">
        <f t="shared" si="15"/>
        <v>1.6763927763755692E-2</v>
      </c>
      <c r="S28" s="86">
        <f t="shared" si="16"/>
        <v>0</v>
      </c>
      <c r="T28" s="86" t="e">
        <f t="shared" si="17"/>
        <v>#DIV/0!</v>
      </c>
      <c r="U28" s="87">
        <f t="shared" si="18"/>
        <v>-2.6999999999999941E-3</v>
      </c>
      <c r="V28" s="89">
        <f t="shared" si="19"/>
        <v>-2.6999999999999941E-3</v>
      </c>
    </row>
    <row r="29" spans="1:22" x14ac:dyDescent="0.25">
      <c r="A29" s="81">
        <v>21</v>
      </c>
      <c r="B29" s="62" t="s">
        <v>54</v>
      </c>
      <c r="C29" s="63" t="s">
        <v>23</v>
      </c>
      <c r="D29" s="9">
        <v>41423972888.860001</v>
      </c>
      <c r="E29" s="3">
        <f t="shared" si="14"/>
        <v>4.8288060919125783E-2</v>
      </c>
      <c r="F29" s="8">
        <v>1</v>
      </c>
      <c r="G29" s="8">
        <v>1</v>
      </c>
      <c r="H29" s="60">
        <v>24855</v>
      </c>
      <c r="I29" s="5">
        <v>9.3100000000000002E-2</v>
      </c>
      <c r="J29" s="5">
        <v>9.3100000000000002E-2</v>
      </c>
      <c r="K29" s="9">
        <v>41110273361.720001</v>
      </c>
      <c r="L29" s="3">
        <f t="shared" si="8"/>
        <v>4.7922380352525398E-2</v>
      </c>
      <c r="M29" s="8">
        <v>1</v>
      </c>
      <c r="N29" s="8">
        <v>1</v>
      </c>
      <c r="O29" s="60">
        <v>26052</v>
      </c>
      <c r="P29" s="5">
        <v>9.1700000000000004E-2</v>
      </c>
      <c r="Q29" s="5">
        <v>9.1700000000000004E-2</v>
      </c>
      <c r="R29" s="86">
        <f t="shared" si="15"/>
        <v>-7.5728981375507197E-3</v>
      </c>
      <c r="S29" s="86">
        <f t="shared" si="16"/>
        <v>0</v>
      </c>
      <c r="T29" s="86">
        <f t="shared" si="17"/>
        <v>4.8159324079662037E-2</v>
      </c>
      <c r="U29" s="87">
        <f t="shared" si="18"/>
        <v>-1.3999999999999985E-3</v>
      </c>
      <c r="V29" s="89">
        <f t="shared" si="19"/>
        <v>-1.3999999999999985E-3</v>
      </c>
    </row>
    <row r="30" spans="1:22" ht="15" customHeight="1" x14ac:dyDescent="0.25">
      <c r="A30" s="81">
        <v>22</v>
      </c>
      <c r="B30" s="62" t="s">
        <v>55</v>
      </c>
      <c r="C30" s="63" t="s">
        <v>41</v>
      </c>
      <c r="D30" s="9">
        <v>6557020770.8800001</v>
      </c>
      <c r="E30" s="3">
        <f t="shared" si="14"/>
        <v>7.643540596208134E-3</v>
      </c>
      <c r="F30" s="8">
        <v>100</v>
      </c>
      <c r="G30" s="8">
        <v>100</v>
      </c>
      <c r="H30" s="60">
        <v>2705</v>
      </c>
      <c r="I30" s="5">
        <v>9.4700000000000006E-2</v>
      </c>
      <c r="J30" s="5">
        <v>9.4700000000000006E-2</v>
      </c>
      <c r="K30" s="9">
        <v>6712230177.5</v>
      </c>
      <c r="L30" s="3">
        <f t="shared" si="8"/>
        <v>7.824468710037202E-3</v>
      </c>
      <c r="M30" s="8">
        <v>100</v>
      </c>
      <c r="N30" s="8">
        <v>100</v>
      </c>
      <c r="O30" s="60">
        <v>2705</v>
      </c>
      <c r="P30" s="5">
        <v>9.3399999999999997E-2</v>
      </c>
      <c r="Q30" s="5">
        <v>9.3399999999999997E-2</v>
      </c>
      <c r="R30" s="86">
        <f t="shared" si="15"/>
        <v>2.3670720597575544E-2</v>
      </c>
      <c r="S30" s="86">
        <f t="shared" si="16"/>
        <v>0</v>
      </c>
      <c r="T30" s="86">
        <f t="shared" si="17"/>
        <v>0</v>
      </c>
      <c r="U30" s="87">
        <f t="shared" si="18"/>
        <v>-1.3000000000000095E-3</v>
      </c>
      <c r="V30" s="89">
        <f t="shared" si="19"/>
        <v>-1.3000000000000095E-3</v>
      </c>
    </row>
    <row r="31" spans="1:22" x14ac:dyDescent="0.25">
      <c r="A31" s="81">
        <v>23</v>
      </c>
      <c r="B31" s="62" t="s">
        <v>56</v>
      </c>
      <c r="C31" s="63" t="s">
        <v>57</v>
      </c>
      <c r="D31" s="9">
        <v>12648199331.07</v>
      </c>
      <c r="E31" s="3">
        <f t="shared" si="14"/>
        <v>1.4744047401117405E-2</v>
      </c>
      <c r="F31" s="8">
        <v>100</v>
      </c>
      <c r="G31" s="8">
        <v>100</v>
      </c>
      <c r="H31" s="60">
        <v>1681</v>
      </c>
      <c r="I31" s="5">
        <v>0.1023</v>
      </c>
      <c r="J31" s="5">
        <v>0.1023</v>
      </c>
      <c r="K31" s="9">
        <v>13076335197.360001</v>
      </c>
      <c r="L31" s="3">
        <f t="shared" si="8"/>
        <v>1.5243126783207141E-2</v>
      </c>
      <c r="M31" s="8">
        <v>100</v>
      </c>
      <c r="N31" s="8">
        <v>100</v>
      </c>
      <c r="O31" s="60">
        <v>10.85</v>
      </c>
      <c r="P31" s="5">
        <v>0.1085</v>
      </c>
      <c r="Q31" s="5">
        <v>0.1023</v>
      </c>
      <c r="R31" s="86">
        <f t="shared" si="15"/>
        <v>3.3849550839880851E-2</v>
      </c>
      <c r="S31" s="86">
        <f t="shared" si="16"/>
        <v>0</v>
      </c>
      <c r="T31" s="86">
        <f t="shared" si="17"/>
        <v>-0.99354550862581803</v>
      </c>
      <c r="U31" s="87">
        <f t="shared" si="18"/>
        <v>6.1999999999999972E-3</v>
      </c>
      <c r="V31" s="89">
        <f t="shared" si="19"/>
        <v>0</v>
      </c>
    </row>
    <row r="32" spans="1:22" x14ac:dyDescent="0.25">
      <c r="A32" s="81">
        <v>24</v>
      </c>
      <c r="B32" s="62" t="s">
        <v>58</v>
      </c>
      <c r="C32" s="63" t="s">
        <v>59</v>
      </c>
      <c r="D32" s="9">
        <v>6634638932.9200001</v>
      </c>
      <c r="E32" s="3">
        <f t="shared" si="14"/>
        <v>7.7340203420083256E-3</v>
      </c>
      <c r="F32" s="8">
        <v>100</v>
      </c>
      <c r="G32" s="8">
        <v>100</v>
      </c>
      <c r="H32" s="60">
        <v>5623</v>
      </c>
      <c r="I32" s="5">
        <v>9.5699999999999993E-2</v>
      </c>
      <c r="J32" s="5">
        <v>9.5699999999999993E-2</v>
      </c>
      <c r="K32" s="9">
        <v>6654874232.1000004</v>
      </c>
      <c r="L32" s="3">
        <f t="shared" si="8"/>
        <v>7.7576086965619124E-3</v>
      </c>
      <c r="M32" s="8">
        <v>100</v>
      </c>
      <c r="N32" s="8">
        <v>100</v>
      </c>
      <c r="O32" s="60">
        <v>5629</v>
      </c>
      <c r="P32" s="5">
        <v>9.1800000000000007E-2</v>
      </c>
      <c r="Q32" s="5">
        <v>9.1800000000000007E-2</v>
      </c>
      <c r="R32" s="86">
        <f t="shared" si="15"/>
        <v>3.0499473120678866E-3</v>
      </c>
      <c r="S32" s="86">
        <f t="shared" si="16"/>
        <v>0</v>
      </c>
      <c r="T32" s="86">
        <f t="shared" si="17"/>
        <v>1.0670460608216254E-3</v>
      </c>
      <c r="U32" s="87">
        <f t="shared" si="18"/>
        <v>-3.8999999999999868E-3</v>
      </c>
      <c r="V32" s="89">
        <f t="shared" si="19"/>
        <v>-3.8999999999999868E-3</v>
      </c>
    </row>
    <row r="33" spans="1:22" x14ac:dyDescent="0.25">
      <c r="A33" s="81">
        <v>25</v>
      </c>
      <c r="B33" s="62" t="s">
        <v>60</v>
      </c>
      <c r="C33" s="63" t="s">
        <v>61</v>
      </c>
      <c r="D33" s="9">
        <v>44514190.369999997</v>
      </c>
      <c r="E33" s="3">
        <f t="shared" si="14"/>
        <v>5.189033756175957E-5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5.189033756175957E-5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6">
        <f t="shared" si="15"/>
        <v>0</v>
      </c>
      <c r="S33" s="86">
        <f t="shared" si="16"/>
        <v>0</v>
      </c>
      <c r="T33" s="86" t="e">
        <f t="shared" si="17"/>
        <v>#DIV/0!</v>
      </c>
      <c r="U33" s="87">
        <f t="shared" si="18"/>
        <v>0</v>
      </c>
      <c r="V33" s="89">
        <f t="shared" si="19"/>
        <v>0</v>
      </c>
    </row>
    <row r="34" spans="1:22" x14ac:dyDescent="0.25">
      <c r="A34" s="81">
        <v>26</v>
      </c>
      <c r="B34" s="62" t="s">
        <v>62</v>
      </c>
      <c r="C34" s="63" t="s">
        <v>63</v>
      </c>
      <c r="D34" s="9">
        <v>5036165797.8199997</v>
      </c>
      <c r="E34" s="3">
        <f t="shared" si="14"/>
        <v>5.8706749711433196E-3</v>
      </c>
      <c r="F34" s="8">
        <v>1</v>
      </c>
      <c r="G34" s="8">
        <v>1</v>
      </c>
      <c r="H34" s="60">
        <v>0</v>
      </c>
      <c r="I34" s="5">
        <v>0.1004</v>
      </c>
      <c r="J34" s="5">
        <v>0.1004</v>
      </c>
      <c r="K34" s="9">
        <v>5032120181.8100004</v>
      </c>
      <c r="L34" s="3">
        <f t="shared" si="8"/>
        <v>5.8659589833053019E-3</v>
      </c>
      <c r="M34" s="8">
        <v>1</v>
      </c>
      <c r="N34" s="8">
        <v>1</v>
      </c>
      <c r="O34" s="60">
        <v>0</v>
      </c>
      <c r="P34" s="5">
        <v>0.1043</v>
      </c>
      <c r="Q34" s="5">
        <v>0.1043</v>
      </c>
      <c r="R34" s="86">
        <f t="shared" si="15"/>
        <v>-8.0331271296717383E-4</v>
      </c>
      <c r="S34" s="86">
        <f t="shared" si="16"/>
        <v>0</v>
      </c>
      <c r="T34" s="86" t="e">
        <f t="shared" si="17"/>
        <v>#DIV/0!</v>
      </c>
      <c r="U34" s="87">
        <f t="shared" si="18"/>
        <v>3.9000000000000007E-3</v>
      </c>
      <c r="V34" s="89">
        <f t="shared" si="19"/>
        <v>3.9000000000000007E-3</v>
      </c>
    </row>
    <row r="35" spans="1:22" x14ac:dyDescent="0.25">
      <c r="A35" s="81">
        <v>27</v>
      </c>
      <c r="B35" s="62" t="s">
        <v>64</v>
      </c>
      <c r="C35" s="63" t="s">
        <v>65</v>
      </c>
      <c r="D35" s="9">
        <v>13858459687.26</v>
      </c>
      <c r="E35" s="3">
        <f t="shared" si="14"/>
        <v>1.6154851863656582E-2</v>
      </c>
      <c r="F35" s="11">
        <v>100</v>
      </c>
      <c r="G35" s="11">
        <v>100</v>
      </c>
      <c r="H35" s="60">
        <v>2531</v>
      </c>
      <c r="I35" s="5">
        <v>9.2200000000000004E-2</v>
      </c>
      <c r="J35" s="5">
        <v>9.2200000000000004E-2</v>
      </c>
      <c r="K35" s="9">
        <v>13986727426.440001</v>
      </c>
      <c r="L35" s="3">
        <f t="shared" si="8"/>
        <v>1.6304373987478464E-2</v>
      </c>
      <c r="M35" s="11">
        <v>100</v>
      </c>
      <c r="N35" s="11">
        <v>100</v>
      </c>
      <c r="O35" s="60">
        <v>2566</v>
      </c>
      <c r="P35" s="5">
        <v>8.1500000000000003E-2</v>
      </c>
      <c r="Q35" s="5">
        <v>8.1500000000000003E-2</v>
      </c>
      <c r="R35" s="86">
        <f t="shared" si="15"/>
        <v>9.2555552402346763E-3</v>
      </c>
      <c r="S35" s="86">
        <f t="shared" si="16"/>
        <v>0</v>
      </c>
      <c r="T35" s="86">
        <f t="shared" si="17"/>
        <v>1.382852627419992E-2</v>
      </c>
      <c r="U35" s="87">
        <f t="shared" si="18"/>
        <v>-1.0700000000000001E-2</v>
      </c>
      <c r="V35" s="89">
        <f t="shared" si="19"/>
        <v>-1.0700000000000001E-2</v>
      </c>
    </row>
    <row r="36" spans="1:22" x14ac:dyDescent="0.25">
      <c r="A36" s="81">
        <v>28</v>
      </c>
      <c r="B36" s="62" t="s">
        <v>66</v>
      </c>
      <c r="C36" s="63" t="s">
        <v>65</v>
      </c>
      <c r="D36" s="9">
        <v>1234099672.8499999</v>
      </c>
      <c r="E36" s="3">
        <f t="shared" si="14"/>
        <v>1.4385940320774961E-3</v>
      </c>
      <c r="F36" s="11">
        <v>1000000</v>
      </c>
      <c r="G36" s="11">
        <v>1000000</v>
      </c>
      <c r="H36" s="60">
        <v>9</v>
      </c>
      <c r="I36" s="5">
        <v>8.8499999999999995E-2</v>
      </c>
      <c r="J36" s="5">
        <v>8.8499999999999995E-2</v>
      </c>
      <c r="K36" s="9">
        <v>1348805527.6400001</v>
      </c>
      <c r="L36" s="3">
        <f t="shared" si="8"/>
        <v>1.572307022831444E-3</v>
      </c>
      <c r="M36" s="11">
        <v>1000000</v>
      </c>
      <c r="N36" s="11">
        <v>1000000</v>
      </c>
      <c r="O36" s="60">
        <v>9</v>
      </c>
      <c r="P36" s="5">
        <v>7.2999999999999995E-2</v>
      </c>
      <c r="Q36" s="5">
        <v>7.2999999999999995E-2</v>
      </c>
      <c r="R36" s="86">
        <f t="shared" si="15"/>
        <v>9.2946993920759474E-2</v>
      </c>
      <c r="S36" s="86">
        <f t="shared" si="16"/>
        <v>0</v>
      </c>
      <c r="T36" s="86">
        <f t="shared" si="17"/>
        <v>0</v>
      </c>
      <c r="U36" s="87">
        <f t="shared" si="18"/>
        <v>-1.55E-2</v>
      </c>
      <c r="V36" s="89">
        <f t="shared" si="19"/>
        <v>-1.55E-2</v>
      </c>
    </row>
    <row r="37" spans="1:22" x14ac:dyDescent="0.25">
      <c r="A37" s="81">
        <v>29</v>
      </c>
      <c r="B37" s="62" t="s">
        <v>67</v>
      </c>
      <c r="C37" s="63" t="s">
        <v>68</v>
      </c>
      <c r="D37" s="9">
        <v>2684521869.8499999</v>
      </c>
      <c r="E37" s="3">
        <f t="shared" si="14"/>
        <v>3.1293559393213892E-3</v>
      </c>
      <c r="F37" s="8">
        <v>1</v>
      </c>
      <c r="G37" s="8">
        <v>1</v>
      </c>
      <c r="H37" s="60">
        <v>427</v>
      </c>
      <c r="I37" s="5">
        <v>0.1293</v>
      </c>
      <c r="J37" s="5">
        <v>0.1293</v>
      </c>
      <c r="K37" s="9">
        <v>2728961698.1799998</v>
      </c>
      <c r="L37" s="3">
        <f t="shared" si="8"/>
        <v>3.1811595928094788E-3</v>
      </c>
      <c r="M37" s="8">
        <v>1</v>
      </c>
      <c r="N37" s="8">
        <v>1</v>
      </c>
      <c r="O37" s="60">
        <v>429</v>
      </c>
      <c r="P37" s="5">
        <v>0.1293</v>
      </c>
      <c r="Q37" s="5">
        <v>0.1293</v>
      </c>
      <c r="R37" s="86">
        <f t="shared" si="15"/>
        <v>1.6554094354419634E-2</v>
      </c>
      <c r="S37" s="86">
        <f t="shared" si="16"/>
        <v>0</v>
      </c>
      <c r="T37" s="86">
        <f t="shared" si="17"/>
        <v>4.6838407494145199E-3</v>
      </c>
      <c r="U37" s="87">
        <f t="shared" si="18"/>
        <v>0</v>
      </c>
      <c r="V37" s="89">
        <f t="shared" si="19"/>
        <v>0</v>
      </c>
    </row>
    <row r="38" spans="1:22" x14ac:dyDescent="0.25">
      <c r="A38" s="81">
        <v>30</v>
      </c>
      <c r="B38" s="62" t="s">
        <v>69</v>
      </c>
      <c r="C38" s="63" t="s">
        <v>27</v>
      </c>
      <c r="D38" s="9">
        <v>194216892998.69</v>
      </c>
      <c r="E38" s="3">
        <f t="shared" si="14"/>
        <v>0.22639926850585024</v>
      </c>
      <c r="F38" s="8">
        <v>100</v>
      </c>
      <c r="G38" s="8">
        <v>100</v>
      </c>
      <c r="H38" s="60">
        <v>15208</v>
      </c>
      <c r="I38" s="5">
        <v>0.1022</v>
      </c>
      <c r="J38" s="5">
        <v>0.1022</v>
      </c>
      <c r="K38" s="9">
        <v>192423886883.92001</v>
      </c>
      <c r="L38" s="3">
        <f t="shared" si="8"/>
        <v>0.22430915540321103</v>
      </c>
      <c r="M38" s="8">
        <v>100</v>
      </c>
      <c r="N38" s="8">
        <v>100</v>
      </c>
      <c r="O38" s="60">
        <v>14653</v>
      </c>
      <c r="P38" s="5">
        <v>9.9099999999999994E-2</v>
      </c>
      <c r="Q38" s="5">
        <v>9.9099999999999994E-2</v>
      </c>
      <c r="R38" s="86">
        <f t="shared" si="15"/>
        <v>-9.2319781615602461E-3</v>
      </c>
      <c r="S38" s="86">
        <f t="shared" si="16"/>
        <v>0</v>
      </c>
      <c r="T38" s="86">
        <f t="shared" si="17"/>
        <v>-3.6493950552340872E-2</v>
      </c>
      <c r="U38" s="87">
        <f t="shared" si="18"/>
        <v>-3.1000000000000055E-3</v>
      </c>
      <c r="V38" s="89">
        <f t="shared" si="19"/>
        <v>-3.1000000000000055E-3</v>
      </c>
    </row>
    <row r="39" spans="1:22" x14ac:dyDescent="0.25">
      <c r="A39" s="81">
        <v>31</v>
      </c>
      <c r="B39" s="62" t="s">
        <v>70</v>
      </c>
      <c r="C39" s="63" t="s">
        <v>71</v>
      </c>
      <c r="D39" s="9">
        <v>283114453.48000002</v>
      </c>
      <c r="E39" s="3">
        <f t="shared" si="14"/>
        <v>3.300274460251916E-4</v>
      </c>
      <c r="F39" s="8">
        <v>1</v>
      </c>
      <c r="G39" s="8">
        <v>1</v>
      </c>
      <c r="H39" s="61">
        <v>429</v>
      </c>
      <c r="I39" s="12">
        <v>6.0299999999999999E-2</v>
      </c>
      <c r="J39" s="12">
        <v>6.0299999999999999E-2</v>
      </c>
      <c r="K39" s="9">
        <v>273237865.41000003</v>
      </c>
      <c r="L39" s="3">
        <f t="shared" si="8"/>
        <v>3.1851427495208269E-4</v>
      </c>
      <c r="M39" s="8">
        <v>1</v>
      </c>
      <c r="N39" s="8">
        <v>1</v>
      </c>
      <c r="O39" s="61">
        <v>431</v>
      </c>
      <c r="P39" s="12">
        <v>6.5600000000000006E-2</v>
      </c>
      <c r="Q39" s="12">
        <v>6.5600000000000006E-2</v>
      </c>
      <c r="R39" s="86">
        <f t="shared" si="15"/>
        <v>-3.4885495772463984E-2</v>
      </c>
      <c r="S39" s="86">
        <f t="shared" si="16"/>
        <v>0</v>
      </c>
      <c r="T39" s="86">
        <f t="shared" si="17"/>
        <v>4.662004662004662E-3</v>
      </c>
      <c r="U39" s="87">
        <f t="shared" si="18"/>
        <v>5.3000000000000061E-3</v>
      </c>
      <c r="V39" s="89">
        <f t="shared" si="19"/>
        <v>5.3000000000000061E-3</v>
      </c>
    </row>
    <row r="40" spans="1:22" x14ac:dyDescent="0.25">
      <c r="A40" s="81">
        <v>32</v>
      </c>
      <c r="B40" s="62" t="s">
        <v>72</v>
      </c>
      <c r="C40" s="63" t="s">
        <v>73</v>
      </c>
      <c r="D40" s="9">
        <v>577702836.10000002</v>
      </c>
      <c r="E40" s="3">
        <f t="shared" si="14"/>
        <v>6.7343008884236091E-4</v>
      </c>
      <c r="F40" s="8">
        <v>10</v>
      </c>
      <c r="G40" s="8">
        <v>10</v>
      </c>
      <c r="H40" s="60">
        <v>289</v>
      </c>
      <c r="I40" s="5">
        <v>8.3099999999999993E-2</v>
      </c>
      <c r="J40" s="5">
        <v>8.3099999999999993E-2</v>
      </c>
      <c r="K40" s="9">
        <v>604102618.25</v>
      </c>
      <c r="L40" s="3">
        <f t="shared" si="8"/>
        <v>7.0420440139154841E-4</v>
      </c>
      <c r="M40" s="8">
        <v>10</v>
      </c>
      <c r="N40" s="8">
        <v>10</v>
      </c>
      <c r="O40" s="60">
        <v>287</v>
      </c>
      <c r="P40" s="5">
        <v>8.2000000000000003E-2</v>
      </c>
      <c r="Q40" s="5">
        <v>8.2000000000000003E-2</v>
      </c>
      <c r="R40" s="86">
        <f t="shared" si="15"/>
        <v>4.5697857964869311E-2</v>
      </c>
      <c r="S40" s="86">
        <f t="shared" si="16"/>
        <v>0</v>
      </c>
      <c r="T40" s="86">
        <f t="shared" si="17"/>
        <v>-6.920415224913495E-3</v>
      </c>
      <c r="U40" s="87">
        <f t="shared" si="18"/>
        <v>-1.0999999999999899E-3</v>
      </c>
      <c r="V40" s="89">
        <f t="shared" si="19"/>
        <v>-1.0999999999999899E-3</v>
      </c>
    </row>
    <row r="41" spans="1:22" x14ac:dyDescent="0.25">
      <c r="A41" s="81">
        <v>33</v>
      </c>
      <c r="B41" s="62" t="s">
        <v>74</v>
      </c>
      <c r="C41" s="63" t="s">
        <v>75</v>
      </c>
      <c r="D41" s="9">
        <v>3687150098.1295815</v>
      </c>
      <c r="E41" s="3">
        <f t="shared" si="14"/>
        <v>4.2981229500640905E-3</v>
      </c>
      <c r="F41" s="8">
        <v>100</v>
      </c>
      <c r="G41" s="8">
        <v>100</v>
      </c>
      <c r="H41" s="60">
        <v>565</v>
      </c>
      <c r="I41" s="5">
        <v>9.4E-2</v>
      </c>
      <c r="J41" s="5">
        <v>9.4E-2</v>
      </c>
      <c r="K41" s="9">
        <v>3792497309.0757914</v>
      </c>
      <c r="L41" s="3">
        <f t="shared" si="8"/>
        <v>4.420926539026428E-3</v>
      </c>
      <c r="M41" s="8">
        <v>100</v>
      </c>
      <c r="N41" s="8">
        <v>100</v>
      </c>
      <c r="O41" s="60">
        <v>565</v>
      </c>
      <c r="P41" s="5">
        <v>9.4500000000000001E-2</v>
      </c>
      <c r="Q41" s="5">
        <v>9.4500000000000001E-2</v>
      </c>
      <c r="R41" s="86">
        <f t="shared" si="15"/>
        <v>2.8571446277614376E-2</v>
      </c>
      <c r="S41" s="86">
        <f t="shared" si="16"/>
        <v>0</v>
      </c>
      <c r="T41" s="86">
        <f t="shared" si="17"/>
        <v>0</v>
      </c>
      <c r="U41" s="87">
        <f t="shared" si="18"/>
        <v>5.0000000000000044E-4</v>
      </c>
      <c r="V41" s="89">
        <f t="shared" si="19"/>
        <v>5.0000000000000044E-4</v>
      </c>
    </row>
    <row r="42" spans="1:22" ht="15.75" customHeight="1" x14ac:dyDescent="0.25">
      <c r="A42" s="81">
        <v>34</v>
      </c>
      <c r="B42" s="62" t="s">
        <v>76</v>
      </c>
      <c r="C42" s="63" t="s">
        <v>33</v>
      </c>
      <c r="D42" s="9">
        <v>19747021424.25</v>
      </c>
      <c r="E42" s="3">
        <f t="shared" si="14"/>
        <v>2.3019167573902585E-2</v>
      </c>
      <c r="F42" s="8">
        <v>100</v>
      </c>
      <c r="G42" s="8">
        <v>100</v>
      </c>
      <c r="H42" s="60">
        <v>10576</v>
      </c>
      <c r="I42" s="5">
        <v>9.4700000000000006E-2</v>
      </c>
      <c r="J42" s="5">
        <v>9.4700000000000006E-2</v>
      </c>
      <c r="K42" s="9">
        <v>21712155357.074402</v>
      </c>
      <c r="L42" s="3">
        <f t="shared" si="8"/>
        <v>2.5309930638011898E-2</v>
      </c>
      <c r="M42" s="8">
        <v>100</v>
      </c>
      <c r="N42" s="8">
        <v>100</v>
      </c>
      <c r="O42" s="60">
        <v>10656</v>
      </c>
      <c r="P42" s="5">
        <v>9.5399999999999999E-2</v>
      </c>
      <c r="Q42" s="5">
        <v>9.5399999999999999E-2</v>
      </c>
      <c r="R42" s="86">
        <f t="shared" si="15"/>
        <v>9.9515460615804671E-2</v>
      </c>
      <c r="S42" s="86">
        <f t="shared" si="16"/>
        <v>0</v>
      </c>
      <c r="T42" s="86">
        <f t="shared" si="17"/>
        <v>7.5642965204236008E-3</v>
      </c>
      <c r="U42" s="87">
        <f t="shared" si="18"/>
        <v>6.999999999999923E-4</v>
      </c>
      <c r="V42" s="89">
        <f t="shared" si="19"/>
        <v>6.999999999999923E-4</v>
      </c>
    </row>
    <row r="43" spans="1:22" x14ac:dyDescent="0.25">
      <c r="A43" s="81">
        <v>35</v>
      </c>
      <c r="B43" s="62" t="s">
        <v>77</v>
      </c>
      <c r="C43" s="63" t="s">
        <v>35</v>
      </c>
      <c r="D43" s="9">
        <v>3008949322.1100001</v>
      </c>
      <c r="E43" s="3">
        <f t="shared" si="14"/>
        <v>3.5075420833834102E-3</v>
      </c>
      <c r="F43" s="8">
        <v>1</v>
      </c>
      <c r="G43" s="8">
        <v>1</v>
      </c>
      <c r="H43" s="60">
        <v>808</v>
      </c>
      <c r="I43" s="5">
        <v>7.5399999999999995E-2</v>
      </c>
      <c r="J43" s="5">
        <v>7.5399999999999995E-2</v>
      </c>
      <c r="K43" s="9">
        <v>3030881122.96</v>
      </c>
      <c r="L43" s="3">
        <f t="shared" si="8"/>
        <v>3.5331080554921778E-3</v>
      </c>
      <c r="M43" s="8">
        <v>1</v>
      </c>
      <c r="N43" s="8">
        <v>1</v>
      </c>
      <c r="O43" s="60">
        <v>814</v>
      </c>
      <c r="P43" s="5">
        <v>7.5200000000000003E-2</v>
      </c>
      <c r="Q43" s="5">
        <v>7.5200000000000003E-2</v>
      </c>
      <c r="R43" s="86">
        <f t="shared" si="15"/>
        <v>7.2888568407727169E-3</v>
      </c>
      <c r="S43" s="86">
        <f t="shared" si="16"/>
        <v>0</v>
      </c>
      <c r="T43" s="86">
        <f t="shared" si="17"/>
        <v>7.4257425742574254E-3</v>
      </c>
      <c r="U43" s="87">
        <f t="shared" si="18"/>
        <v>-1.9999999999999185E-4</v>
      </c>
      <c r="V43" s="89">
        <f t="shared" si="19"/>
        <v>-1.9999999999999185E-4</v>
      </c>
    </row>
    <row r="44" spans="1:22" x14ac:dyDescent="0.25">
      <c r="A44" s="81">
        <v>36</v>
      </c>
      <c r="B44" s="62" t="s">
        <v>78</v>
      </c>
      <c r="C44" s="63" t="s">
        <v>37</v>
      </c>
      <c r="D44" s="13">
        <v>3227006334.1900001</v>
      </c>
      <c r="E44" s="3">
        <f t="shared" si="14"/>
        <v>3.7617318568127296E-3</v>
      </c>
      <c r="F44" s="8">
        <v>10</v>
      </c>
      <c r="G44" s="8">
        <v>10</v>
      </c>
      <c r="H44" s="60">
        <v>1869</v>
      </c>
      <c r="I44" s="5">
        <v>0.113</v>
      </c>
      <c r="J44" s="5">
        <v>0.113</v>
      </c>
      <c r="K44" s="13">
        <v>3217680961.54</v>
      </c>
      <c r="L44" s="3">
        <f t="shared" si="8"/>
        <v>3.7508612393607308E-3</v>
      </c>
      <c r="M44" s="8">
        <v>10</v>
      </c>
      <c r="N44" s="8">
        <v>10</v>
      </c>
      <c r="O44" s="60">
        <v>1864</v>
      </c>
      <c r="P44" s="5">
        <v>0.1128</v>
      </c>
      <c r="Q44" s="5">
        <v>0.1128</v>
      </c>
      <c r="R44" s="86">
        <f t="shared" si="15"/>
        <v>-2.8897906245792435E-3</v>
      </c>
      <c r="S44" s="86">
        <f t="shared" si="16"/>
        <v>0</v>
      </c>
      <c r="T44" s="86">
        <f t="shared" si="17"/>
        <v>-2.6752273943285178E-3</v>
      </c>
      <c r="U44" s="87">
        <f t="shared" si="18"/>
        <v>-2.0000000000000573E-4</v>
      </c>
      <c r="V44" s="89">
        <f t="shared" si="19"/>
        <v>-2.0000000000000573E-4</v>
      </c>
    </row>
    <row r="45" spans="1:22" x14ac:dyDescent="0.25">
      <c r="A45" s="81">
        <v>37</v>
      </c>
      <c r="B45" s="62" t="s">
        <v>79</v>
      </c>
      <c r="C45" s="63" t="s">
        <v>80</v>
      </c>
      <c r="D45" s="9">
        <v>5439650345</v>
      </c>
      <c r="E45" s="3">
        <f t="shared" si="14"/>
        <v>6.3410182297783061E-3</v>
      </c>
      <c r="F45" s="8">
        <v>100</v>
      </c>
      <c r="G45" s="8">
        <v>100</v>
      </c>
      <c r="H45" s="60">
        <v>1781</v>
      </c>
      <c r="I45" s="5">
        <v>0.1186</v>
      </c>
      <c r="J45" s="5">
        <v>0.1186</v>
      </c>
      <c r="K45" s="9">
        <v>5428434846.7199993</v>
      </c>
      <c r="L45" s="3">
        <f t="shared" si="8"/>
        <v>6.3279442866865593E-3</v>
      </c>
      <c r="M45" s="8">
        <v>100</v>
      </c>
      <c r="N45" s="8">
        <v>100</v>
      </c>
      <c r="O45" s="60">
        <v>1815</v>
      </c>
      <c r="P45" s="5">
        <v>0.1135</v>
      </c>
      <c r="Q45" s="5">
        <v>0.1135</v>
      </c>
      <c r="R45" s="86">
        <f t="shared" si="15"/>
        <v>-2.0618050000786744E-3</v>
      </c>
      <c r="S45" s="86">
        <f t="shared" si="16"/>
        <v>0</v>
      </c>
      <c r="T45" s="86">
        <f t="shared" si="17"/>
        <v>1.9090398652442449E-2</v>
      </c>
      <c r="U45" s="87">
        <f t="shared" si="18"/>
        <v>-5.0999999999999934E-3</v>
      </c>
      <c r="V45" s="89">
        <f t="shared" si="19"/>
        <v>-5.0999999999999934E-3</v>
      </c>
    </row>
    <row r="46" spans="1:22" x14ac:dyDescent="0.25">
      <c r="A46" s="81">
        <v>38</v>
      </c>
      <c r="B46" s="62" t="s">
        <v>81</v>
      </c>
      <c r="C46" s="63" t="s">
        <v>82</v>
      </c>
      <c r="D46" s="9">
        <v>160591347</v>
      </c>
      <c r="E46" s="3">
        <f t="shared" si="14"/>
        <v>1.8720185936356424E-4</v>
      </c>
      <c r="F46" s="8">
        <v>1</v>
      </c>
      <c r="G46" s="8">
        <v>1</v>
      </c>
      <c r="H46" s="60">
        <v>60</v>
      </c>
      <c r="I46" s="5">
        <v>9.2799999999999994E-2</v>
      </c>
      <c r="J46" s="5">
        <v>9.2799999999999994E-2</v>
      </c>
      <c r="K46" s="9">
        <v>160591346.99000001</v>
      </c>
      <c r="L46" s="3">
        <f t="shared" si="8"/>
        <v>1.8720185935190722E-4</v>
      </c>
      <c r="M46" s="8">
        <v>1</v>
      </c>
      <c r="N46" s="8">
        <v>1</v>
      </c>
      <c r="O46" s="60">
        <v>60</v>
      </c>
      <c r="P46" s="5">
        <v>7.0199999999999999E-2</v>
      </c>
      <c r="Q46" s="5">
        <v>7.0199999999999999E-2</v>
      </c>
      <c r="R46" s="86">
        <f t="shared" si="15"/>
        <v>-6.2269796287696849E-11</v>
      </c>
      <c r="S46" s="86">
        <f t="shared" si="16"/>
        <v>0</v>
      </c>
      <c r="T46" s="86">
        <f t="shared" si="17"/>
        <v>0</v>
      </c>
      <c r="U46" s="87">
        <f t="shared" si="18"/>
        <v>-2.2599999999999995E-2</v>
      </c>
      <c r="V46" s="89">
        <f t="shared" si="19"/>
        <v>-2.2599999999999995E-2</v>
      </c>
    </row>
    <row r="47" spans="1:22" x14ac:dyDescent="0.25">
      <c r="A47" s="81">
        <v>39</v>
      </c>
      <c r="B47" s="62" t="s">
        <v>83</v>
      </c>
      <c r="C47" s="63" t="s">
        <v>39</v>
      </c>
      <c r="D47" s="13">
        <v>354178583.04000002</v>
      </c>
      <c r="E47" s="3">
        <f t="shared" si="14"/>
        <v>4.1286713468964515E-4</v>
      </c>
      <c r="F47" s="8">
        <v>10</v>
      </c>
      <c r="G47" s="8">
        <v>10</v>
      </c>
      <c r="H47" s="60">
        <v>597</v>
      </c>
      <c r="I47" s="5">
        <v>3.6600000000000001E-2</v>
      </c>
      <c r="J47" s="5">
        <v>3.6600000000000001E-2</v>
      </c>
      <c r="K47" s="13">
        <v>798117009.38</v>
      </c>
      <c r="L47" s="3">
        <f t="shared" si="8"/>
        <v>9.3036761280558436E-4</v>
      </c>
      <c r="M47" s="8">
        <v>10</v>
      </c>
      <c r="N47" s="8">
        <v>10</v>
      </c>
      <c r="O47" s="60">
        <v>597</v>
      </c>
      <c r="P47" s="5">
        <v>9.5100000000000004E-2</v>
      </c>
      <c r="Q47" s="5">
        <v>9.5100000000000004E-2</v>
      </c>
      <c r="R47" s="86">
        <f t="shared" si="15"/>
        <v>1.2534310305540488</v>
      </c>
      <c r="S47" s="86">
        <f t="shared" si="16"/>
        <v>0</v>
      </c>
      <c r="T47" s="86">
        <f t="shared" si="17"/>
        <v>0</v>
      </c>
      <c r="U47" s="87">
        <f t="shared" si="18"/>
        <v>5.8500000000000003E-2</v>
      </c>
      <c r="V47" s="89">
        <f t="shared" si="19"/>
        <v>5.8500000000000003E-2</v>
      </c>
    </row>
    <row r="48" spans="1:22" x14ac:dyDescent="0.25">
      <c r="A48" s="81">
        <v>40</v>
      </c>
      <c r="B48" s="62" t="s">
        <v>84</v>
      </c>
      <c r="C48" s="63" t="s">
        <v>43</v>
      </c>
      <c r="D48" s="9">
        <v>369951382704.98999</v>
      </c>
      <c r="E48" s="3">
        <f t="shared" si="14"/>
        <v>0.43125353893753482</v>
      </c>
      <c r="F48" s="8">
        <v>100</v>
      </c>
      <c r="G48" s="8">
        <v>100</v>
      </c>
      <c r="H48" s="60">
        <v>136997</v>
      </c>
      <c r="I48" s="5">
        <v>9.6699999999999994E-2</v>
      </c>
      <c r="J48" s="5">
        <v>9.6699999999999994E-2</v>
      </c>
      <c r="K48" s="9">
        <v>373983144760.75</v>
      </c>
      <c r="L48" s="3">
        <f t="shared" si="8"/>
        <v>0.43595337717570426</v>
      </c>
      <c r="M48" s="8">
        <v>100</v>
      </c>
      <c r="N48" s="8">
        <v>100</v>
      </c>
      <c r="O48" s="60">
        <v>128799</v>
      </c>
      <c r="P48" s="5">
        <v>9.7900000000000001E-2</v>
      </c>
      <c r="Q48" s="5">
        <v>9.7900000000000001E-2</v>
      </c>
      <c r="R48" s="86">
        <f t="shared" si="15"/>
        <v>1.0898086192517503E-2</v>
      </c>
      <c r="S48" s="86">
        <f t="shared" si="16"/>
        <v>0</v>
      </c>
      <c r="T48" s="86">
        <f t="shared" si="17"/>
        <v>-5.9840726439265093E-2</v>
      </c>
      <c r="U48" s="87">
        <f t="shared" si="18"/>
        <v>1.2000000000000066E-3</v>
      </c>
      <c r="V48" s="89">
        <f t="shared" si="19"/>
        <v>1.2000000000000066E-3</v>
      </c>
    </row>
    <row r="49" spans="1:22" x14ac:dyDescent="0.25">
      <c r="A49" s="81">
        <v>41</v>
      </c>
      <c r="B49" s="62" t="s">
        <v>85</v>
      </c>
      <c r="C49" s="63" t="s">
        <v>86</v>
      </c>
      <c r="D49" s="9">
        <v>2549714783.0100002</v>
      </c>
      <c r="E49" s="3">
        <f t="shared" si="14"/>
        <v>2.9722108765065577E-3</v>
      </c>
      <c r="F49" s="8">
        <v>1</v>
      </c>
      <c r="G49" s="8">
        <v>1</v>
      </c>
      <c r="H49" s="60">
        <v>296</v>
      </c>
      <c r="I49" s="5">
        <v>0.1316044468</v>
      </c>
      <c r="J49" s="5">
        <v>0.1316044468</v>
      </c>
      <c r="K49" s="9">
        <v>2654627623.27</v>
      </c>
      <c r="L49" s="3">
        <f t="shared" si="8"/>
        <v>3.0945081181367965E-3</v>
      </c>
      <c r="M49" s="8">
        <v>1</v>
      </c>
      <c r="N49" s="8">
        <v>1</v>
      </c>
      <c r="O49" s="60">
        <v>308</v>
      </c>
      <c r="P49" s="5">
        <v>0.12829310501410687</v>
      </c>
      <c r="Q49" s="5">
        <v>0.12829310501410687</v>
      </c>
      <c r="R49" s="86">
        <f t="shared" si="15"/>
        <v>4.1146892569743659E-2</v>
      </c>
      <c r="S49" s="86">
        <f t="shared" si="16"/>
        <v>0</v>
      </c>
      <c r="T49" s="86">
        <f t="shared" si="17"/>
        <v>4.0540540540540543E-2</v>
      </c>
      <c r="U49" s="87">
        <f t="shared" si="18"/>
        <v>-3.3113417858931238E-3</v>
      </c>
      <c r="V49" s="89">
        <f t="shared" si="19"/>
        <v>-3.3113417858931238E-3</v>
      </c>
    </row>
    <row r="50" spans="1:22" x14ac:dyDescent="0.25">
      <c r="A50" s="81">
        <v>42</v>
      </c>
      <c r="B50" s="62" t="s">
        <v>87</v>
      </c>
      <c r="C50" s="63" t="s">
        <v>46</v>
      </c>
      <c r="D50" s="9">
        <v>44489570875.519997</v>
      </c>
      <c r="E50" s="3">
        <f t="shared" si="14"/>
        <v>5.1861638536380282E-2</v>
      </c>
      <c r="F50" s="8">
        <v>1</v>
      </c>
      <c r="G50" s="8">
        <v>1</v>
      </c>
      <c r="H50" s="60">
        <v>18226</v>
      </c>
      <c r="I50" s="5">
        <v>9.9599999999999994E-2</v>
      </c>
      <c r="J50" s="5">
        <v>9.9599999999999994E-2</v>
      </c>
      <c r="K50" s="9">
        <v>43043140946.540001</v>
      </c>
      <c r="L50" s="3">
        <f t="shared" si="8"/>
        <v>5.0175530429047675E-2</v>
      </c>
      <c r="M50" s="8">
        <v>1</v>
      </c>
      <c r="N50" s="8">
        <v>1</v>
      </c>
      <c r="O50" s="60">
        <v>18283</v>
      </c>
      <c r="P50" s="5" t="s">
        <v>244</v>
      </c>
      <c r="Q50" s="5">
        <v>9.7000000000000003E-2</v>
      </c>
      <c r="R50" s="86">
        <f t="shared" si="15"/>
        <v>-3.2511662857505362E-2</v>
      </c>
      <c r="S50" s="86">
        <f t="shared" si="16"/>
        <v>0</v>
      </c>
      <c r="T50" s="86">
        <f t="shared" si="17"/>
        <v>3.1274004169867223E-3</v>
      </c>
      <c r="U50" s="87" t="e">
        <f t="shared" si="18"/>
        <v>#VALUE!</v>
      </c>
      <c r="V50" s="89">
        <f t="shared" si="19"/>
        <v>-2.5999999999999912E-3</v>
      </c>
    </row>
    <row r="51" spans="1:22" x14ac:dyDescent="0.25">
      <c r="A51" s="81">
        <v>43</v>
      </c>
      <c r="B51" s="62" t="s">
        <v>88</v>
      </c>
      <c r="C51" s="63" t="s">
        <v>89</v>
      </c>
      <c r="D51" s="9">
        <v>1973595740.8499999</v>
      </c>
      <c r="E51" s="3">
        <f t="shared" si="14"/>
        <v>2.3006270214492382E-3</v>
      </c>
      <c r="F51" s="8">
        <v>1</v>
      </c>
      <c r="G51" s="8">
        <v>1</v>
      </c>
      <c r="H51" s="60">
        <v>0</v>
      </c>
      <c r="I51" s="5">
        <v>7.2700000000000001E-2</v>
      </c>
      <c r="J51" s="5">
        <v>7.2700000000000001E-2</v>
      </c>
      <c r="K51" s="9">
        <v>2001625872.9400001</v>
      </c>
      <c r="L51" s="3">
        <f t="shared" si="8"/>
        <v>2.3333018382652049E-3</v>
      </c>
      <c r="M51" s="8">
        <v>1</v>
      </c>
      <c r="N51" s="8">
        <v>1</v>
      </c>
      <c r="O51" s="60">
        <v>0</v>
      </c>
      <c r="P51" s="5">
        <v>6.8000000000000005E-2</v>
      </c>
      <c r="Q51" s="5">
        <v>6.8000000000000005E-2</v>
      </c>
      <c r="R51" s="86">
        <f t="shared" si="15"/>
        <v>1.4202570217307E-2</v>
      </c>
      <c r="S51" s="86">
        <f t="shared" si="16"/>
        <v>0</v>
      </c>
      <c r="T51" s="86" t="e">
        <f t="shared" si="17"/>
        <v>#DIV/0!</v>
      </c>
      <c r="U51" s="87">
        <f t="shared" si="18"/>
        <v>-4.6999999999999958E-3</v>
      </c>
      <c r="V51" s="89">
        <f t="shared" si="19"/>
        <v>-4.6999999999999958E-3</v>
      </c>
    </row>
    <row r="52" spans="1:22" x14ac:dyDescent="0.25">
      <c r="A52" s="81">
        <v>44</v>
      </c>
      <c r="B52" s="62" t="s">
        <v>90</v>
      </c>
      <c r="C52" s="63" t="s">
        <v>91</v>
      </c>
      <c r="D52" s="9">
        <v>1027474408.14</v>
      </c>
      <c r="E52" s="3">
        <f t="shared" si="14"/>
        <v>1.1977302840126603E-3</v>
      </c>
      <c r="F52" s="8">
        <v>1</v>
      </c>
      <c r="G52" s="8">
        <v>1</v>
      </c>
      <c r="H52" s="60">
        <v>191</v>
      </c>
      <c r="I52" s="5">
        <v>0.1075</v>
      </c>
      <c r="J52" s="5">
        <v>0.1075</v>
      </c>
      <c r="K52" s="9">
        <v>1022113431.2</v>
      </c>
      <c r="L52" s="3">
        <f t="shared" si="8"/>
        <v>1.1914809756288581E-3</v>
      </c>
      <c r="M52" s="8">
        <v>1</v>
      </c>
      <c r="N52" s="8">
        <v>1</v>
      </c>
      <c r="O52" s="60">
        <v>200</v>
      </c>
      <c r="P52" s="5">
        <v>9.5299999999999996E-2</v>
      </c>
      <c r="Q52" s="5">
        <v>9.5299999999999996E-2</v>
      </c>
      <c r="R52" s="86">
        <f t="shared" si="15"/>
        <v>-5.2176257603386168E-3</v>
      </c>
      <c r="S52" s="86">
        <f t="shared" si="16"/>
        <v>0</v>
      </c>
      <c r="T52" s="86">
        <f t="shared" si="17"/>
        <v>4.712041884816754E-2</v>
      </c>
      <c r="U52" s="87">
        <f t="shared" si="18"/>
        <v>-1.2200000000000003E-2</v>
      </c>
      <c r="V52" s="89">
        <f t="shared" si="19"/>
        <v>-1.2200000000000003E-2</v>
      </c>
    </row>
    <row r="53" spans="1:22" x14ac:dyDescent="0.25">
      <c r="A53" s="81">
        <v>45</v>
      </c>
      <c r="B53" s="62" t="s">
        <v>92</v>
      </c>
      <c r="C53" s="63" t="s">
        <v>93</v>
      </c>
      <c r="D53" s="9">
        <v>26856925919.16</v>
      </c>
      <c r="E53" s="3">
        <f t="shared" si="14"/>
        <v>3.13072065386951E-2</v>
      </c>
      <c r="F53" s="8">
        <v>1</v>
      </c>
      <c r="G53" s="8">
        <v>1</v>
      </c>
      <c r="H53" s="60">
        <v>0</v>
      </c>
      <c r="I53" s="5">
        <v>0.1014</v>
      </c>
      <c r="J53" s="5">
        <v>0.1014</v>
      </c>
      <c r="K53" s="9">
        <v>26630491504.689999</v>
      </c>
      <c r="L53" s="3">
        <f t="shared" si="8"/>
        <v>3.1043251199851817E-2</v>
      </c>
      <c r="M53" s="8">
        <v>1</v>
      </c>
      <c r="N53" s="8">
        <v>1</v>
      </c>
      <c r="O53" s="60">
        <v>3039</v>
      </c>
      <c r="P53" s="5">
        <v>0.1026</v>
      </c>
      <c r="Q53" s="5">
        <v>0.1026</v>
      </c>
      <c r="R53" s="86">
        <f t="shared" si="15"/>
        <v>-8.4311367262051625E-3</v>
      </c>
      <c r="S53" s="86">
        <f t="shared" si="16"/>
        <v>0</v>
      </c>
      <c r="T53" s="86" t="e">
        <f t="shared" si="17"/>
        <v>#DIV/0!</v>
      </c>
      <c r="U53" s="87">
        <f t="shared" si="18"/>
        <v>1.1999999999999927E-3</v>
      </c>
      <c r="V53" s="89">
        <f t="shared" si="19"/>
        <v>1.1999999999999927E-3</v>
      </c>
    </row>
    <row r="54" spans="1:22" x14ac:dyDescent="0.25">
      <c r="A54" s="81"/>
      <c r="B54" s="19"/>
      <c r="C54" s="77" t="s">
        <v>47</v>
      </c>
      <c r="D54" s="59">
        <f>SUM(D25:D53)</f>
        <v>852624898169.64954</v>
      </c>
      <c r="E54" s="126">
        <f>(D54/$D$170)</f>
        <v>0.43993798734070233</v>
      </c>
      <c r="F54" s="30"/>
      <c r="G54" s="11"/>
      <c r="H54" s="69">
        <f>SUM(H25:H53)</f>
        <v>229023</v>
      </c>
      <c r="I54" s="32"/>
      <c r="J54" s="32"/>
      <c r="K54" s="59">
        <f>SUM(K25:K53)</f>
        <v>857851239009.95007</v>
      </c>
      <c r="L54" s="126">
        <f>(K54/$K$170)</f>
        <v>0.44331844970173623</v>
      </c>
      <c r="M54" s="30"/>
      <c r="N54" s="11"/>
      <c r="O54" s="69">
        <f>SUM(O25:O53)</f>
        <v>276859.84999999998</v>
      </c>
      <c r="P54" s="32"/>
      <c r="Q54" s="32"/>
      <c r="R54" s="86">
        <f t="shared" si="15"/>
        <v>6.1297070394261879E-3</v>
      </c>
      <c r="S54" s="86" t="e">
        <f t="shared" si="16"/>
        <v>#DIV/0!</v>
      </c>
      <c r="T54" s="86">
        <f t="shared" si="17"/>
        <v>0.20887356291726147</v>
      </c>
      <c r="U54" s="87">
        <f t="shared" si="18"/>
        <v>0</v>
      </c>
      <c r="V54" s="89">
        <f t="shared" si="19"/>
        <v>0</v>
      </c>
    </row>
    <row r="55" spans="1:22" ht="9" customHeight="1" x14ac:dyDescent="0.25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</row>
    <row r="56" spans="1:22" ht="15" customHeight="1" x14ac:dyDescent="0.25">
      <c r="A56" s="129" t="s">
        <v>94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</row>
    <row r="57" spans="1:22" x14ac:dyDescent="0.25">
      <c r="A57" s="81">
        <v>46</v>
      </c>
      <c r="B57" s="62" t="s">
        <v>95</v>
      </c>
      <c r="C57" s="63" t="s">
        <v>19</v>
      </c>
      <c r="D57" s="2">
        <v>461228978.18000001</v>
      </c>
      <c r="E57" s="3">
        <f>(D57/$D$86)</f>
        <v>1.5366783188150697E-3</v>
      </c>
      <c r="F57" s="14">
        <v>1.2797000000000001</v>
      </c>
      <c r="G57" s="14">
        <v>1.2797000000000001</v>
      </c>
      <c r="H57" s="60">
        <v>387</v>
      </c>
      <c r="I57" s="5">
        <v>1.565E-3</v>
      </c>
      <c r="J57" s="5">
        <v>3.9399999999999998E-2</v>
      </c>
      <c r="K57" s="2">
        <v>480137070.79000002</v>
      </c>
      <c r="L57" s="3">
        <f t="shared" ref="L57:L85" si="20">(K57/$K$86)</f>
        <v>1.6078952241192766E-3</v>
      </c>
      <c r="M57" s="14">
        <v>1.2754000000000001</v>
      </c>
      <c r="N57" s="14">
        <v>1.2754000000000001</v>
      </c>
      <c r="O57" s="60">
        <v>389</v>
      </c>
      <c r="P57" s="5">
        <v>-4.372E-3</v>
      </c>
      <c r="Q57" s="5">
        <v>3.5900000000000001E-2</v>
      </c>
      <c r="R57" s="86">
        <f t="shared" ref="R57" si="21">((K57-D57)/D57)</f>
        <v>4.0995023089422863E-2</v>
      </c>
      <c r="S57" s="86">
        <f t="shared" ref="S57" si="22">((N57-G57)/G57)</f>
        <v>-3.3601625380948429E-3</v>
      </c>
      <c r="T57" s="86">
        <f t="shared" ref="T57" si="23">((O57-H57)/H57)</f>
        <v>5.1679586563307496E-3</v>
      </c>
      <c r="U57" s="87">
        <f t="shared" ref="U57" si="24">P57-I57</f>
        <v>-5.9369999999999996E-3</v>
      </c>
      <c r="V57" s="89">
        <f t="shared" ref="V57" si="25">Q57-J57</f>
        <v>-3.4999999999999962E-3</v>
      </c>
    </row>
    <row r="58" spans="1:22" x14ac:dyDescent="0.25">
      <c r="A58" s="81">
        <v>47</v>
      </c>
      <c r="B58" s="62" t="s">
        <v>96</v>
      </c>
      <c r="C58" s="63" t="s">
        <v>21</v>
      </c>
      <c r="D58" s="2">
        <v>862384809.95000005</v>
      </c>
      <c r="E58" s="3">
        <f>(D58/$D$86)</f>
        <v>2.873210710122471E-3</v>
      </c>
      <c r="F58" s="14">
        <v>1.1405000000000001</v>
      </c>
      <c r="G58" s="14">
        <v>1.1405000000000001</v>
      </c>
      <c r="H58" s="60">
        <v>0</v>
      </c>
      <c r="I58" s="5">
        <v>5.4899999999999997E-2</v>
      </c>
      <c r="J58" s="5">
        <v>3.9899999999999998E-2</v>
      </c>
      <c r="K58" s="2">
        <v>859843735.40999997</v>
      </c>
      <c r="L58" s="3">
        <f t="shared" si="20"/>
        <v>2.8794665518741122E-3</v>
      </c>
      <c r="M58" s="14">
        <v>1.1419999999999999</v>
      </c>
      <c r="N58" s="14">
        <v>1.1419999999999999</v>
      </c>
      <c r="O58" s="60">
        <v>526</v>
      </c>
      <c r="P58" s="5">
        <v>6.8599999999999994E-2</v>
      </c>
      <c r="Q58" s="5">
        <v>4.0599999999999997E-2</v>
      </c>
      <c r="R58" s="86">
        <f t="shared" ref="R58:R86" si="26">((K58-D58)/D58)</f>
        <v>-2.9465669045671264E-3</v>
      </c>
      <c r="S58" s="86">
        <f t="shared" ref="S58:S86" si="27">((N58-G58)/G58)</f>
        <v>1.315212626041065E-3</v>
      </c>
      <c r="T58" s="86" t="e">
        <f t="shared" ref="T58:T86" si="28">((O58-H58)/H58)</f>
        <v>#DIV/0!</v>
      </c>
      <c r="U58" s="87">
        <f t="shared" ref="U58:U86" si="29">P58-I58</f>
        <v>1.3699999999999997E-2</v>
      </c>
      <c r="V58" s="89">
        <f t="shared" ref="V58:V86" si="30">Q58-J58</f>
        <v>6.9999999999999923E-4</v>
      </c>
    </row>
    <row r="59" spans="1:22" x14ac:dyDescent="0.25">
      <c r="A59" s="81">
        <v>48</v>
      </c>
      <c r="B59" s="62" t="s">
        <v>97</v>
      </c>
      <c r="C59" s="63" t="s">
        <v>21</v>
      </c>
      <c r="D59" s="2">
        <v>1007180551.74</v>
      </c>
      <c r="E59" s="3">
        <f>(D59/$D$86)</f>
        <v>3.3556272268457613E-3</v>
      </c>
      <c r="F59" s="14">
        <v>1.0466</v>
      </c>
      <c r="G59" s="14">
        <v>1.0466</v>
      </c>
      <c r="H59" s="60">
        <v>0</v>
      </c>
      <c r="I59" s="5">
        <v>6.4899999999999999E-2</v>
      </c>
      <c r="J59" s="5">
        <v>1.49E-2</v>
      </c>
      <c r="K59" s="2">
        <v>989266127.03999996</v>
      </c>
      <c r="L59" s="3">
        <f t="shared" si="20"/>
        <v>3.3128795459042861E-3</v>
      </c>
      <c r="M59" s="14">
        <v>1.0483</v>
      </c>
      <c r="N59" s="14">
        <v>1.0483</v>
      </c>
      <c r="O59" s="60">
        <v>145</v>
      </c>
      <c r="P59" s="5">
        <v>8.4699999999999998E-2</v>
      </c>
      <c r="Q59" s="5">
        <v>1.6299999999999999E-2</v>
      </c>
      <c r="R59" s="86">
        <f t="shared" si="26"/>
        <v>-1.7786706334878267E-2</v>
      </c>
      <c r="S59" s="86">
        <f t="shared" si="27"/>
        <v>1.6243072807185504E-3</v>
      </c>
      <c r="T59" s="86" t="e">
        <f t="shared" si="28"/>
        <v>#DIV/0!</v>
      </c>
      <c r="U59" s="87">
        <f t="shared" si="29"/>
        <v>1.9799999999999998E-2</v>
      </c>
      <c r="V59" s="89">
        <f t="shared" si="30"/>
        <v>1.3999999999999985E-3</v>
      </c>
    </row>
    <row r="60" spans="1:22" x14ac:dyDescent="0.25">
      <c r="A60" s="81">
        <v>49</v>
      </c>
      <c r="B60" s="62" t="s">
        <v>98</v>
      </c>
      <c r="C60" s="63" t="s">
        <v>99</v>
      </c>
      <c r="D60" s="2">
        <v>258089634.18000001</v>
      </c>
      <c r="E60" s="3">
        <f>(D60/$D$86)</f>
        <v>8.5987820349080646E-4</v>
      </c>
      <c r="F60" s="7">
        <v>1130.24</v>
      </c>
      <c r="G60" s="7">
        <v>1130.24</v>
      </c>
      <c r="H60" s="60">
        <v>110</v>
      </c>
      <c r="I60" s="5">
        <v>1.0500000000000001E-2</v>
      </c>
      <c r="J60" s="5">
        <v>5.1499999999999997E-2</v>
      </c>
      <c r="K60" s="2">
        <v>258352543.11000001</v>
      </c>
      <c r="L60" s="3">
        <f t="shared" si="20"/>
        <v>8.6517756173700193E-4</v>
      </c>
      <c r="M60" s="7">
        <v>1131.0899999999999</v>
      </c>
      <c r="N60" s="7">
        <v>1131.0899999999999</v>
      </c>
      <c r="O60" s="60">
        <v>111</v>
      </c>
      <c r="P60" s="5">
        <v>7.0000000000000001E-3</v>
      </c>
      <c r="Q60" s="5">
        <v>5.5800000000000002E-2</v>
      </c>
      <c r="R60" s="86">
        <f t="shared" si="26"/>
        <v>1.0186729538182305E-3</v>
      </c>
      <c r="S60" s="86">
        <f t="shared" si="27"/>
        <v>7.52052661381573E-4</v>
      </c>
      <c r="T60" s="86">
        <f t="shared" si="28"/>
        <v>9.0909090909090905E-3</v>
      </c>
      <c r="U60" s="87">
        <f t="shared" si="29"/>
        <v>-3.5000000000000005E-3</v>
      </c>
      <c r="V60" s="89">
        <f t="shared" si="30"/>
        <v>4.3000000000000052E-3</v>
      </c>
    </row>
    <row r="61" spans="1:22" ht="15" customHeight="1" x14ac:dyDescent="0.25">
      <c r="A61" s="81">
        <v>50</v>
      </c>
      <c r="B61" s="62" t="s">
        <v>100</v>
      </c>
      <c r="C61" s="63" t="s">
        <v>101</v>
      </c>
      <c r="D61" s="2">
        <v>1454046564.3399999</v>
      </c>
      <c r="E61" s="3">
        <f>(D61/$K$86)</f>
        <v>4.8693480855426206E-3</v>
      </c>
      <c r="F61" s="7">
        <v>1.0286</v>
      </c>
      <c r="G61" s="7">
        <v>1.0286</v>
      </c>
      <c r="H61" s="60">
        <v>769</v>
      </c>
      <c r="I61" s="5">
        <v>1.2999999999999999E-3</v>
      </c>
      <c r="J61" s="5">
        <v>6.0400000000000002E-2</v>
      </c>
      <c r="K61" s="2">
        <v>1456050367.2</v>
      </c>
      <c r="L61" s="3">
        <f t="shared" si="20"/>
        <v>4.8760584714817225E-3</v>
      </c>
      <c r="M61" s="7">
        <v>1.0302</v>
      </c>
      <c r="N61" s="7">
        <v>1.0302</v>
      </c>
      <c r="O61" s="60">
        <v>772</v>
      </c>
      <c r="P61" s="5">
        <v>2.8E-3</v>
      </c>
      <c r="Q61" s="5">
        <v>6.2E-2</v>
      </c>
      <c r="R61" s="86">
        <f t="shared" si="26"/>
        <v>1.3780871322437126E-3</v>
      </c>
      <c r="S61" s="86">
        <f t="shared" si="27"/>
        <v>1.5555123468792981E-3</v>
      </c>
      <c r="T61" s="86">
        <f t="shared" si="28"/>
        <v>3.9011703511053317E-3</v>
      </c>
      <c r="U61" s="87">
        <f t="shared" si="29"/>
        <v>1.5E-3</v>
      </c>
      <c r="V61" s="89">
        <f t="shared" si="30"/>
        <v>1.5999999999999973E-3</v>
      </c>
    </row>
    <row r="62" spans="1:22" x14ac:dyDescent="0.25">
      <c r="A62" s="81">
        <v>51</v>
      </c>
      <c r="B62" s="62" t="s">
        <v>102</v>
      </c>
      <c r="C62" s="63" t="s">
        <v>103</v>
      </c>
      <c r="D62" s="2">
        <v>435817563.32999998</v>
      </c>
      <c r="E62" s="3">
        <f t="shared" ref="E62:E85" si="31">(D62/$D$86)</f>
        <v>1.4520150125230463E-3</v>
      </c>
      <c r="F62" s="7">
        <v>2.2624</v>
      </c>
      <c r="G62" s="7">
        <v>2.2624</v>
      </c>
      <c r="H62" s="60">
        <v>1402</v>
      </c>
      <c r="I62" s="5">
        <v>0.10392083668137</v>
      </c>
      <c r="J62" s="5">
        <v>0.112013419179271</v>
      </c>
      <c r="K62" s="2">
        <v>436696941.79000002</v>
      </c>
      <c r="L62" s="3">
        <f t="shared" si="20"/>
        <v>1.4624218162041132E-3</v>
      </c>
      <c r="M62" s="7">
        <v>2.2667999999999999</v>
      </c>
      <c r="N62" s="7">
        <v>2.2667999999999999</v>
      </c>
      <c r="O62" s="60">
        <v>1402</v>
      </c>
      <c r="P62" s="5">
        <v>0.20553232143648301</v>
      </c>
      <c r="Q62" s="5">
        <v>0.111959750070334</v>
      </c>
      <c r="R62" s="86">
        <f t="shared" si="26"/>
        <v>2.0177673733038034E-3</v>
      </c>
      <c r="S62" s="86">
        <f t="shared" si="27"/>
        <v>1.944837340876927E-3</v>
      </c>
      <c r="T62" s="86">
        <f t="shared" si="28"/>
        <v>0</v>
      </c>
      <c r="U62" s="87">
        <f t="shared" si="29"/>
        <v>0.101611484755113</v>
      </c>
      <c r="V62" s="89">
        <f t="shared" si="30"/>
        <v>-5.3669108937004495E-5</v>
      </c>
    </row>
    <row r="63" spans="1:22" x14ac:dyDescent="0.25">
      <c r="A63" s="81">
        <v>52</v>
      </c>
      <c r="B63" s="62" t="s">
        <v>104</v>
      </c>
      <c r="C63" s="63" t="s">
        <v>57</v>
      </c>
      <c r="D63" s="2">
        <v>2354067920.19242</v>
      </c>
      <c r="E63" s="3">
        <f t="shared" si="31"/>
        <v>7.8430569307508368E-3</v>
      </c>
      <c r="F63" s="2">
        <v>3922.0823628107601</v>
      </c>
      <c r="G63" s="2">
        <v>3922.0823628107601</v>
      </c>
      <c r="H63" s="60">
        <v>1027</v>
      </c>
      <c r="I63" s="5">
        <v>6.5531390289832042E-2</v>
      </c>
      <c r="J63" s="5">
        <v>7.5904903745942706E-2</v>
      </c>
      <c r="K63" s="2">
        <v>2358112839.0054202</v>
      </c>
      <c r="L63" s="3">
        <f t="shared" si="20"/>
        <v>7.896908200678206E-3</v>
      </c>
      <c r="M63" s="2">
        <v>3927.00838595397</v>
      </c>
      <c r="N63" s="2">
        <v>3927.00838595397</v>
      </c>
      <c r="O63" s="60">
        <v>1028</v>
      </c>
      <c r="P63" s="5">
        <v>6.5489935518520601E-2</v>
      </c>
      <c r="Q63" s="5">
        <v>7.573653878288189E-2</v>
      </c>
      <c r="R63" s="86">
        <f t="shared" si="26"/>
        <v>1.7182676754159128E-3</v>
      </c>
      <c r="S63" s="86">
        <f t="shared" si="27"/>
        <v>1.2559713661086142E-3</v>
      </c>
      <c r="T63" s="86">
        <f t="shared" si="28"/>
        <v>9.7370983446932818E-4</v>
      </c>
      <c r="U63" s="87">
        <f t="shared" si="29"/>
        <v>-4.1454771311441596E-5</v>
      </c>
      <c r="V63" s="89">
        <f t="shared" si="30"/>
        <v>-1.6836496306081583E-4</v>
      </c>
    </row>
    <row r="64" spans="1:22" x14ac:dyDescent="0.25">
      <c r="A64" s="81">
        <v>53</v>
      </c>
      <c r="B64" s="62" t="s">
        <v>105</v>
      </c>
      <c r="C64" s="63" t="s">
        <v>59</v>
      </c>
      <c r="D64" s="2">
        <v>337305498.72000003</v>
      </c>
      <c r="E64" s="3">
        <f t="shared" si="31"/>
        <v>1.1238019968854687E-3</v>
      </c>
      <c r="F64" s="14">
        <v>108.67</v>
      </c>
      <c r="G64" s="14">
        <v>108.67</v>
      </c>
      <c r="H64" s="60">
        <v>119</v>
      </c>
      <c r="I64" s="5">
        <v>1.8E-3</v>
      </c>
      <c r="J64" s="5">
        <v>9.9400000000000002E-2</v>
      </c>
      <c r="K64" s="2">
        <v>338441639.31</v>
      </c>
      <c r="L64" s="3">
        <f t="shared" si="20"/>
        <v>1.1333819623514511E-3</v>
      </c>
      <c r="M64" s="14">
        <v>108.87</v>
      </c>
      <c r="N64" s="14">
        <v>108.87</v>
      </c>
      <c r="O64" s="60">
        <v>120</v>
      </c>
      <c r="P64" s="5">
        <v>1.8E-3</v>
      </c>
      <c r="Q64" s="5">
        <v>9.9599999999999994E-2</v>
      </c>
      <c r="R64" s="86">
        <f t="shared" si="26"/>
        <v>3.3682836310447851E-3</v>
      </c>
      <c r="S64" s="86">
        <f t="shared" si="27"/>
        <v>1.8404343425048573E-3</v>
      </c>
      <c r="T64" s="86">
        <f t="shared" si="28"/>
        <v>8.4033613445378148E-3</v>
      </c>
      <c r="U64" s="87">
        <f t="shared" si="29"/>
        <v>0</v>
      </c>
      <c r="V64" s="89">
        <f t="shared" si="30"/>
        <v>1.9999999999999185E-4</v>
      </c>
    </row>
    <row r="65" spans="1:22" x14ac:dyDescent="0.25">
      <c r="A65" s="81">
        <v>54</v>
      </c>
      <c r="B65" s="62" t="s">
        <v>106</v>
      </c>
      <c r="C65" s="63" t="s">
        <v>107</v>
      </c>
      <c r="D65" s="2">
        <v>349017859.63999999</v>
      </c>
      <c r="E65" s="3">
        <f t="shared" si="31"/>
        <v>1.1628241137501139E-3</v>
      </c>
      <c r="F65" s="14">
        <v>1.3892</v>
      </c>
      <c r="G65" s="14">
        <v>1.3892</v>
      </c>
      <c r="H65" s="60">
        <v>0</v>
      </c>
      <c r="I65" s="5">
        <v>-7.4999999999999997E-3</v>
      </c>
      <c r="J65" s="5">
        <v>2.9899999999999999E-2</v>
      </c>
      <c r="K65" s="2">
        <v>349546323.04000002</v>
      </c>
      <c r="L65" s="3">
        <f t="shared" si="20"/>
        <v>1.1705696094236587E-3</v>
      </c>
      <c r="M65" s="14">
        <v>1.3913</v>
      </c>
      <c r="N65" s="14">
        <v>1.3913</v>
      </c>
      <c r="O65" s="60">
        <v>0</v>
      </c>
      <c r="P65" s="5">
        <v>1.5E-3</v>
      </c>
      <c r="Q65" s="5">
        <v>3.1399999999999997E-2</v>
      </c>
      <c r="R65" s="86">
        <f t="shared" si="26"/>
        <v>1.5141442920575117E-3</v>
      </c>
      <c r="S65" s="86">
        <f t="shared" si="27"/>
        <v>1.5116613878491151E-3</v>
      </c>
      <c r="T65" s="86" t="e">
        <f t="shared" si="28"/>
        <v>#DIV/0!</v>
      </c>
      <c r="U65" s="87">
        <f t="shared" si="29"/>
        <v>8.9999999999999993E-3</v>
      </c>
      <c r="V65" s="89">
        <f t="shared" si="30"/>
        <v>1.4999999999999979E-3</v>
      </c>
    </row>
    <row r="66" spans="1:22" x14ac:dyDescent="0.25">
      <c r="A66" s="81">
        <v>55</v>
      </c>
      <c r="B66" s="62" t="s">
        <v>108</v>
      </c>
      <c r="C66" s="63" t="s">
        <v>25</v>
      </c>
      <c r="D66" s="2">
        <v>72447193.010000005</v>
      </c>
      <c r="E66" s="3">
        <f t="shared" si="31"/>
        <v>2.4137258503742715E-4</v>
      </c>
      <c r="F66" s="7">
        <v>109.1267</v>
      </c>
      <c r="G66" s="7">
        <v>109.1267</v>
      </c>
      <c r="H66" s="60">
        <v>71</v>
      </c>
      <c r="I66" s="5">
        <v>2.9399999999999999E-4</v>
      </c>
      <c r="J66" s="5">
        <v>7.0599999999999996E-2</v>
      </c>
      <c r="K66" s="2">
        <v>72712055</v>
      </c>
      <c r="L66" s="3">
        <f t="shared" si="20"/>
        <v>2.4349997757522278E-4</v>
      </c>
      <c r="M66" s="7">
        <v>109.3683</v>
      </c>
      <c r="N66" s="7">
        <v>109.3683</v>
      </c>
      <c r="O66" s="60">
        <v>71</v>
      </c>
      <c r="P66" s="5">
        <v>2.7700000000000001E-4</v>
      </c>
      <c r="Q66" s="5">
        <v>7.2900000000000006E-2</v>
      </c>
      <c r="R66" s="86">
        <f t="shared" si="26"/>
        <v>3.655931706883872E-3</v>
      </c>
      <c r="S66" s="86">
        <f t="shared" si="27"/>
        <v>2.2139403097500921E-3</v>
      </c>
      <c r="T66" s="86">
        <f t="shared" si="28"/>
        <v>0</v>
      </c>
      <c r="U66" s="87">
        <f t="shared" si="29"/>
        <v>-1.699999999999998E-5</v>
      </c>
      <c r="V66" s="89">
        <f t="shared" si="30"/>
        <v>2.3000000000000104E-3</v>
      </c>
    </row>
    <row r="67" spans="1:22" x14ac:dyDescent="0.25">
      <c r="A67" s="81">
        <v>56</v>
      </c>
      <c r="B67" s="62" t="s">
        <v>109</v>
      </c>
      <c r="C67" s="63" t="s">
        <v>110</v>
      </c>
      <c r="D67" s="2">
        <v>865035677</v>
      </c>
      <c r="E67" s="3">
        <f t="shared" si="31"/>
        <v>2.8820426138286741E-3</v>
      </c>
      <c r="F67" s="7">
        <v>1000</v>
      </c>
      <c r="G67" s="7">
        <v>1000</v>
      </c>
      <c r="H67" s="60">
        <v>245</v>
      </c>
      <c r="I67" s="5">
        <v>2.08913743609984E-4</v>
      </c>
      <c r="J67" s="5">
        <v>0.15959999999999999</v>
      </c>
      <c r="K67" s="2">
        <v>877199273.69000006</v>
      </c>
      <c r="L67" s="3">
        <f t="shared" si="20"/>
        <v>2.9375872195128681E-3</v>
      </c>
      <c r="M67" s="7">
        <v>1000</v>
      </c>
      <c r="N67" s="7">
        <v>1000</v>
      </c>
      <c r="O67" s="60">
        <v>251</v>
      </c>
      <c r="P67" s="5">
        <v>1.40613815284292E-4</v>
      </c>
      <c r="Q67" s="5">
        <v>0.15959999999999999</v>
      </c>
      <c r="R67" s="86">
        <f t="shared" si="26"/>
        <v>1.4061381528429211E-2</v>
      </c>
      <c r="S67" s="86">
        <f t="shared" si="27"/>
        <v>0</v>
      </c>
      <c r="T67" s="86">
        <f t="shared" si="28"/>
        <v>2.4489795918367346E-2</v>
      </c>
      <c r="U67" s="87">
        <f t="shared" si="29"/>
        <v>-6.8299928325691998E-5</v>
      </c>
      <c r="V67" s="89">
        <f t="shared" si="30"/>
        <v>0</v>
      </c>
    </row>
    <row r="68" spans="1:22" x14ac:dyDescent="0.25">
      <c r="A68" s="81">
        <v>57</v>
      </c>
      <c r="B68" s="62" t="s">
        <v>111</v>
      </c>
      <c r="C68" s="63" t="s">
        <v>65</v>
      </c>
      <c r="D68" s="2">
        <v>239178748.09</v>
      </c>
      <c r="E68" s="3">
        <f t="shared" si="31"/>
        <v>7.9687273328215983E-4</v>
      </c>
      <c r="F68" s="7">
        <v>1102.6500000000001</v>
      </c>
      <c r="G68" s="7">
        <v>1110.92</v>
      </c>
      <c r="H68" s="60">
        <v>82</v>
      </c>
      <c r="I68" s="5">
        <v>2.3999999999999998E-3</v>
      </c>
      <c r="J68" s="5">
        <v>6.0900000000000003E-2</v>
      </c>
      <c r="K68" s="2">
        <v>239624098.30000001</v>
      </c>
      <c r="L68" s="3">
        <f t="shared" si="20"/>
        <v>8.0245926982166831E-4</v>
      </c>
      <c r="M68" s="7">
        <v>1104.7</v>
      </c>
      <c r="N68" s="7">
        <v>1113.5899999999999</v>
      </c>
      <c r="O68" s="60">
        <v>82</v>
      </c>
      <c r="P68" s="5">
        <v>2.2000000000000001E-3</v>
      </c>
      <c r="Q68" s="5">
        <v>6.3100000000000003E-2</v>
      </c>
      <c r="R68" s="86">
        <f t="shared" si="26"/>
        <v>1.8619974122133483E-3</v>
      </c>
      <c r="S68" s="86">
        <f t="shared" si="27"/>
        <v>2.4034133871024422E-3</v>
      </c>
      <c r="T68" s="86">
        <f t="shared" si="28"/>
        <v>0</v>
      </c>
      <c r="U68" s="87">
        <f t="shared" si="29"/>
        <v>-1.9999999999999966E-4</v>
      </c>
      <c r="V68" s="89">
        <f t="shared" si="30"/>
        <v>2.2000000000000006E-3</v>
      </c>
    </row>
    <row r="69" spans="1:22" x14ac:dyDescent="0.25">
      <c r="A69" s="81">
        <v>58</v>
      </c>
      <c r="B69" s="62" t="s">
        <v>112</v>
      </c>
      <c r="C69" s="63" t="s">
        <v>68</v>
      </c>
      <c r="D69" s="2">
        <v>736403444.26999998</v>
      </c>
      <c r="E69" s="3">
        <f t="shared" si="31"/>
        <v>2.4534781209450034E-3</v>
      </c>
      <c r="F69" s="15">
        <v>1.0848</v>
      </c>
      <c r="G69" s="15">
        <v>1.0848</v>
      </c>
      <c r="H69" s="60">
        <v>41</v>
      </c>
      <c r="I69" s="5">
        <v>9.0841214534599368E-2</v>
      </c>
      <c r="J69" s="5">
        <v>0.10370746659319476</v>
      </c>
      <c r="K69" s="2">
        <v>737009154.03999996</v>
      </c>
      <c r="L69" s="3">
        <f t="shared" si="20"/>
        <v>2.468114984255003E-3</v>
      </c>
      <c r="M69" s="15">
        <v>1.0855999999999999</v>
      </c>
      <c r="N69" s="15">
        <v>1.0855999999999999</v>
      </c>
      <c r="O69" s="60">
        <v>41</v>
      </c>
      <c r="P69" s="5">
        <v>6.3588850174216088E-2</v>
      </c>
      <c r="Q69" s="5">
        <v>0.10208590398965868</v>
      </c>
      <c r="R69" s="86">
        <f t="shared" si="26"/>
        <v>8.2252435769148758E-4</v>
      </c>
      <c r="S69" s="86">
        <f t="shared" si="27"/>
        <v>7.374631268435766E-4</v>
      </c>
      <c r="T69" s="86">
        <f t="shared" si="28"/>
        <v>0</v>
      </c>
      <c r="U69" s="87">
        <f t="shared" si="29"/>
        <v>-2.725236436038328E-2</v>
      </c>
      <c r="V69" s="89">
        <f t="shared" si="30"/>
        <v>-1.6215626035360753E-3</v>
      </c>
    </row>
    <row r="70" spans="1:22" x14ac:dyDescent="0.25">
      <c r="A70" s="81">
        <v>59</v>
      </c>
      <c r="B70" s="62" t="s">
        <v>113</v>
      </c>
      <c r="C70" s="63" t="s">
        <v>27</v>
      </c>
      <c r="D70" s="2">
        <v>68361486560.720001</v>
      </c>
      <c r="E70" s="3">
        <f t="shared" si="31"/>
        <v>0.2277602215158939</v>
      </c>
      <c r="F70" s="15">
        <v>1601.62</v>
      </c>
      <c r="G70" s="2">
        <v>1601.62</v>
      </c>
      <c r="H70" s="60">
        <v>2454</v>
      </c>
      <c r="I70" s="5">
        <v>2.2000000000000001E-3</v>
      </c>
      <c r="J70" s="5">
        <v>0.11749999999999999</v>
      </c>
      <c r="K70" s="2">
        <v>66948501452.370003</v>
      </c>
      <c r="L70" s="3">
        <f t="shared" si="20"/>
        <v>0.22419884298892206</v>
      </c>
      <c r="M70" s="15">
        <v>1605.25</v>
      </c>
      <c r="N70" s="2">
        <v>1605.25</v>
      </c>
      <c r="O70" s="60">
        <v>2455</v>
      </c>
      <c r="P70" s="5">
        <v>2.3E-3</v>
      </c>
      <c r="Q70" s="5">
        <v>0.1177</v>
      </c>
      <c r="R70" s="86">
        <f t="shared" si="26"/>
        <v>-2.0669315128116147E-2</v>
      </c>
      <c r="S70" s="86">
        <f t="shared" si="27"/>
        <v>2.2664552140957963E-3</v>
      </c>
      <c r="T70" s="86">
        <f t="shared" si="28"/>
        <v>4.0749796251018743E-4</v>
      </c>
      <c r="U70" s="87">
        <f t="shared" si="29"/>
        <v>9.9999999999999829E-5</v>
      </c>
      <c r="V70" s="89">
        <f t="shared" si="30"/>
        <v>2.0000000000000573E-4</v>
      </c>
    </row>
    <row r="71" spans="1:22" x14ac:dyDescent="0.25">
      <c r="A71" s="81">
        <v>60</v>
      </c>
      <c r="B71" s="62" t="s">
        <v>114</v>
      </c>
      <c r="C71" s="63" t="s">
        <v>73</v>
      </c>
      <c r="D71" s="2">
        <v>24727421.190000001</v>
      </c>
      <c r="E71" s="3">
        <f t="shared" si="31"/>
        <v>8.2384442046163308E-5</v>
      </c>
      <c r="F71" s="2">
        <v>0.75309999999999999</v>
      </c>
      <c r="G71" s="2">
        <v>0.75309999999999999</v>
      </c>
      <c r="H71" s="60">
        <v>748</v>
      </c>
      <c r="I71" s="5">
        <v>1.0200000000000001E-2</v>
      </c>
      <c r="J71" s="5">
        <v>0.1022</v>
      </c>
      <c r="K71" s="2">
        <v>24778998.800000001</v>
      </c>
      <c r="L71" s="3">
        <f t="shared" si="20"/>
        <v>8.2980540876426514E-5</v>
      </c>
      <c r="M71" s="2">
        <v>0.75470000000000004</v>
      </c>
      <c r="N71" s="2">
        <v>0.75470000000000004</v>
      </c>
      <c r="O71" s="60">
        <v>748</v>
      </c>
      <c r="P71" s="5">
        <v>1.9E-3</v>
      </c>
      <c r="Q71" s="5">
        <v>0.1045</v>
      </c>
      <c r="R71" s="86">
        <f t="shared" si="26"/>
        <v>2.0858467045022015E-3</v>
      </c>
      <c r="S71" s="86">
        <f t="shared" si="27"/>
        <v>2.124551852343707E-3</v>
      </c>
      <c r="T71" s="86">
        <f t="shared" si="28"/>
        <v>0</v>
      </c>
      <c r="U71" s="87">
        <f t="shared" si="29"/>
        <v>-8.3000000000000001E-3</v>
      </c>
      <c r="V71" s="89">
        <f t="shared" si="30"/>
        <v>2.2999999999999965E-3</v>
      </c>
    </row>
    <row r="72" spans="1:22" x14ac:dyDescent="0.25">
      <c r="A72" s="81">
        <v>61</v>
      </c>
      <c r="B72" s="62" t="s">
        <v>115</v>
      </c>
      <c r="C72" s="63" t="s">
        <v>116</v>
      </c>
      <c r="D72" s="2">
        <v>1078924488.9400001</v>
      </c>
      <c r="E72" s="3">
        <f t="shared" si="31"/>
        <v>3.5946567718598316E-3</v>
      </c>
      <c r="F72" s="2">
        <v>210.25992099999999</v>
      </c>
      <c r="G72" s="2">
        <v>212.18471600000001</v>
      </c>
      <c r="H72" s="60">
        <v>485</v>
      </c>
      <c r="I72" s="5">
        <v>9.5999999999999992E-3</v>
      </c>
      <c r="J72" s="5">
        <v>6.3799999999999996E-2</v>
      </c>
      <c r="K72" s="2">
        <v>1067190097.5599999</v>
      </c>
      <c r="L72" s="3">
        <f t="shared" si="20"/>
        <v>3.5738333186204102E-3</v>
      </c>
      <c r="M72" s="2">
        <v>207.596069</v>
      </c>
      <c r="N72" s="2">
        <v>208.981955</v>
      </c>
      <c r="O72" s="60">
        <v>485</v>
      </c>
      <c r="P72" s="5">
        <v>1.6999999999999999E-3</v>
      </c>
      <c r="Q72" s="5">
        <v>4.7800000000000002E-2</v>
      </c>
      <c r="R72" s="86">
        <f t="shared" si="26"/>
        <v>-1.0876008006388549E-2</v>
      </c>
      <c r="S72" s="86">
        <f t="shared" si="27"/>
        <v>-1.5094211592507019E-2</v>
      </c>
      <c r="T72" s="86">
        <f t="shared" si="28"/>
        <v>0</v>
      </c>
      <c r="U72" s="87">
        <f t="shared" si="29"/>
        <v>-7.899999999999999E-3</v>
      </c>
      <c r="V72" s="89">
        <f t="shared" si="30"/>
        <v>-1.5999999999999993E-2</v>
      </c>
    </row>
    <row r="73" spans="1:22" x14ac:dyDescent="0.25">
      <c r="A73" s="81">
        <v>62</v>
      </c>
      <c r="B73" s="62" t="s">
        <v>117</v>
      </c>
      <c r="C73" s="63" t="s">
        <v>35</v>
      </c>
      <c r="D73" s="2">
        <v>1242069064.9100001</v>
      </c>
      <c r="E73" s="3">
        <f t="shared" si="31"/>
        <v>4.1382061683323534E-3</v>
      </c>
      <c r="F73" s="14">
        <v>3.5413999999999999</v>
      </c>
      <c r="G73" s="14">
        <v>3.5413999999999999</v>
      </c>
      <c r="H73" s="61">
        <v>785</v>
      </c>
      <c r="I73" s="12">
        <v>-1E-4</v>
      </c>
      <c r="J73" s="12">
        <v>-1.4200000000000001E-2</v>
      </c>
      <c r="K73" s="2">
        <v>1243513632.05</v>
      </c>
      <c r="L73" s="3">
        <f t="shared" si="20"/>
        <v>4.1643100517329461E-3</v>
      </c>
      <c r="M73" s="14">
        <v>3.55</v>
      </c>
      <c r="N73" s="14">
        <v>3.55</v>
      </c>
      <c r="O73" s="61">
        <v>785</v>
      </c>
      <c r="P73" s="12">
        <v>2.0999999999999999E-3</v>
      </c>
      <c r="Q73" s="12">
        <v>-1.06E-2</v>
      </c>
      <c r="R73" s="86">
        <f t="shared" si="26"/>
        <v>1.1630328625119887E-3</v>
      </c>
      <c r="S73" s="86">
        <f t="shared" si="27"/>
        <v>2.4284181397187386E-3</v>
      </c>
      <c r="T73" s="86">
        <f t="shared" si="28"/>
        <v>0</v>
      </c>
      <c r="U73" s="87">
        <f t="shared" si="29"/>
        <v>2.1999999999999997E-3</v>
      </c>
      <c r="V73" s="89">
        <f t="shared" si="30"/>
        <v>3.6000000000000008E-3</v>
      </c>
    </row>
    <row r="74" spans="1:22" x14ac:dyDescent="0.25">
      <c r="A74" s="81">
        <v>63</v>
      </c>
      <c r="B74" s="63" t="s">
        <v>118</v>
      </c>
      <c r="C74" s="71" t="s">
        <v>41</v>
      </c>
      <c r="D74" s="2">
        <v>1905506730</v>
      </c>
      <c r="E74" s="3">
        <f t="shared" si="31"/>
        <v>6.3485839287497148E-3</v>
      </c>
      <c r="F74" s="14">
        <v>99.93</v>
      </c>
      <c r="G74" s="14">
        <v>99.93</v>
      </c>
      <c r="H74" s="60">
        <v>169</v>
      </c>
      <c r="I74" s="5">
        <v>1.9E-3</v>
      </c>
      <c r="J74" s="5">
        <v>0.1022</v>
      </c>
      <c r="K74" s="2">
        <v>1909357258</v>
      </c>
      <c r="L74" s="3">
        <f t="shared" si="20"/>
        <v>6.3941041070299676E-3</v>
      </c>
      <c r="M74" s="14">
        <v>100.09</v>
      </c>
      <c r="N74" s="14">
        <v>100</v>
      </c>
      <c r="O74" s="60">
        <v>169</v>
      </c>
      <c r="P74" s="5">
        <v>1.9E-3</v>
      </c>
      <c r="Q74" s="5">
        <v>0.10249999999999999</v>
      </c>
      <c r="R74" s="86">
        <f t="shared" si="26"/>
        <v>2.0207370246338621E-3</v>
      </c>
      <c r="S74" s="86">
        <f t="shared" si="27"/>
        <v>7.0049034324019984E-4</v>
      </c>
      <c r="T74" s="86">
        <f t="shared" si="28"/>
        <v>0</v>
      </c>
      <c r="U74" s="87">
        <f t="shared" si="29"/>
        <v>0</v>
      </c>
      <c r="V74" s="89">
        <f t="shared" si="30"/>
        <v>2.9999999999999472E-4</v>
      </c>
    </row>
    <row r="75" spans="1:22" x14ac:dyDescent="0.25">
      <c r="A75" s="81">
        <v>64</v>
      </c>
      <c r="B75" s="62" t="s">
        <v>119</v>
      </c>
      <c r="C75" s="63" t="s">
        <v>17</v>
      </c>
      <c r="D75" s="2">
        <v>1633740516.1700001</v>
      </c>
      <c r="E75" s="3">
        <f t="shared" si="31"/>
        <v>5.4431394134746118E-3</v>
      </c>
      <c r="F75" s="14">
        <v>337.81619999999998</v>
      </c>
      <c r="G75" s="14">
        <v>337.81619999999998</v>
      </c>
      <c r="H75" s="60">
        <v>193</v>
      </c>
      <c r="I75" s="5">
        <v>2.0999999999999999E-3</v>
      </c>
      <c r="J75" s="5">
        <v>0.1268</v>
      </c>
      <c r="K75" s="2">
        <v>1637144209.4100001</v>
      </c>
      <c r="L75" s="3">
        <f t="shared" si="20"/>
        <v>5.482510132312185E-3</v>
      </c>
      <c r="M75" s="14">
        <v>338.52030000000002</v>
      </c>
      <c r="N75" s="14">
        <v>338.52030000000002</v>
      </c>
      <c r="O75" s="60">
        <v>193</v>
      </c>
      <c r="P75" s="5">
        <v>2E-3</v>
      </c>
      <c r="Q75" s="5">
        <v>0.12889999999999999</v>
      </c>
      <c r="R75" s="86">
        <f t="shared" si="26"/>
        <v>2.083374444296291E-3</v>
      </c>
      <c r="S75" s="86">
        <f t="shared" si="27"/>
        <v>2.0842694932926235E-3</v>
      </c>
      <c r="T75" s="86">
        <f t="shared" si="28"/>
        <v>0</v>
      </c>
      <c r="U75" s="87">
        <f t="shared" si="29"/>
        <v>-9.9999999999999829E-5</v>
      </c>
      <c r="V75" s="89">
        <f t="shared" si="30"/>
        <v>2.0999999999999908E-3</v>
      </c>
    </row>
    <row r="76" spans="1:22" x14ac:dyDescent="0.25">
      <c r="A76" s="81">
        <v>65</v>
      </c>
      <c r="B76" s="62" t="s">
        <v>120</v>
      </c>
      <c r="C76" s="63" t="s">
        <v>39</v>
      </c>
      <c r="D76" s="2">
        <v>54971654.630000003</v>
      </c>
      <c r="E76" s="3">
        <f t="shared" si="31"/>
        <v>1.8314926818484544E-4</v>
      </c>
      <c r="F76" s="14">
        <v>12.052794</v>
      </c>
      <c r="G76" s="2">
        <v>12.343901000000001</v>
      </c>
      <c r="H76" s="60">
        <v>53</v>
      </c>
      <c r="I76" s="5">
        <v>2.4688077662296401E-4</v>
      </c>
      <c r="J76" s="5">
        <v>9.0111483467381695E-2</v>
      </c>
      <c r="K76" s="2">
        <v>54684427.520000003</v>
      </c>
      <c r="L76" s="3">
        <f t="shared" si="20"/>
        <v>1.8312860054407618E-4</v>
      </c>
      <c r="M76" s="14">
        <v>12.07</v>
      </c>
      <c r="N76" s="2">
        <v>12.37</v>
      </c>
      <c r="O76" s="60">
        <v>53</v>
      </c>
      <c r="P76" s="5">
        <v>2.9999999999999997E-4</v>
      </c>
      <c r="Q76" s="5">
        <v>9.2100000000000001E-2</v>
      </c>
      <c r="R76" s="86">
        <f t="shared" si="26"/>
        <v>-5.2250039030706068E-3</v>
      </c>
      <c r="S76" s="86">
        <f t="shared" si="27"/>
        <v>2.114323502756425E-3</v>
      </c>
      <c r="T76" s="86">
        <f t="shared" si="28"/>
        <v>0</v>
      </c>
      <c r="U76" s="87">
        <f t="shared" si="29"/>
        <v>5.3119223377035962E-5</v>
      </c>
      <c r="V76" s="89">
        <f t="shared" si="30"/>
        <v>1.9885165326183063E-3</v>
      </c>
    </row>
    <row r="77" spans="1:22" x14ac:dyDescent="0.25">
      <c r="A77" s="81">
        <v>66</v>
      </c>
      <c r="B77" s="62" t="s">
        <v>121</v>
      </c>
      <c r="C77" s="63" t="s">
        <v>122</v>
      </c>
      <c r="D77" s="2">
        <v>6916181545.5799999</v>
      </c>
      <c r="E77" s="3">
        <f t="shared" si="31"/>
        <v>2.3042668030138394E-2</v>
      </c>
      <c r="F77" s="14">
        <v>1.08</v>
      </c>
      <c r="G77" s="14">
        <v>1.08</v>
      </c>
      <c r="H77" s="60">
        <v>3492</v>
      </c>
      <c r="I77" s="5">
        <v>0</v>
      </c>
      <c r="J77" s="5">
        <v>0.1002</v>
      </c>
      <c r="K77" s="2">
        <v>6934610856</v>
      </c>
      <c r="L77" s="3">
        <f t="shared" si="20"/>
        <v>2.3222801060001626E-2</v>
      </c>
      <c r="M77" s="14">
        <v>1.08</v>
      </c>
      <c r="N77" s="14">
        <v>1.08</v>
      </c>
      <c r="O77" s="60">
        <v>3510</v>
      </c>
      <c r="P77" s="5">
        <v>0</v>
      </c>
      <c r="Q77" s="5">
        <v>0.1002</v>
      </c>
      <c r="R77" s="86">
        <f t="shared" si="26"/>
        <v>2.6646655092184353E-3</v>
      </c>
      <c r="S77" s="86">
        <f t="shared" si="27"/>
        <v>0</v>
      </c>
      <c r="T77" s="86">
        <f t="shared" si="28"/>
        <v>5.1546391752577319E-3</v>
      </c>
      <c r="U77" s="87">
        <f t="shared" si="29"/>
        <v>0</v>
      </c>
      <c r="V77" s="89">
        <f t="shared" si="30"/>
        <v>0</v>
      </c>
    </row>
    <row r="78" spans="1:22" ht="14.25" customHeight="1" x14ac:dyDescent="0.25">
      <c r="A78" s="81">
        <v>67</v>
      </c>
      <c r="B78" s="62" t="s">
        <v>123</v>
      </c>
      <c r="C78" s="63" t="s">
        <v>43</v>
      </c>
      <c r="D78" s="2">
        <v>23134172112.360001</v>
      </c>
      <c r="E78" s="3">
        <f t="shared" si="31"/>
        <v>7.7076208110510608E-2</v>
      </c>
      <c r="F78" s="2">
        <v>4885.32</v>
      </c>
      <c r="G78" s="2">
        <v>4885.32</v>
      </c>
      <c r="H78" s="60">
        <v>1137</v>
      </c>
      <c r="I78" s="5">
        <v>1.6000000000000001E-3</v>
      </c>
      <c r="J78" s="5">
        <v>6.83E-2</v>
      </c>
      <c r="K78" s="2">
        <v>22624693141.619999</v>
      </c>
      <c r="L78" s="3">
        <f t="shared" si="20"/>
        <v>7.576614734146582E-2</v>
      </c>
      <c r="M78" s="2">
        <v>4893.49</v>
      </c>
      <c r="N78" s="2">
        <v>4893.49</v>
      </c>
      <c r="O78" s="60">
        <v>1136</v>
      </c>
      <c r="P78" s="5">
        <v>1.6999999999999999E-3</v>
      </c>
      <c r="Q78" s="5">
        <v>7.0300000000000001E-2</v>
      </c>
      <c r="R78" s="86">
        <f t="shared" si="26"/>
        <v>-2.2022788119044037E-2</v>
      </c>
      <c r="S78" s="86">
        <f t="shared" si="27"/>
        <v>1.6723571843809768E-3</v>
      </c>
      <c r="T78" s="86">
        <f t="shared" si="28"/>
        <v>-8.7950747581354446E-4</v>
      </c>
      <c r="U78" s="87">
        <f t="shared" si="29"/>
        <v>9.9999999999999829E-5</v>
      </c>
      <c r="V78" s="89">
        <f t="shared" si="30"/>
        <v>2.0000000000000018E-3</v>
      </c>
    </row>
    <row r="79" spans="1:22" x14ac:dyDescent="0.25">
      <c r="A79" s="81">
        <v>68</v>
      </c>
      <c r="B79" s="62" t="s">
        <v>124</v>
      </c>
      <c r="C79" s="63" t="s">
        <v>43</v>
      </c>
      <c r="D79" s="2">
        <v>39108555672.959999</v>
      </c>
      <c r="E79" s="3">
        <f t="shared" si="31"/>
        <v>0.13029812181349124</v>
      </c>
      <c r="F79" s="14">
        <v>254.02</v>
      </c>
      <c r="G79" s="14">
        <v>254.02</v>
      </c>
      <c r="H79" s="60">
        <v>11931</v>
      </c>
      <c r="I79" s="5">
        <v>6.9999999999999999E-4</v>
      </c>
      <c r="J79" s="5">
        <v>3.6299999999999999E-2</v>
      </c>
      <c r="K79" s="2">
        <v>38968563198.739998</v>
      </c>
      <c r="L79" s="3">
        <f t="shared" si="20"/>
        <v>0.13049891472647612</v>
      </c>
      <c r="M79" s="14">
        <v>254.17</v>
      </c>
      <c r="N79" s="14">
        <v>254.17</v>
      </c>
      <c r="O79" s="60">
        <v>11731</v>
      </c>
      <c r="P79" s="5">
        <v>5.9999999999999995E-4</v>
      </c>
      <c r="Q79" s="5">
        <v>3.7100000000000001E-2</v>
      </c>
      <c r="R79" s="86">
        <f t="shared" si="26"/>
        <v>-3.5795869167521638E-3</v>
      </c>
      <c r="S79" s="86">
        <f t="shared" si="27"/>
        <v>5.9050468467040885E-4</v>
      </c>
      <c r="T79" s="86">
        <f t="shared" si="28"/>
        <v>-1.6763054228480428E-2</v>
      </c>
      <c r="U79" s="87">
        <f t="shared" si="29"/>
        <v>-1.0000000000000005E-4</v>
      </c>
      <c r="V79" s="89">
        <f t="shared" si="30"/>
        <v>8.000000000000021E-4</v>
      </c>
    </row>
    <row r="80" spans="1:22" ht="12.75" customHeight="1" x14ac:dyDescent="0.25">
      <c r="A80" s="81">
        <v>69</v>
      </c>
      <c r="B80" s="62" t="s">
        <v>125</v>
      </c>
      <c r="C80" s="63" t="s">
        <v>43</v>
      </c>
      <c r="D80" s="2">
        <v>266897677.49000001</v>
      </c>
      <c r="E80" s="3">
        <f t="shared" si="31"/>
        <v>8.8922399446662598E-4</v>
      </c>
      <c r="F80" s="2">
        <v>5078.3</v>
      </c>
      <c r="G80" s="7">
        <v>5103.7700000000004</v>
      </c>
      <c r="H80" s="60">
        <v>1132</v>
      </c>
      <c r="I80" s="5">
        <v>-1.2999999999999999E-3</v>
      </c>
      <c r="J80" s="5">
        <v>0.1981</v>
      </c>
      <c r="K80" s="2">
        <v>267348300.72</v>
      </c>
      <c r="L80" s="3">
        <f t="shared" si="20"/>
        <v>8.9530278342558076E-4</v>
      </c>
      <c r="M80" s="2">
        <v>5086.91</v>
      </c>
      <c r="N80" s="7">
        <v>5112.3599999999997</v>
      </c>
      <c r="O80" s="60">
        <v>1132</v>
      </c>
      <c r="P80" s="5">
        <v>1.6999999999999999E-3</v>
      </c>
      <c r="Q80" s="5">
        <v>0.20039999999999999</v>
      </c>
      <c r="R80" s="86">
        <f t="shared" si="26"/>
        <v>1.6883744895714687E-3</v>
      </c>
      <c r="S80" s="86">
        <f t="shared" si="27"/>
        <v>1.6830695740598098E-3</v>
      </c>
      <c r="T80" s="86">
        <f t="shared" si="28"/>
        <v>0</v>
      </c>
      <c r="U80" s="87">
        <f t="shared" si="29"/>
        <v>3.0000000000000001E-3</v>
      </c>
      <c r="V80" s="89">
        <f t="shared" si="30"/>
        <v>2.2999999999999965E-3</v>
      </c>
    </row>
    <row r="81" spans="1:28" ht="12.75" customHeight="1" x14ac:dyDescent="0.25">
      <c r="A81" s="81">
        <v>70</v>
      </c>
      <c r="B81" s="62" t="s">
        <v>126</v>
      </c>
      <c r="C81" s="63" t="s">
        <v>43</v>
      </c>
      <c r="D81" s="2">
        <v>18993145008.619999</v>
      </c>
      <c r="E81" s="3">
        <f t="shared" si="31"/>
        <v>6.3279532556748189E-2</v>
      </c>
      <c r="F81" s="14">
        <v>123.09</v>
      </c>
      <c r="G81" s="14">
        <v>123.09</v>
      </c>
      <c r="H81" s="60">
        <v>5951</v>
      </c>
      <c r="I81" s="5">
        <v>1.6999999999999999E-3</v>
      </c>
      <c r="J81" s="5">
        <v>7.0099999999999996E-2</v>
      </c>
      <c r="K81" s="2">
        <v>19669045339.02</v>
      </c>
      <c r="L81" s="3">
        <f t="shared" si="20"/>
        <v>6.5868198869876673E-2</v>
      </c>
      <c r="M81" s="14">
        <v>123.28</v>
      </c>
      <c r="N81" s="14">
        <v>123.28</v>
      </c>
      <c r="O81" s="60">
        <v>5963</v>
      </c>
      <c r="P81" s="5">
        <v>1.5E-3</v>
      </c>
      <c r="Q81" s="5">
        <v>7.1999999999999995E-2</v>
      </c>
      <c r="R81" s="86">
        <f t="shared" si="26"/>
        <v>3.558654083319248E-2</v>
      </c>
      <c r="S81" s="86">
        <f t="shared" si="27"/>
        <v>1.5435859939881202E-3</v>
      </c>
      <c r="T81" s="86">
        <f t="shared" si="28"/>
        <v>2.0164678205343641E-3</v>
      </c>
      <c r="U81" s="87">
        <f t="shared" si="29"/>
        <v>-1.9999999999999987E-4</v>
      </c>
      <c r="V81" s="89">
        <f t="shared" si="30"/>
        <v>1.8999999999999989E-3</v>
      </c>
    </row>
    <row r="82" spans="1:28" ht="12.75" customHeight="1" x14ac:dyDescent="0.25">
      <c r="A82" s="81">
        <v>71</v>
      </c>
      <c r="B82" s="62" t="s">
        <v>127</v>
      </c>
      <c r="C82" s="63" t="s">
        <v>43</v>
      </c>
      <c r="D82" s="2">
        <v>14025714512.610001</v>
      </c>
      <c r="E82" s="3">
        <f t="shared" si="31"/>
        <v>4.6729525717281242E-2</v>
      </c>
      <c r="F82" s="14">
        <v>346.58</v>
      </c>
      <c r="G82" s="14">
        <v>346.69</v>
      </c>
      <c r="H82" s="60">
        <v>17855</v>
      </c>
      <c r="I82" s="5">
        <v>8.0000000000000004E-4</v>
      </c>
      <c r="J82" s="5">
        <v>4.24E-2</v>
      </c>
      <c r="K82" s="2">
        <v>13736547395.209999</v>
      </c>
      <c r="L82" s="3">
        <f t="shared" si="20"/>
        <v>4.6001298996357888E-2</v>
      </c>
      <c r="M82" s="14">
        <v>347.04</v>
      </c>
      <c r="N82" s="14">
        <v>347.16</v>
      </c>
      <c r="O82" s="60">
        <v>17711</v>
      </c>
      <c r="P82" s="5">
        <v>1.4E-3</v>
      </c>
      <c r="Q82" s="5">
        <v>4.3999999999999997E-2</v>
      </c>
      <c r="R82" s="86">
        <f t="shared" si="26"/>
        <v>-2.0616925942704884E-2</v>
      </c>
      <c r="S82" s="86">
        <f t="shared" si="27"/>
        <v>1.3556779832127471E-3</v>
      </c>
      <c r="T82" s="86">
        <f t="shared" si="28"/>
        <v>-8.064967796135537E-3</v>
      </c>
      <c r="U82" s="87">
        <f t="shared" si="29"/>
        <v>5.9999999999999995E-4</v>
      </c>
      <c r="V82" s="89">
        <f t="shared" si="30"/>
        <v>1.5999999999999973E-3</v>
      </c>
    </row>
    <row r="83" spans="1:28" x14ac:dyDescent="0.25">
      <c r="A83" s="81">
        <v>72</v>
      </c>
      <c r="B83" s="62" t="s">
        <v>128</v>
      </c>
      <c r="C83" s="63" t="s">
        <v>46</v>
      </c>
      <c r="D83" s="2">
        <v>102006304768.08</v>
      </c>
      <c r="E83" s="3">
        <f t="shared" si="31"/>
        <v>0.33985478869538188</v>
      </c>
      <c r="F83" s="2">
        <v>1.9124000000000001</v>
      </c>
      <c r="G83" s="2">
        <v>1.9124000000000001</v>
      </c>
      <c r="H83" s="60">
        <v>6077</v>
      </c>
      <c r="I83" s="5">
        <v>5.8999999999999997E-2</v>
      </c>
      <c r="J83" s="5">
        <v>6.6600000000000006E-2</v>
      </c>
      <c r="K83" s="2">
        <v>102106921136.2</v>
      </c>
      <c r="L83" s="3">
        <f t="shared" si="20"/>
        <v>0.34193825228759855</v>
      </c>
      <c r="M83" s="2">
        <v>1.9145000000000001</v>
      </c>
      <c r="N83" s="2">
        <v>1.9145000000000001</v>
      </c>
      <c r="O83" s="60">
        <v>6078</v>
      </c>
      <c r="P83" s="5" t="s">
        <v>245</v>
      </c>
      <c r="Q83" s="5" t="s">
        <v>246</v>
      </c>
      <c r="R83" s="86">
        <f t="shared" si="26"/>
        <v>9.863740123588927E-4</v>
      </c>
      <c r="S83" s="86">
        <f t="shared" si="27"/>
        <v>1.0980966325036554E-3</v>
      </c>
      <c r="T83" s="86">
        <f t="shared" si="28"/>
        <v>1.645548790521639E-4</v>
      </c>
      <c r="U83" s="87" t="e">
        <f t="shared" si="29"/>
        <v>#VALUE!</v>
      </c>
      <c r="V83" s="89" t="e">
        <f t="shared" si="30"/>
        <v>#VALUE!</v>
      </c>
    </row>
    <row r="84" spans="1:28" ht="15.75" customHeight="1" x14ac:dyDescent="0.25">
      <c r="A84" s="81">
        <v>73</v>
      </c>
      <c r="B84" s="62" t="s">
        <v>129</v>
      </c>
      <c r="C84" s="63" t="s">
        <v>33</v>
      </c>
      <c r="D84" s="2">
        <v>9386747947.3500004</v>
      </c>
      <c r="E84" s="3">
        <f t="shared" si="31"/>
        <v>3.1273863389488309E-2</v>
      </c>
      <c r="F84" s="14">
        <v>1</v>
      </c>
      <c r="G84" s="14">
        <v>1</v>
      </c>
      <c r="H84" s="60">
        <v>5498</v>
      </c>
      <c r="I84" s="5">
        <v>0.06</v>
      </c>
      <c r="J84" s="5">
        <v>0.06</v>
      </c>
      <c r="K84" s="2">
        <v>9386747947.3500004</v>
      </c>
      <c r="L84" s="3">
        <f t="shared" si="20"/>
        <v>3.1434580066317663E-2</v>
      </c>
      <c r="M84" s="14">
        <v>1</v>
      </c>
      <c r="N84" s="14">
        <v>1</v>
      </c>
      <c r="O84" s="60">
        <v>5516</v>
      </c>
      <c r="P84" s="5">
        <v>0.06</v>
      </c>
      <c r="Q84" s="5">
        <v>0.06</v>
      </c>
      <c r="R84" s="86">
        <f t="shared" si="26"/>
        <v>0</v>
      </c>
      <c r="S84" s="86">
        <f t="shared" si="27"/>
        <v>0</v>
      </c>
      <c r="T84" s="86">
        <f t="shared" si="28"/>
        <v>3.2739177882866498E-3</v>
      </c>
      <c r="U84" s="87">
        <f t="shared" si="29"/>
        <v>0</v>
      </c>
      <c r="V84" s="89">
        <f t="shared" si="30"/>
        <v>0</v>
      </c>
    </row>
    <row r="85" spans="1:28" x14ac:dyDescent="0.25">
      <c r="A85" s="81">
        <v>74</v>
      </c>
      <c r="B85" s="62" t="s">
        <v>130</v>
      </c>
      <c r="C85" s="63" t="s">
        <v>93</v>
      </c>
      <c r="D85" s="2">
        <v>2575383601.8099999</v>
      </c>
      <c r="E85" s="3">
        <f t="shared" si="31"/>
        <v>8.5804152183794804E-3</v>
      </c>
      <c r="F85" s="14">
        <v>24.893699999999999</v>
      </c>
      <c r="G85" s="14">
        <v>24.893699999999999</v>
      </c>
      <c r="H85" s="60">
        <v>0</v>
      </c>
      <c r="I85" s="5">
        <v>1.6000000000000001E-3</v>
      </c>
      <c r="J85" s="5">
        <v>5.67E-2</v>
      </c>
      <c r="K85" s="2">
        <v>2579523465.5700002</v>
      </c>
      <c r="L85" s="3">
        <f t="shared" si="20"/>
        <v>8.6383737335034207E-3</v>
      </c>
      <c r="M85" s="14">
        <v>24.933499999999999</v>
      </c>
      <c r="N85" s="14">
        <v>24.933499999999999</v>
      </c>
      <c r="O85" s="60">
        <v>1319</v>
      </c>
      <c r="P85" s="5">
        <v>1.6000000000000001E-3</v>
      </c>
      <c r="Q85" s="5">
        <v>5.8400000000000001E-2</v>
      </c>
      <c r="R85" s="86">
        <f t="shared" si="26"/>
        <v>1.6074746135258063E-3</v>
      </c>
      <c r="S85" s="86">
        <f t="shared" si="27"/>
        <v>1.5987980894764384E-3</v>
      </c>
      <c r="T85" s="86" t="e">
        <f t="shared" si="28"/>
        <v>#DIV/0!</v>
      </c>
      <c r="U85" s="87">
        <f t="shared" si="29"/>
        <v>0</v>
      </c>
      <c r="V85" s="89">
        <f t="shared" si="30"/>
        <v>1.7000000000000001E-3</v>
      </c>
    </row>
    <row r="86" spans="1:28" x14ac:dyDescent="0.25">
      <c r="A86" s="81"/>
      <c r="B86" s="19"/>
      <c r="C86" s="77" t="s">
        <v>47</v>
      </c>
      <c r="D86" s="59">
        <f>SUM(D57:D85)</f>
        <v>300146733726.06244</v>
      </c>
      <c r="E86" s="126">
        <f>(D86/$D$170)</f>
        <v>0.154869920202654</v>
      </c>
      <c r="F86" s="30"/>
      <c r="G86" s="11"/>
      <c r="H86" s="69">
        <f>SUM(H57:H85)</f>
        <v>62213</v>
      </c>
      <c r="I86" s="12"/>
      <c r="J86" s="12"/>
      <c r="K86" s="59">
        <f>SUM(K57:K85)</f>
        <v>298612163023.86542</v>
      </c>
      <c r="L86" s="126">
        <f>(K86/$K$170)</f>
        <v>0.15431612749851922</v>
      </c>
      <c r="M86" s="30"/>
      <c r="N86" s="11"/>
      <c r="O86" s="69">
        <f>SUM(O57:O85)</f>
        <v>63922</v>
      </c>
      <c r="P86" s="12"/>
      <c r="Q86" s="12"/>
      <c r="R86" s="86">
        <f t="shared" si="26"/>
        <v>-5.1127349718141247E-3</v>
      </c>
      <c r="S86" s="86" t="e">
        <f t="shared" si="27"/>
        <v>#DIV/0!</v>
      </c>
      <c r="T86" s="86">
        <f t="shared" si="28"/>
        <v>2.7470142896179255E-2</v>
      </c>
      <c r="U86" s="87">
        <f t="shared" si="29"/>
        <v>0</v>
      </c>
      <c r="V86" s="89">
        <f t="shared" si="30"/>
        <v>0</v>
      </c>
    </row>
    <row r="87" spans="1:28" ht="8.25" customHeight="1" x14ac:dyDescent="0.25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</row>
    <row r="88" spans="1:28" ht="15" customHeight="1" x14ac:dyDescent="0.25">
      <c r="A88" s="129" t="s">
        <v>131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</row>
    <row r="89" spans="1:28" x14ac:dyDescent="0.25">
      <c r="A89" s="130" t="s">
        <v>236</v>
      </c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AB89" s="70"/>
    </row>
    <row r="90" spans="1:28" ht="15.75" x14ac:dyDescent="0.25">
      <c r="A90" s="81">
        <v>75</v>
      </c>
      <c r="B90" s="62" t="s">
        <v>132</v>
      </c>
      <c r="C90" s="63" t="s">
        <v>17</v>
      </c>
      <c r="D90" s="2">
        <v>1323170463.6700001</v>
      </c>
      <c r="E90" s="3">
        <f t="shared" ref="E90:E100" si="32">(D90/$D$112)</f>
        <v>2.2790492577376745E-3</v>
      </c>
      <c r="F90" s="2">
        <f>108.621*766.97</f>
        <v>83309.048370000004</v>
      </c>
      <c r="G90" s="2">
        <f>108.621*766.97</f>
        <v>83309.048370000004</v>
      </c>
      <c r="H90" s="60">
        <v>262</v>
      </c>
      <c r="I90" s="5">
        <v>1.1000000000000001E-3</v>
      </c>
      <c r="J90" s="5">
        <v>4.9799999999999997E-2</v>
      </c>
      <c r="K90" s="2">
        <v>1319624931.73</v>
      </c>
      <c r="L90" s="3">
        <f t="shared" ref="L90:L100" si="33">(K90/$K$112)</f>
        <v>2.2979083911229617E-3</v>
      </c>
      <c r="M90" s="2">
        <f>108.7426*759.21</f>
        <v>82558.469345999998</v>
      </c>
      <c r="N90" s="2">
        <f>108.7426*759.21</f>
        <v>82558.469345999998</v>
      </c>
      <c r="O90" s="60">
        <v>262</v>
      </c>
      <c r="P90" s="5">
        <v>1.1000000000000001E-3</v>
      </c>
      <c r="Q90" s="5">
        <v>5.0900000000000001E-2</v>
      </c>
      <c r="R90" s="87">
        <f t="shared" ref="R90" si="34">((K90-D90)/D90)</f>
        <v>-2.6795730688894187E-3</v>
      </c>
      <c r="S90" s="87">
        <f t="shared" ref="S90" si="35">((N90-G90)/G90)</f>
        <v>-9.0095738540484065E-3</v>
      </c>
      <c r="T90" s="87">
        <f t="shared" ref="T90" si="36">((O90-H90)/H90)</f>
        <v>0</v>
      </c>
      <c r="U90" s="87">
        <f t="shared" ref="U90" si="37">P90-I90</f>
        <v>0</v>
      </c>
      <c r="V90" s="89">
        <f t="shared" ref="V90" si="38">Q90-J90</f>
        <v>1.1000000000000038E-3</v>
      </c>
      <c r="AA90" s="127"/>
    </row>
    <row r="91" spans="1:28" x14ac:dyDescent="0.25">
      <c r="A91" s="81">
        <v>76</v>
      </c>
      <c r="B91" s="62" t="s">
        <v>133</v>
      </c>
      <c r="C91" s="63" t="s">
        <v>21</v>
      </c>
      <c r="D91" s="2">
        <f>10269711.25*768.76</f>
        <v>7894943220.5500002</v>
      </c>
      <c r="E91" s="3">
        <f t="shared" si="32"/>
        <v>1.3598372228450095E-2</v>
      </c>
      <c r="F91" s="2">
        <f>1.1543*768.76</f>
        <v>887.37966800000004</v>
      </c>
      <c r="G91" s="2">
        <f>1.1543*768.76</f>
        <v>887.37966800000004</v>
      </c>
      <c r="H91" s="60">
        <v>0</v>
      </c>
      <c r="I91" s="5">
        <v>3.6200000000000003E-2</v>
      </c>
      <c r="J91" s="5">
        <v>3.4599999999999999E-2</v>
      </c>
      <c r="K91" s="2">
        <f>10325277.07*759.208</f>
        <v>7839032953.76056</v>
      </c>
      <c r="L91" s="3">
        <f t="shared" si="33"/>
        <v>1.3650378353431572E-2</v>
      </c>
      <c r="M91" s="2">
        <f>1.1592*759.208</f>
        <v>880.07391359999997</v>
      </c>
      <c r="N91" s="2">
        <f>1.1592*759.208</f>
        <v>880.07391359999997</v>
      </c>
      <c r="O91" s="60">
        <v>269</v>
      </c>
      <c r="P91" s="5">
        <v>0.2213</v>
      </c>
      <c r="Q91" s="5">
        <v>3.9399999999999998E-2</v>
      </c>
      <c r="R91" s="87">
        <f t="shared" ref="R91:R100" si="39">((K91-D91)/D91)</f>
        <v>-7.08178199988944E-3</v>
      </c>
      <c r="S91" s="87">
        <f t="shared" ref="S91:S100" si="40">((N91-G91)/G91)</f>
        <v>-8.2329522113865575E-3</v>
      </c>
      <c r="T91" s="87" t="e">
        <f t="shared" ref="T91:T100" si="41">((O91-H91)/H91)</f>
        <v>#DIV/0!</v>
      </c>
      <c r="U91" s="87">
        <f t="shared" ref="U91:U100" si="42">P91-I91</f>
        <v>0.18509999999999999</v>
      </c>
      <c r="V91" s="89">
        <f t="shared" ref="V91:V100" si="43">Q91-J91</f>
        <v>4.7999999999999987E-3</v>
      </c>
    </row>
    <row r="92" spans="1:28" x14ac:dyDescent="0.25">
      <c r="A92" s="81">
        <v>77</v>
      </c>
      <c r="B92" s="62" t="s">
        <v>134</v>
      </c>
      <c r="C92" s="63" t="s">
        <v>68</v>
      </c>
      <c r="D92" s="2">
        <v>1934028612.9437799</v>
      </c>
      <c r="E92" s="3">
        <f t="shared" si="32"/>
        <v>3.3312007755580027E-3</v>
      </c>
      <c r="F92" s="2">
        <v>81168.998347400004</v>
      </c>
      <c r="G92" s="2">
        <v>81168.998347400004</v>
      </c>
      <c r="H92" s="60">
        <v>39</v>
      </c>
      <c r="I92" s="5">
        <v>5.9241909159841732E-2</v>
      </c>
      <c r="J92" s="5">
        <v>5.5879436458156038E-2</v>
      </c>
      <c r="K92" s="2">
        <v>1917018032.3981998</v>
      </c>
      <c r="L92" s="3">
        <f>(K92/$K$112)</f>
        <v>3.3381695939973034E-3</v>
      </c>
      <c r="M92" s="2">
        <v>80444.416528799993</v>
      </c>
      <c r="N92" s="2">
        <v>80444.416528799993</v>
      </c>
      <c r="O92" s="60">
        <v>39</v>
      </c>
      <c r="P92" s="5">
        <v>5.9790887367196038E-2</v>
      </c>
      <c r="Q92" s="5">
        <v>5.6052598714994788E-2</v>
      </c>
      <c r="R92" s="87">
        <f t="shared" si="39"/>
        <v>-8.7954130728647231E-3</v>
      </c>
      <c r="S92" s="87">
        <f t="shared" si="40"/>
        <v>-8.926829619097059E-3</v>
      </c>
      <c r="T92" s="87">
        <f t="shared" si="41"/>
        <v>0</v>
      </c>
      <c r="U92" s="87">
        <f t="shared" si="42"/>
        <v>5.4897820735430591E-4</v>
      </c>
      <c r="V92" s="89">
        <f t="shared" si="43"/>
        <v>1.731622568387492E-4</v>
      </c>
      <c r="X92" s="67">
        <v>759.70799999999997</v>
      </c>
    </row>
    <row r="93" spans="1:28" x14ac:dyDescent="0.25">
      <c r="A93" s="81">
        <v>78</v>
      </c>
      <c r="B93" s="62" t="s">
        <v>135</v>
      </c>
      <c r="C93" s="63" t="s">
        <v>27</v>
      </c>
      <c r="D93" s="2">
        <v>21543041666.93</v>
      </c>
      <c r="E93" s="3">
        <f t="shared" si="32"/>
        <v>3.7106067939462119E-2</v>
      </c>
      <c r="F93" s="2">
        <v>95360.39</v>
      </c>
      <c r="G93" s="2">
        <v>95360.39</v>
      </c>
      <c r="H93" s="60">
        <v>0</v>
      </c>
      <c r="I93" s="5">
        <v>1.4E-3</v>
      </c>
      <c r="J93" s="5">
        <v>7.4399999999999994E-2</v>
      </c>
      <c r="K93" s="2">
        <v>21160254558.779999</v>
      </c>
      <c r="L93" s="3">
        <f t="shared" si="33"/>
        <v>3.684708081801169E-2</v>
      </c>
      <c r="M93" s="2">
        <v>93806.93</v>
      </c>
      <c r="N93" s="2">
        <v>93806.93</v>
      </c>
      <c r="O93" s="60">
        <v>1929</v>
      </c>
      <c r="P93" s="5">
        <v>1.5E-3</v>
      </c>
      <c r="Q93" s="5">
        <v>7.3400000000000007E-2</v>
      </c>
      <c r="R93" s="87">
        <f t="shared" si="39"/>
        <v>-1.7768480146311241E-2</v>
      </c>
      <c r="S93" s="87">
        <f t="shared" si="40"/>
        <v>-1.6290411563962839E-2</v>
      </c>
      <c r="T93" s="87" t="e">
        <f t="shared" si="41"/>
        <v>#DIV/0!</v>
      </c>
      <c r="U93" s="87">
        <f t="shared" si="42"/>
        <v>1.0000000000000005E-4</v>
      </c>
      <c r="V93" s="89">
        <f t="shared" si="43"/>
        <v>-9.9999999999998701E-4</v>
      </c>
    </row>
    <row r="94" spans="1:28" x14ac:dyDescent="0.25">
      <c r="A94" s="81">
        <v>79</v>
      </c>
      <c r="B94" s="104" t="s">
        <v>136</v>
      </c>
      <c r="C94" s="104" t="s">
        <v>27</v>
      </c>
      <c r="D94" s="2">
        <v>17153777943.559999</v>
      </c>
      <c r="E94" s="3">
        <f t="shared" si="32"/>
        <v>2.9545932261239975E-2</v>
      </c>
      <c r="F94" s="2">
        <v>84597.79</v>
      </c>
      <c r="G94" s="2">
        <v>84597.79</v>
      </c>
      <c r="H94" s="60">
        <v>0</v>
      </c>
      <c r="I94" s="5">
        <v>2.2000000000000001E-3</v>
      </c>
      <c r="J94" s="5">
        <v>9.5799999999999996E-2</v>
      </c>
      <c r="K94" s="2">
        <v>17754336242.41</v>
      </c>
      <c r="L94" s="3">
        <f t="shared" si="33"/>
        <v>3.0916237825824769E-2</v>
      </c>
      <c r="M94" s="2">
        <v>83242.990000000005</v>
      </c>
      <c r="N94" s="2">
        <v>83242.990000000005</v>
      </c>
      <c r="O94" s="60">
        <v>144</v>
      </c>
      <c r="P94" s="5">
        <v>1.8E-3</v>
      </c>
      <c r="Q94" s="5">
        <v>9.5699999999999993E-2</v>
      </c>
      <c r="R94" s="87">
        <f t="shared" si="39"/>
        <v>3.501026425933574E-2</v>
      </c>
      <c r="S94" s="87">
        <f t="shared" si="40"/>
        <v>-1.6014602745532579E-2</v>
      </c>
      <c r="T94" s="87" t="e">
        <f t="shared" si="41"/>
        <v>#DIV/0!</v>
      </c>
      <c r="U94" s="87">
        <f t="shared" si="42"/>
        <v>-4.0000000000000018E-4</v>
      </c>
      <c r="V94" s="89">
        <f t="shared" si="43"/>
        <v>-1.0000000000000286E-4</v>
      </c>
    </row>
    <row r="95" spans="1:28" x14ac:dyDescent="0.25">
      <c r="A95" s="81">
        <v>80</v>
      </c>
      <c r="B95" s="62" t="s">
        <v>137</v>
      </c>
      <c r="C95" s="63" t="s">
        <v>31</v>
      </c>
      <c r="D95" s="2">
        <f>89058.62*769.26</f>
        <v>68509234.021200001</v>
      </c>
      <c r="E95" s="3">
        <f t="shared" si="32"/>
        <v>1.1800136356666207E-4</v>
      </c>
      <c r="F95" s="2">
        <f>107.33*769.26</f>
        <v>82564.675799999997</v>
      </c>
      <c r="G95" s="2">
        <f>107.33*769.26</f>
        <v>82564.675799999997</v>
      </c>
      <c r="H95" s="60">
        <v>2</v>
      </c>
      <c r="I95" s="5">
        <v>2E-3</v>
      </c>
      <c r="J95" s="5">
        <v>9.2999999999999999E-2</v>
      </c>
      <c r="K95" s="2">
        <f>89494.27*759.708</f>
        <v>67989512.873160005</v>
      </c>
      <c r="L95" s="3">
        <f t="shared" si="33"/>
        <v>1.1839248288131236E-4</v>
      </c>
      <c r="M95" s="2">
        <f>107.86*759.708</f>
        <v>81942.104879999999</v>
      </c>
      <c r="N95" s="2">
        <f>107.86*759.708</f>
        <v>81942.104879999999</v>
      </c>
      <c r="O95" s="60">
        <v>2</v>
      </c>
      <c r="P95" s="5">
        <v>5.0000000000000001E-3</v>
      </c>
      <c r="Q95" s="5">
        <v>9.8000000000000004E-2</v>
      </c>
      <c r="R95" s="87">
        <f t="shared" si="39"/>
        <v>-7.5861474072118551E-3</v>
      </c>
      <c r="S95" s="87">
        <f t="shared" si="40"/>
        <v>-7.5404028898275926E-3</v>
      </c>
      <c r="T95" s="87">
        <f t="shared" si="41"/>
        <v>0</v>
      </c>
      <c r="U95" s="87">
        <f t="shared" si="42"/>
        <v>3.0000000000000001E-3</v>
      </c>
      <c r="V95" s="89">
        <f t="shared" si="43"/>
        <v>5.0000000000000044E-3</v>
      </c>
    </row>
    <row r="96" spans="1:28" x14ac:dyDescent="0.25">
      <c r="A96" s="81">
        <v>81</v>
      </c>
      <c r="B96" s="62" t="s">
        <v>138</v>
      </c>
      <c r="C96" s="63" t="s">
        <v>35</v>
      </c>
      <c r="D96" s="2">
        <f>769.26*12907348.71</f>
        <v>9929107068.6546001</v>
      </c>
      <c r="E96" s="3">
        <f t="shared" si="32"/>
        <v>1.7102047480753651E-2</v>
      </c>
      <c r="F96" s="2">
        <f>769.26*1.3093</f>
        <v>1007.1921179999999</v>
      </c>
      <c r="G96" s="2">
        <f>769.26*1.3093</f>
        <v>1007.1921179999999</v>
      </c>
      <c r="H96" s="61">
        <v>118</v>
      </c>
      <c r="I96" s="12">
        <v>2.2800000000000001E-2</v>
      </c>
      <c r="J96" s="12">
        <v>5.33E-2</v>
      </c>
      <c r="K96" s="2">
        <f>13097637.49*759.708</f>
        <v>9950379982.2529202</v>
      </c>
      <c r="L96" s="3">
        <f t="shared" si="33"/>
        <v>1.7326939728325174E-2</v>
      </c>
      <c r="M96" s="2">
        <f>1.31*759.708</f>
        <v>995.21748000000002</v>
      </c>
      <c r="N96" s="2">
        <f>1.31*759.708</f>
        <v>995.21748000000002</v>
      </c>
      <c r="O96" s="61">
        <v>118</v>
      </c>
      <c r="P96" s="12">
        <v>2.3800000000000002E-2</v>
      </c>
      <c r="Q96" s="12">
        <v>5.3199999999999997E-2</v>
      </c>
      <c r="R96" s="87">
        <f t="shared" si="39"/>
        <v>2.1424800287909978E-3</v>
      </c>
      <c r="S96" s="87">
        <f t="shared" si="40"/>
        <v>-1.1889129974307359E-2</v>
      </c>
      <c r="T96" s="87">
        <f t="shared" si="41"/>
        <v>0</v>
      </c>
      <c r="U96" s="87">
        <f t="shared" si="42"/>
        <v>1.0000000000000009E-3</v>
      </c>
      <c r="V96" s="89">
        <f t="shared" si="43"/>
        <v>-1.0000000000000286E-4</v>
      </c>
    </row>
    <row r="97" spans="1:22" x14ac:dyDescent="0.25">
      <c r="A97" s="81">
        <v>82</v>
      </c>
      <c r="B97" s="62" t="s">
        <v>139</v>
      </c>
      <c r="C97" s="63" t="s">
        <v>80</v>
      </c>
      <c r="D97" s="2">
        <f>4901645.05*769.26</f>
        <v>3770639471.1629996</v>
      </c>
      <c r="E97" s="3">
        <f t="shared" si="32"/>
        <v>6.4946077046756333E-3</v>
      </c>
      <c r="F97" s="2">
        <f>103.6*769.26</f>
        <v>79695.335999999996</v>
      </c>
      <c r="G97" s="2">
        <f>103.6*769.26</f>
        <v>79695.335999999996</v>
      </c>
      <c r="H97" s="60">
        <v>176</v>
      </c>
      <c r="I97" s="5">
        <v>2.2000000000000001E-3</v>
      </c>
      <c r="J97" s="5">
        <v>7.5700000000000003E-2</v>
      </c>
      <c r="K97" s="2">
        <f>4848726.59*759.708</f>
        <v>3683616380.2357197</v>
      </c>
      <c r="L97" s="3">
        <f t="shared" si="33"/>
        <v>6.414408205159268E-3</v>
      </c>
      <c r="M97" s="2">
        <f>101.97*759.708</f>
        <v>77467.424759999994</v>
      </c>
      <c r="N97" s="2">
        <f>101.97*759.708</f>
        <v>77467.424759999994</v>
      </c>
      <c r="O97" s="60">
        <v>180</v>
      </c>
      <c r="P97" s="5">
        <v>1.5800000000000002E-2</v>
      </c>
      <c r="Q97" s="5">
        <v>7.6200000000000004E-2</v>
      </c>
      <c r="R97" s="87">
        <f t="shared" si="39"/>
        <v>-2.3079133285696742E-2</v>
      </c>
      <c r="S97" s="87">
        <f t="shared" si="40"/>
        <v>-2.7955352870336118E-2</v>
      </c>
      <c r="T97" s="87">
        <f t="shared" si="41"/>
        <v>2.2727272727272728E-2</v>
      </c>
      <c r="U97" s="87">
        <f t="shared" si="42"/>
        <v>1.3600000000000001E-2</v>
      </c>
      <c r="V97" s="89">
        <f t="shared" si="43"/>
        <v>5.0000000000000044E-4</v>
      </c>
    </row>
    <row r="98" spans="1:22" x14ac:dyDescent="0.25">
      <c r="A98" s="81">
        <v>83</v>
      </c>
      <c r="B98" s="62" t="s">
        <v>140</v>
      </c>
      <c r="C98" s="63" t="s">
        <v>39</v>
      </c>
      <c r="D98" s="2">
        <f>1764292.35*769.26</f>
        <v>1357199533.161</v>
      </c>
      <c r="E98" s="3">
        <f t="shared" si="32"/>
        <v>2.3376614529871517E-3</v>
      </c>
      <c r="F98" s="2">
        <f>128.86*769.26</f>
        <v>99126.843600000007</v>
      </c>
      <c r="G98" s="2">
        <f>131.61*769.26</f>
        <v>101242.3086</v>
      </c>
      <c r="H98" s="60">
        <v>43</v>
      </c>
      <c r="I98" s="5">
        <v>4.0000000000000002E-4</v>
      </c>
      <c r="J98" s="5">
        <v>0.15529999999999999</v>
      </c>
      <c r="K98" s="2">
        <f>1797330.93*759.708</f>
        <v>1365446686.1684399</v>
      </c>
      <c r="L98" s="3">
        <f t="shared" si="33"/>
        <v>2.3776993919507714E-3</v>
      </c>
      <c r="M98" s="2">
        <f>129.02*759.708</f>
        <v>98017.526160000009</v>
      </c>
      <c r="N98" s="2">
        <f>131.76*759.708</f>
        <v>100099.12607999999</v>
      </c>
      <c r="O98" s="60">
        <v>43</v>
      </c>
      <c r="P98" s="5">
        <v>4.0000000000000002E-4</v>
      </c>
      <c r="Q98" s="5">
        <v>0.15670000000000001</v>
      </c>
      <c r="R98" s="87">
        <f t="shared" si="39"/>
        <v>6.0765958180310688E-3</v>
      </c>
      <c r="S98" s="87">
        <f t="shared" si="40"/>
        <v>-1.129154931182611E-2</v>
      </c>
      <c r="T98" s="87">
        <f t="shared" si="41"/>
        <v>0</v>
      </c>
      <c r="U98" s="87">
        <f t="shared" si="42"/>
        <v>0</v>
      </c>
      <c r="V98" s="89">
        <f t="shared" si="43"/>
        <v>1.4000000000000123E-3</v>
      </c>
    </row>
    <row r="99" spans="1:22" ht="16.5" customHeight="1" x14ac:dyDescent="0.25">
      <c r="A99" s="81">
        <v>84</v>
      </c>
      <c r="B99" s="62" t="s">
        <v>141</v>
      </c>
      <c r="C99" s="63" t="s">
        <v>46</v>
      </c>
      <c r="D99" s="2">
        <v>111815273351.25</v>
      </c>
      <c r="E99" s="3">
        <f t="shared" si="32"/>
        <v>0.19259235505309538</v>
      </c>
      <c r="F99" s="2">
        <v>92635.6</v>
      </c>
      <c r="G99" s="2">
        <v>92635.6</v>
      </c>
      <c r="H99" s="60">
        <v>2907</v>
      </c>
      <c r="I99" s="5">
        <v>5.5100000000000003E-2</v>
      </c>
      <c r="J99" s="5">
        <v>5.6399999999999999E-2</v>
      </c>
      <c r="K99" s="2">
        <v>109877796945</v>
      </c>
      <c r="L99" s="3">
        <f t="shared" si="33"/>
        <v>0.19133399614314092</v>
      </c>
      <c r="M99" s="2">
        <v>91083.08</v>
      </c>
      <c r="N99" s="2">
        <v>91083.08</v>
      </c>
      <c r="O99" s="60">
        <v>2911</v>
      </c>
      <c r="P99" s="5">
        <v>5.5E-2</v>
      </c>
      <c r="Q99" s="5">
        <v>5.6300000000000003E-2</v>
      </c>
      <c r="R99" s="87">
        <f t="shared" si="39"/>
        <v>-1.7327475470759027E-2</v>
      </c>
      <c r="S99" s="87">
        <f t="shared" si="40"/>
        <v>-1.6759431579220128E-2</v>
      </c>
      <c r="T99" s="87">
        <f t="shared" si="41"/>
        <v>1.3759889920880633E-3</v>
      </c>
      <c r="U99" s="87">
        <f t="shared" si="42"/>
        <v>-1.0000000000000286E-4</v>
      </c>
      <c r="V99" s="89">
        <f t="shared" si="43"/>
        <v>-9.9999999999995925E-5</v>
      </c>
    </row>
    <row r="100" spans="1:22" x14ac:dyDescent="0.25">
      <c r="A100" s="81">
        <v>85</v>
      </c>
      <c r="B100" s="62" t="s">
        <v>142</v>
      </c>
      <c r="C100" s="63" t="s">
        <v>65</v>
      </c>
      <c r="D100" s="2">
        <f>266575.1*769.26</f>
        <v>205065561.42599997</v>
      </c>
      <c r="E100" s="3">
        <f t="shared" si="32"/>
        <v>3.5320809252287194E-4</v>
      </c>
      <c r="F100" s="2">
        <f>100.74*769.26</f>
        <v>77495.252399999998</v>
      </c>
      <c r="G100" s="2">
        <f>101.09*769.26</f>
        <v>77764.493400000007</v>
      </c>
      <c r="H100" s="60">
        <v>28</v>
      </c>
      <c r="I100" s="5">
        <v>2.9999999999999997E-4</v>
      </c>
      <c r="J100" s="5">
        <v>9.1999999999999998E-3</v>
      </c>
      <c r="K100" s="2">
        <f>266562.9*759.708</f>
        <v>202509967.63320002</v>
      </c>
      <c r="L100" s="3">
        <f t="shared" si="33"/>
        <v>3.5263758869749959E-4</v>
      </c>
      <c r="M100" s="2">
        <f>100.73*759.708</f>
        <v>76525.386840000006</v>
      </c>
      <c r="N100" s="2">
        <f>101.14*759.708</f>
        <v>76836.867119999995</v>
      </c>
      <c r="O100" s="60">
        <v>28</v>
      </c>
      <c r="P100" s="5">
        <v>2.0000000000000001E-4</v>
      </c>
      <c r="Q100" s="5">
        <v>9.4000000000000004E-3</v>
      </c>
      <c r="R100" s="87">
        <f t="shared" si="39"/>
        <v>-1.2462325585186873E-2</v>
      </c>
      <c r="S100" s="87">
        <f t="shared" si="40"/>
        <v>-1.1928661005075244E-2</v>
      </c>
      <c r="T100" s="87">
        <f t="shared" si="41"/>
        <v>0</v>
      </c>
      <c r="U100" s="87">
        <f t="shared" si="42"/>
        <v>-9.9999999999999964E-5</v>
      </c>
      <c r="V100" s="89">
        <f t="shared" si="43"/>
        <v>2.0000000000000052E-4</v>
      </c>
    </row>
    <row r="101" spans="1:22" ht="6" customHeight="1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</row>
    <row r="102" spans="1:22" x14ac:dyDescent="0.25">
      <c r="A102" s="130" t="s">
        <v>237</v>
      </c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</row>
    <row r="103" spans="1:22" x14ac:dyDescent="0.25">
      <c r="A103" s="81">
        <v>86</v>
      </c>
      <c r="B103" s="62" t="s">
        <v>143</v>
      </c>
      <c r="C103" s="63" t="s">
        <v>99</v>
      </c>
      <c r="D103" s="4">
        <v>674705878.94000006</v>
      </c>
      <c r="E103" s="3">
        <f>(D103/$D$112)</f>
        <v>1.162123834237093E-3</v>
      </c>
      <c r="F103" s="2">
        <v>74379.78</v>
      </c>
      <c r="G103" s="2">
        <v>74379.78</v>
      </c>
      <c r="H103" s="60">
        <v>28</v>
      </c>
      <c r="I103" s="5">
        <v>-1.6899999999999998E-2</v>
      </c>
      <c r="J103" s="5">
        <v>6.9000000000000006E-2</v>
      </c>
      <c r="K103" s="4">
        <v>660908820.75</v>
      </c>
      <c r="L103" s="3">
        <f t="shared" ref="L103:L111" si="44">(K103/$K$112)</f>
        <v>1.1508633161224173E-3</v>
      </c>
      <c r="M103" s="2">
        <v>72861.2</v>
      </c>
      <c r="N103" s="2">
        <v>72861.2</v>
      </c>
      <c r="O103" s="60">
        <v>28</v>
      </c>
      <c r="P103" s="5">
        <v>-2.0400000000000001E-2</v>
      </c>
      <c r="Q103" s="5">
        <v>4.82E-2</v>
      </c>
      <c r="R103" s="87">
        <f t="shared" ref="R103" si="45">((K103-D103)/D103)</f>
        <v>-2.0448996548949584E-2</v>
      </c>
      <c r="S103" s="87">
        <f t="shared" ref="S103" si="46">((N103-G103)/G103)</f>
        <v>-2.0416570202278116E-2</v>
      </c>
      <c r="T103" s="87">
        <f t="shared" ref="T103" si="47">((O103-H103)/H103)</f>
        <v>0</v>
      </c>
      <c r="U103" s="87">
        <f t="shared" ref="U103" si="48">P103-I103</f>
        <v>-3.5000000000000031E-3</v>
      </c>
      <c r="V103" s="89">
        <f t="shared" ref="V103" si="49">Q103-J103</f>
        <v>-2.0800000000000006E-2</v>
      </c>
    </row>
    <row r="104" spans="1:22" x14ac:dyDescent="0.25">
      <c r="A104" s="81">
        <v>87</v>
      </c>
      <c r="B104" s="63" t="s">
        <v>144</v>
      </c>
      <c r="C104" s="63" t="s">
        <v>23</v>
      </c>
      <c r="D104" s="2">
        <f xml:space="preserve"> 6154383.53*769.26</f>
        <v>4734321074.2877998</v>
      </c>
      <c r="E104" s="3">
        <f>(D104/$K$112)</f>
        <v>8.2440365146890845E-3</v>
      </c>
      <c r="F104" s="4">
        <f>128*769.26</f>
        <v>98465.279999999999</v>
      </c>
      <c r="G104" s="4">
        <f>128.9*769.26</f>
        <v>99157.614000000001</v>
      </c>
      <c r="H104" s="60">
        <v>299</v>
      </c>
      <c r="I104" s="5">
        <v>8.9999999999999998E-4</v>
      </c>
      <c r="J104" s="5">
        <v>3.32E-2</v>
      </c>
      <c r="K104" s="2">
        <f>6313993.95*759.708</f>
        <v>4796791715.7665997</v>
      </c>
      <c r="L104" s="3">
        <f t="shared" si="44"/>
        <v>8.3528187965339531E-3</v>
      </c>
      <c r="M104" s="4">
        <f>128.11*759.708</f>
        <v>97326.191880000013</v>
      </c>
      <c r="N104" s="4">
        <f>129.01*759.708</f>
        <v>98009.929079999987</v>
      </c>
      <c r="O104" s="60">
        <v>300</v>
      </c>
      <c r="P104" s="5">
        <v>8.9999999999999998E-4</v>
      </c>
      <c r="Q104" s="5">
        <v>3.4000000000000002E-2</v>
      </c>
      <c r="R104" s="87">
        <f t="shared" ref="R104:R112" si="50">((K104-D104)/D104)</f>
        <v>1.3195269289630402E-2</v>
      </c>
      <c r="S104" s="87">
        <f t="shared" ref="S104:S112" si="51">((N104-G104)/G104)</f>
        <v>-1.1574349903175506E-2</v>
      </c>
      <c r="T104" s="87">
        <f t="shared" ref="T104:T112" si="52">((O104-H104)/H104)</f>
        <v>3.3444816053511705E-3</v>
      </c>
      <c r="U104" s="87">
        <f t="shared" ref="U104:U112" si="53">P104-I104</f>
        <v>0</v>
      </c>
      <c r="V104" s="89">
        <f t="shared" ref="V104:V112" si="54">Q104-J104</f>
        <v>8.000000000000021E-4</v>
      </c>
    </row>
    <row r="105" spans="1:22" x14ac:dyDescent="0.25">
      <c r="A105" s="81">
        <v>88</v>
      </c>
      <c r="B105" s="62" t="s">
        <v>145</v>
      </c>
      <c r="C105" s="63" t="s">
        <v>59</v>
      </c>
      <c r="D105" s="4">
        <v>8406079758.4700003</v>
      </c>
      <c r="E105" s="3">
        <f t="shared" ref="E105:E111" si="55">(D105/$D$112)</f>
        <v>1.4478761701563144E-2</v>
      </c>
      <c r="F105" s="4">
        <v>88036.45</v>
      </c>
      <c r="G105" s="4">
        <v>88036.45</v>
      </c>
      <c r="H105" s="60">
        <v>543</v>
      </c>
      <c r="I105" s="5">
        <v>1.1000000000000001E-3</v>
      </c>
      <c r="J105" s="5">
        <v>7.1900000000000006E-2</v>
      </c>
      <c r="K105" s="4">
        <v>8399006442.5200005</v>
      </c>
      <c r="L105" s="3">
        <f t="shared" si="44"/>
        <v>1.4625479495950751E-2</v>
      </c>
      <c r="M105" s="4">
        <v>88129.49</v>
      </c>
      <c r="N105" s="4">
        <v>88129.49</v>
      </c>
      <c r="O105" s="60">
        <v>544</v>
      </c>
      <c r="P105" s="5">
        <v>1.1000000000000001E-3</v>
      </c>
      <c r="Q105" s="5">
        <v>7.17E-2</v>
      </c>
      <c r="R105" s="87">
        <f t="shared" si="50"/>
        <v>-8.4145239555605061E-4</v>
      </c>
      <c r="S105" s="87">
        <f t="shared" si="51"/>
        <v>1.0568349814197204E-3</v>
      </c>
      <c r="T105" s="87">
        <f t="shared" si="52"/>
        <v>1.841620626151013E-3</v>
      </c>
      <c r="U105" s="87">
        <f t="shared" si="53"/>
        <v>0</v>
      </c>
      <c r="V105" s="89">
        <f t="shared" si="54"/>
        <v>-2.0000000000000573E-4</v>
      </c>
    </row>
    <row r="106" spans="1:22" x14ac:dyDescent="0.25">
      <c r="A106" s="81">
        <v>89</v>
      </c>
      <c r="B106" s="62" t="s">
        <v>146</v>
      </c>
      <c r="C106" s="63" t="s">
        <v>57</v>
      </c>
      <c r="D106" s="4">
        <v>2808299032.6112633</v>
      </c>
      <c r="E106" s="3">
        <f t="shared" si="55"/>
        <v>4.8370576592422776E-3</v>
      </c>
      <c r="F106" s="4">
        <v>917.41982457181405</v>
      </c>
      <c r="G106" s="4">
        <v>917.41982457181405</v>
      </c>
      <c r="H106" s="60">
        <v>150</v>
      </c>
      <c r="I106" s="5">
        <v>5.2117348004022283E-2</v>
      </c>
      <c r="J106" s="5">
        <v>5.9264925833218199E-2</v>
      </c>
      <c r="K106" s="4">
        <v>2799192565.3042574</v>
      </c>
      <c r="L106" s="3">
        <f t="shared" si="44"/>
        <v>4.8743305234079434E-3</v>
      </c>
      <c r="M106" s="4">
        <v>911.87399378754219</v>
      </c>
      <c r="N106" s="4">
        <v>911.87399378754219</v>
      </c>
      <c r="O106" s="60">
        <v>150</v>
      </c>
      <c r="P106" s="5">
        <v>5.1666321796127339E-2</v>
      </c>
      <c r="Q106" s="5">
        <v>5.9131529810973138E-2</v>
      </c>
      <c r="R106" s="87">
        <f t="shared" si="50"/>
        <v>-3.2426985877420408E-3</v>
      </c>
      <c r="S106" s="87">
        <f t="shared" si="51"/>
        <v>-6.0450304601388505E-3</v>
      </c>
      <c r="T106" s="87">
        <f t="shared" si="52"/>
        <v>0</v>
      </c>
      <c r="U106" s="87">
        <f t="shared" si="53"/>
        <v>-4.5102620789494452E-4</v>
      </c>
      <c r="V106" s="89">
        <f t="shared" si="54"/>
        <v>-1.3339602224506086E-4</v>
      </c>
    </row>
    <row r="107" spans="1:22" x14ac:dyDescent="0.25">
      <c r="A107" s="81">
        <v>90</v>
      </c>
      <c r="B107" s="63" t="s">
        <v>147</v>
      </c>
      <c r="C107" s="71" t="s">
        <v>41</v>
      </c>
      <c r="D107" s="2">
        <v>8214887347.0699997</v>
      </c>
      <c r="E107" s="3">
        <f t="shared" si="55"/>
        <v>1.4149448937070451E-2</v>
      </c>
      <c r="F107" s="4">
        <f>1.0144*769.26</f>
        <v>780.33734399999992</v>
      </c>
      <c r="G107" s="4">
        <f>1.0144*769.26</f>
        <v>780.33734399999992</v>
      </c>
      <c r="H107" s="60">
        <v>372</v>
      </c>
      <c r="I107" s="5">
        <v>1.5E-3</v>
      </c>
      <c r="J107" s="5">
        <v>9.1399999999999995E-2</v>
      </c>
      <c r="K107" s="2">
        <v>8288861945.2399998</v>
      </c>
      <c r="L107" s="3">
        <f t="shared" si="44"/>
        <v>1.4433681085319085E-2</v>
      </c>
      <c r="M107" s="4">
        <f>1.0162*759.708</f>
        <v>772.01526960000001</v>
      </c>
      <c r="N107" s="4">
        <f>1.0162*759.708</f>
        <v>772.01526960000001</v>
      </c>
      <c r="O107" s="60">
        <v>370</v>
      </c>
      <c r="P107" s="5">
        <v>1.5E-3</v>
      </c>
      <c r="Q107" s="5">
        <v>8.9899999999999994E-2</v>
      </c>
      <c r="R107" s="87">
        <f t="shared" si="50"/>
        <v>9.0049437131215875E-3</v>
      </c>
      <c r="S107" s="87">
        <f t="shared" si="51"/>
        <v>-1.0664713747186636E-2</v>
      </c>
      <c r="T107" s="87">
        <f t="shared" si="52"/>
        <v>-5.3763440860215058E-3</v>
      </c>
      <c r="U107" s="87">
        <f t="shared" si="53"/>
        <v>0</v>
      </c>
      <c r="V107" s="89">
        <f t="shared" si="54"/>
        <v>-1.5000000000000013E-3</v>
      </c>
    </row>
    <row r="108" spans="1:22" x14ac:dyDescent="0.25">
      <c r="A108" s="81">
        <v>91</v>
      </c>
      <c r="B108" s="62" t="s">
        <v>148</v>
      </c>
      <c r="C108" s="63" t="s">
        <v>82</v>
      </c>
      <c r="D108" s="4">
        <v>179886699.5</v>
      </c>
      <c r="E108" s="3">
        <f t="shared" si="55"/>
        <v>3.0983963157342828E-4</v>
      </c>
      <c r="F108" s="4">
        <f>0.93*769.26</f>
        <v>715.41180000000008</v>
      </c>
      <c r="G108" s="4">
        <f>0.93*769.26</f>
        <v>715.41180000000008</v>
      </c>
      <c r="H108" s="60">
        <v>3</v>
      </c>
      <c r="I108" s="5">
        <v>-1.4121999999999999E-2</v>
      </c>
      <c r="J108" s="5">
        <v>8.1836999999999993E-2</v>
      </c>
      <c r="K108" s="4">
        <v>171935310.36000001</v>
      </c>
      <c r="L108" s="3">
        <f t="shared" si="44"/>
        <v>2.9939688384685042E-4</v>
      </c>
      <c r="M108" s="4">
        <f>0.91*759.708</f>
        <v>691.33428000000004</v>
      </c>
      <c r="N108" s="4">
        <f>0.91*759.708</f>
        <v>691.33428000000004</v>
      </c>
      <c r="O108" s="60">
        <v>3</v>
      </c>
      <c r="P108" s="5">
        <v>-2.2619E-2</v>
      </c>
      <c r="Q108" s="5">
        <v>5.2718000000000001E-2</v>
      </c>
      <c r="R108" s="87">
        <f t="shared" si="50"/>
        <v>-4.42022070675658E-2</v>
      </c>
      <c r="S108" s="87">
        <f t="shared" si="51"/>
        <v>-3.3655469479256628E-2</v>
      </c>
      <c r="T108" s="87">
        <f t="shared" si="52"/>
        <v>0</v>
      </c>
      <c r="U108" s="87">
        <f t="shared" si="53"/>
        <v>-8.4970000000000011E-3</v>
      </c>
      <c r="V108" s="89">
        <f t="shared" si="54"/>
        <v>-2.9118999999999992E-2</v>
      </c>
    </row>
    <row r="109" spans="1:22" x14ac:dyDescent="0.25">
      <c r="A109" s="81">
        <v>92</v>
      </c>
      <c r="B109" s="62" t="s">
        <v>149</v>
      </c>
      <c r="C109" s="63" t="s">
        <v>43</v>
      </c>
      <c r="D109" s="2">
        <v>347513948613.26001</v>
      </c>
      <c r="E109" s="3">
        <f t="shared" si="55"/>
        <v>0.59856339631691213</v>
      </c>
      <c r="F109" s="4">
        <v>1086.3</v>
      </c>
      <c r="G109" s="4">
        <v>1086.3</v>
      </c>
      <c r="H109" s="60">
        <v>10663</v>
      </c>
      <c r="I109" s="5">
        <v>1.5E-3</v>
      </c>
      <c r="J109" s="5">
        <v>5.3600000000000002E-2</v>
      </c>
      <c r="K109" s="2">
        <v>343219462194.08002</v>
      </c>
      <c r="L109" s="3">
        <f t="shared" si="44"/>
        <v>0.59765988290213268</v>
      </c>
      <c r="M109" s="4">
        <v>1068.19</v>
      </c>
      <c r="N109" s="4">
        <v>1087.51</v>
      </c>
      <c r="O109" s="60">
        <v>10731</v>
      </c>
      <c r="P109" s="5">
        <v>1.1000000000000001E-3</v>
      </c>
      <c r="Q109" s="5">
        <v>5.5E-2</v>
      </c>
      <c r="R109" s="87">
        <f t="shared" si="50"/>
        <v>-1.2357738261491266E-2</v>
      </c>
      <c r="S109" s="87">
        <f t="shared" si="51"/>
        <v>1.1138727791586453E-3</v>
      </c>
      <c r="T109" s="87">
        <f t="shared" si="52"/>
        <v>6.3771921598049326E-3</v>
      </c>
      <c r="U109" s="87">
        <f t="shared" si="53"/>
        <v>-3.9999999999999996E-4</v>
      </c>
      <c r="V109" s="89">
        <f t="shared" si="54"/>
        <v>1.3999999999999985E-3</v>
      </c>
    </row>
    <row r="110" spans="1:22" ht="16.5" customHeight="1" x14ac:dyDescent="0.25">
      <c r="A110" s="81">
        <v>93</v>
      </c>
      <c r="B110" s="62" t="s">
        <v>150</v>
      </c>
      <c r="C110" s="63" t="s">
        <v>46</v>
      </c>
      <c r="D110" s="2">
        <v>13053398190.969999</v>
      </c>
      <c r="E110" s="3">
        <f t="shared" si="55"/>
        <v>2.2483374799321394E-2</v>
      </c>
      <c r="F110" s="2">
        <v>801.79</v>
      </c>
      <c r="G110" s="2">
        <v>801.79</v>
      </c>
      <c r="H110" s="60">
        <v>102</v>
      </c>
      <c r="I110" s="5">
        <v>5.0500000000000003E-2</v>
      </c>
      <c r="J110" s="5">
        <v>8.48E-2</v>
      </c>
      <c r="K110" s="2">
        <v>12786865692</v>
      </c>
      <c r="L110" s="3">
        <f t="shared" si="44"/>
        <v>2.2266210089929548E-2</v>
      </c>
      <c r="M110" s="2">
        <v>788.74</v>
      </c>
      <c r="N110" s="2">
        <v>788.74</v>
      </c>
      <c r="O110" s="60">
        <v>103</v>
      </c>
      <c r="P110" s="5">
        <v>8.1699999999999995E-2</v>
      </c>
      <c r="Q110" s="5">
        <v>1.7021276595744681E-3</v>
      </c>
      <c r="R110" s="87">
        <f t="shared" si="50"/>
        <v>-2.0418629315573898E-2</v>
      </c>
      <c r="S110" s="87">
        <f t="shared" si="51"/>
        <v>-1.6276082265929925E-2</v>
      </c>
      <c r="T110" s="87">
        <f t="shared" si="52"/>
        <v>9.8039215686274508E-3</v>
      </c>
      <c r="U110" s="87">
        <f t="shared" si="53"/>
        <v>3.1199999999999992E-2</v>
      </c>
      <c r="V110" s="89">
        <f t="shared" si="54"/>
        <v>-8.3097872340425538E-2</v>
      </c>
    </row>
    <row r="111" spans="1:22" x14ac:dyDescent="0.25">
      <c r="A111" s="81">
        <v>94</v>
      </c>
      <c r="B111" s="62" t="s">
        <v>151</v>
      </c>
      <c r="C111" s="63" t="s">
        <v>33</v>
      </c>
      <c r="D111" s="4">
        <v>17999737291.459999</v>
      </c>
      <c r="E111" s="3">
        <f t="shared" si="55"/>
        <v>3.1003025717331951E-2</v>
      </c>
      <c r="F111" s="4">
        <f>1.1084*759.26</f>
        <v>841.56378400000006</v>
      </c>
      <c r="G111" s="4">
        <f>1.1084*759.26</f>
        <v>841.56378400000006</v>
      </c>
      <c r="H111" s="60">
        <v>856</v>
      </c>
      <c r="I111" s="5">
        <v>1.0838150289018689E-3</v>
      </c>
      <c r="J111" s="5">
        <v>5.4012932674020409E-2</v>
      </c>
      <c r="K111" s="4">
        <v>18011179809.30759</v>
      </c>
      <c r="L111" s="3">
        <f t="shared" si="44"/>
        <v>3.1363488384213496E-2</v>
      </c>
      <c r="M111" s="4">
        <f>1.1084*759.708</f>
        <v>842.06034720000002</v>
      </c>
      <c r="N111" s="4">
        <f>1.1084*759.708</f>
        <v>842.06034720000002</v>
      </c>
      <c r="O111" s="60">
        <v>898</v>
      </c>
      <c r="P111" s="5">
        <v>1E-3</v>
      </c>
      <c r="Q111" s="5">
        <v>5.5100000000000003E-2</v>
      </c>
      <c r="R111" s="87">
        <f t="shared" si="50"/>
        <v>6.3570471403603869E-4</v>
      </c>
      <c r="S111" s="87">
        <f t="shared" si="51"/>
        <v>5.9004820483098239E-4</v>
      </c>
      <c r="T111" s="87">
        <f t="shared" si="52"/>
        <v>4.9065420560747662E-2</v>
      </c>
      <c r="U111" s="87">
        <f t="shared" si="53"/>
        <v>-8.381502890186885E-5</v>
      </c>
      <c r="V111" s="89">
        <f t="shared" si="54"/>
        <v>1.0870673259795946E-3</v>
      </c>
    </row>
    <row r="112" spans="1:22" x14ac:dyDescent="0.25">
      <c r="A112" s="81"/>
      <c r="B112" s="19"/>
      <c r="C112" s="72" t="s">
        <v>47</v>
      </c>
      <c r="D112" s="59">
        <f>SUM(D90:D111)</f>
        <v>580580020013.89868</v>
      </c>
      <c r="E112" s="126">
        <f>(D112/$D$170)</f>
        <v>0.29956808209970626</v>
      </c>
      <c r="F112" s="30"/>
      <c r="G112" s="11"/>
      <c r="H112" s="69">
        <f>SUM(H90:H111)</f>
        <v>16591</v>
      </c>
      <c r="I112" s="33"/>
      <c r="J112" s="33"/>
      <c r="K112" s="59">
        <f>SUM(K90:K111)</f>
        <v>574272210688.57068</v>
      </c>
      <c r="L112" s="126">
        <f>(K112/$K$170)</f>
        <v>0.29677111202061585</v>
      </c>
      <c r="M112" s="30"/>
      <c r="N112" s="11"/>
      <c r="O112" s="69">
        <f>SUM(O90:O111)</f>
        <v>19052</v>
      </c>
      <c r="P112" s="33"/>
      <c r="Q112" s="33"/>
      <c r="R112" s="87">
        <f t="shared" si="50"/>
        <v>-1.0864668276350603E-2</v>
      </c>
      <c r="S112" s="87" t="e">
        <f t="shared" si="51"/>
        <v>#DIV/0!</v>
      </c>
      <c r="T112" s="87">
        <f t="shared" si="52"/>
        <v>0.14833343378940389</v>
      </c>
      <c r="U112" s="87">
        <f t="shared" si="53"/>
        <v>0</v>
      </c>
      <c r="V112" s="89">
        <f t="shared" si="54"/>
        <v>0</v>
      </c>
    </row>
    <row r="113" spans="1:22" ht="8.25" customHeight="1" x14ac:dyDescent="0.2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</row>
    <row r="114" spans="1:22" ht="15.75" x14ac:dyDescent="0.25">
      <c r="A114" s="129" t="s">
        <v>152</v>
      </c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</row>
    <row r="115" spans="1:22" x14ac:dyDescent="0.25">
      <c r="A115" s="81">
        <v>95</v>
      </c>
      <c r="B115" s="62" t="s">
        <v>153</v>
      </c>
      <c r="C115" s="63" t="s">
        <v>41</v>
      </c>
      <c r="D115" s="2">
        <v>54330953714</v>
      </c>
      <c r="E115" s="3">
        <f>(D115/$D$119)</f>
        <v>0.58449911039623492</v>
      </c>
      <c r="F115" s="14">
        <v>101.48</v>
      </c>
      <c r="G115" s="14">
        <v>101.48</v>
      </c>
      <c r="H115" s="60">
        <v>0</v>
      </c>
      <c r="I115" s="5">
        <v>0</v>
      </c>
      <c r="J115" s="5">
        <v>7.6999999999999999E-2</v>
      </c>
      <c r="K115" s="2">
        <v>54330953714</v>
      </c>
      <c r="L115" s="3">
        <f>(K115/$K$119)</f>
        <v>0.58404183503231311</v>
      </c>
      <c r="M115" s="14">
        <v>101.48</v>
      </c>
      <c r="N115" s="14">
        <v>101.48</v>
      </c>
      <c r="O115" s="60">
        <v>0</v>
      </c>
      <c r="P115" s="5">
        <v>0</v>
      </c>
      <c r="Q115" s="5">
        <v>7.6999999999999999E-2</v>
      </c>
      <c r="R115" s="87">
        <f t="shared" ref="R115" si="56">((K115-D115)/D115)</f>
        <v>0</v>
      </c>
      <c r="S115" s="87">
        <f t="shared" ref="S115" si="57">((N115-G115)/G115)</f>
        <v>0</v>
      </c>
      <c r="T115" s="87" t="e">
        <f t="shared" ref="T115" si="58">((O115-H115)/H115)</f>
        <v>#DIV/0!</v>
      </c>
      <c r="U115" s="87">
        <f t="shared" ref="U115" si="59">P115-I115</f>
        <v>0</v>
      </c>
      <c r="V115" s="89">
        <f t="shared" ref="V115" si="60">Q115-J115</f>
        <v>0</v>
      </c>
    </row>
    <row r="116" spans="1:22" ht="17.25" customHeight="1" x14ac:dyDescent="0.25">
      <c r="A116" s="81">
        <v>96</v>
      </c>
      <c r="B116" s="62" t="s">
        <v>154</v>
      </c>
      <c r="C116" s="63" t="s">
        <v>122</v>
      </c>
      <c r="D116" s="2">
        <v>2315828148.5999999</v>
      </c>
      <c r="E116" s="3">
        <f>(D116/$D$119)</f>
        <v>2.49139652473736E-2</v>
      </c>
      <c r="F116" s="14">
        <v>92.15</v>
      </c>
      <c r="G116" s="14">
        <v>92.15</v>
      </c>
      <c r="H116" s="60">
        <v>2733</v>
      </c>
      <c r="I116" s="5">
        <v>0.16009999999999999</v>
      </c>
      <c r="J116" s="5">
        <v>0.1234</v>
      </c>
      <c r="K116" s="2">
        <v>2318056765.9699998</v>
      </c>
      <c r="L116" s="3">
        <f>(K116/$K$119)</f>
        <v>2.4918431110796602E-2</v>
      </c>
      <c r="M116" s="14">
        <v>92.15</v>
      </c>
      <c r="N116" s="14">
        <v>92.15</v>
      </c>
      <c r="O116" s="60">
        <v>2743</v>
      </c>
      <c r="P116" s="5">
        <v>4.7100000000000003E-2</v>
      </c>
      <c r="Q116" s="5">
        <v>0.1217</v>
      </c>
      <c r="R116" s="87">
        <f t="shared" ref="R116:R119" si="61">((K116-D116)/D116)</f>
        <v>9.6234142906811266E-4</v>
      </c>
      <c r="S116" s="87">
        <f t="shared" ref="S116:S119" si="62">((N116-G116)/G116)</f>
        <v>0</v>
      </c>
      <c r="T116" s="87">
        <f t="shared" ref="T116:T119" si="63">((O116-H116)/H116)</f>
        <v>3.6589828027808269E-3</v>
      </c>
      <c r="U116" s="87">
        <f t="shared" ref="U116:U119" si="64">P116-I116</f>
        <v>-0.11299999999999999</v>
      </c>
      <c r="V116" s="89">
        <f t="shared" ref="V116:V119" si="65">Q116-J116</f>
        <v>-1.6999999999999932E-3</v>
      </c>
    </row>
    <row r="117" spans="1:22" x14ac:dyDescent="0.25">
      <c r="A117" s="81">
        <v>97</v>
      </c>
      <c r="B117" s="62" t="s">
        <v>155</v>
      </c>
      <c r="C117" s="63" t="s">
        <v>122</v>
      </c>
      <c r="D117" s="2">
        <v>10011781012.24</v>
      </c>
      <c r="E117" s="3">
        <f>(D117/$D$119)</f>
        <v>0.10770797667091724</v>
      </c>
      <c r="F117" s="14">
        <v>36.6</v>
      </c>
      <c r="G117" s="14">
        <v>36.6</v>
      </c>
      <c r="H117" s="60">
        <v>5267</v>
      </c>
      <c r="I117" s="5">
        <v>2.8299999999999999E-2</v>
      </c>
      <c r="J117" s="5">
        <v>0.159</v>
      </c>
      <c r="K117" s="2">
        <v>10048408467.299999</v>
      </c>
      <c r="L117" s="3">
        <f>(K117/$K$119)</f>
        <v>0.10801744713131881</v>
      </c>
      <c r="M117" s="14">
        <v>36.6</v>
      </c>
      <c r="N117" s="14">
        <v>36.6</v>
      </c>
      <c r="O117" s="60">
        <v>5264</v>
      </c>
      <c r="P117" s="5">
        <v>0.17910000000000001</v>
      </c>
      <c r="Q117" s="5">
        <v>16.79</v>
      </c>
      <c r="R117" s="87">
        <f t="shared" si="61"/>
        <v>3.6584354986610489E-3</v>
      </c>
      <c r="S117" s="87">
        <f t="shared" si="62"/>
        <v>0</v>
      </c>
      <c r="T117" s="87">
        <f t="shared" si="63"/>
        <v>-5.6958420353142201E-4</v>
      </c>
      <c r="U117" s="87">
        <f t="shared" si="64"/>
        <v>0.15080000000000002</v>
      </c>
      <c r="V117" s="89">
        <f t="shared" si="65"/>
        <v>16.631</v>
      </c>
    </row>
    <row r="118" spans="1:22" x14ac:dyDescent="0.25">
      <c r="A118" s="81">
        <v>98</v>
      </c>
      <c r="B118" s="62" t="s">
        <v>156</v>
      </c>
      <c r="C118" s="63" t="s">
        <v>43</v>
      </c>
      <c r="D118" s="2">
        <v>26294450650.139999</v>
      </c>
      <c r="E118" s="3">
        <f>(D118/$D$119)</f>
        <v>0.28287894768547428</v>
      </c>
      <c r="F118" s="14">
        <v>3.9</v>
      </c>
      <c r="G118" s="14">
        <v>3.9</v>
      </c>
      <c r="H118" s="60">
        <v>208853</v>
      </c>
      <c r="I118" s="5">
        <v>9.8599999999999993E-2</v>
      </c>
      <c r="J118" s="5">
        <v>0.3</v>
      </c>
      <c r="K118" s="2">
        <v>26328372109.279999</v>
      </c>
      <c r="L118" s="3">
        <f>(K118/$K$119)</f>
        <v>0.2830222867255715</v>
      </c>
      <c r="M118" s="14">
        <v>3.5</v>
      </c>
      <c r="N118" s="14">
        <v>3.5</v>
      </c>
      <c r="O118" s="60">
        <v>208853</v>
      </c>
      <c r="P118" s="5">
        <v>-0.1026</v>
      </c>
      <c r="Q118" s="5">
        <v>0.16669999999999999</v>
      </c>
      <c r="R118" s="87">
        <f t="shared" si="61"/>
        <v>1.2900615263403033E-3</v>
      </c>
      <c r="S118" s="87">
        <f t="shared" si="62"/>
        <v>-0.10256410256410255</v>
      </c>
      <c r="T118" s="87">
        <f t="shared" si="63"/>
        <v>0</v>
      </c>
      <c r="U118" s="87">
        <f t="shared" si="64"/>
        <v>-0.20119999999999999</v>
      </c>
      <c r="V118" s="89">
        <f t="shared" si="65"/>
        <v>-0.1333</v>
      </c>
    </row>
    <row r="119" spans="1:22" x14ac:dyDescent="0.25">
      <c r="A119" s="81"/>
      <c r="B119" s="19"/>
      <c r="C119" s="77" t="s">
        <v>47</v>
      </c>
      <c r="D119" s="58">
        <f>SUM(D115:D118)</f>
        <v>92953013524.979996</v>
      </c>
      <c r="E119" s="126">
        <f>(D119/$D$170)</f>
        <v>4.7961960500121421E-2</v>
      </c>
      <c r="F119" s="30"/>
      <c r="G119" s="34"/>
      <c r="H119" s="69">
        <f>SUM(H115:H118)</f>
        <v>216853</v>
      </c>
      <c r="I119" s="35"/>
      <c r="J119" s="35"/>
      <c r="K119" s="58">
        <f>SUM(K115:K118)</f>
        <v>93025791056.550003</v>
      </c>
      <c r="L119" s="126">
        <f>(K119/$K$170)</f>
        <v>4.8073660791191151E-2</v>
      </c>
      <c r="M119" s="30"/>
      <c r="N119" s="34"/>
      <c r="O119" s="69">
        <f>SUM(O115:O118)</f>
        <v>216860</v>
      </c>
      <c r="P119" s="35"/>
      <c r="Q119" s="35"/>
      <c r="R119" s="87">
        <f t="shared" si="61"/>
        <v>7.8294967328250463E-4</v>
      </c>
      <c r="S119" s="87" t="e">
        <f t="shared" si="62"/>
        <v>#DIV/0!</v>
      </c>
      <c r="T119" s="87">
        <f t="shared" si="63"/>
        <v>3.2279931566545082E-5</v>
      </c>
      <c r="U119" s="87">
        <f t="shared" si="64"/>
        <v>0</v>
      </c>
      <c r="V119" s="89">
        <f t="shared" si="65"/>
        <v>0</v>
      </c>
    </row>
    <row r="120" spans="1:22" ht="7.5" customHeight="1" x14ac:dyDescent="0.25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</row>
    <row r="121" spans="1:22" ht="15" customHeight="1" x14ac:dyDescent="0.25">
      <c r="A121" s="129" t="s">
        <v>157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</row>
    <row r="122" spans="1:22" x14ac:dyDescent="0.25">
      <c r="A122" s="81">
        <v>99</v>
      </c>
      <c r="B122" s="62" t="s">
        <v>158</v>
      </c>
      <c r="C122" s="63" t="s">
        <v>51</v>
      </c>
      <c r="D122" s="4">
        <v>201931775.75999999</v>
      </c>
      <c r="E122" s="3">
        <f t="shared" ref="E122:E145" si="66">(D122/$D$146)</f>
        <v>5.0691027655705252E-3</v>
      </c>
      <c r="F122" s="4">
        <v>4.54</v>
      </c>
      <c r="G122" s="4">
        <v>4.6399999999999997</v>
      </c>
      <c r="H122" s="64">
        <v>11809</v>
      </c>
      <c r="I122" s="6">
        <v>-1.2378E-2</v>
      </c>
      <c r="J122" s="6">
        <v>0.20898700000000001</v>
      </c>
      <c r="K122" s="4">
        <v>204004838.71000001</v>
      </c>
      <c r="L122" s="16">
        <f t="shared" ref="L122:L137" si="67">(K122/$K$146)</f>
        <v>5.1443323061795354E-3</v>
      </c>
      <c r="M122" s="4">
        <v>4.58</v>
      </c>
      <c r="N122" s="4">
        <v>4.68</v>
      </c>
      <c r="O122" s="64">
        <v>11814</v>
      </c>
      <c r="P122" s="6">
        <v>1.0861000000000001E-2</v>
      </c>
      <c r="Q122" s="6">
        <v>0.21984799999999999</v>
      </c>
      <c r="R122" s="87">
        <f t="shared" ref="R122" si="68">((K122-D122)/D122)</f>
        <v>1.026615520117E-2</v>
      </c>
      <c r="S122" s="87">
        <f t="shared" ref="S122" si="69">((N122-G122)/G122)</f>
        <v>8.6206896551724223E-3</v>
      </c>
      <c r="T122" s="87">
        <f t="shared" ref="T122" si="70">((O122-H122)/H122)</f>
        <v>4.23405876873571E-4</v>
      </c>
      <c r="U122" s="87">
        <f t="shared" ref="U122" si="71">P122-I122</f>
        <v>2.3239000000000003E-2</v>
      </c>
      <c r="V122" s="89">
        <f t="shared" ref="V122" si="72">Q122-J122</f>
        <v>1.0860999999999982E-2</v>
      </c>
    </row>
    <row r="123" spans="1:22" x14ac:dyDescent="0.25">
      <c r="A123" s="81">
        <v>100</v>
      </c>
      <c r="B123" s="62" t="s">
        <v>159</v>
      </c>
      <c r="C123" s="63" t="s">
        <v>21</v>
      </c>
      <c r="D123" s="4">
        <v>5963320091.04</v>
      </c>
      <c r="E123" s="3">
        <f t="shared" si="66"/>
        <v>0.14969750180080893</v>
      </c>
      <c r="F123" s="4">
        <v>637.16160000000002</v>
      </c>
      <c r="G123" s="4">
        <v>656.37249999999995</v>
      </c>
      <c r="H123" s="64">
        <v>0</v>
      </c>
      <c r="I123" s="6">
        <v>-0.16739999999999999</v>
      </c>
      <c r="J123" s="6">
        <v>0.28220000000000001</v>
      </c>
      <c r="K123" s="4">
        <v>5934862384.5500002</v>
      </c>
      <c r="L123" s="16">
        <f t="shared" si="67"/>
        <v>0.14965774581930885</v>
      </c>
      <c r="M123" s="4">
        <v>634.4325</v>
      </c>
      <c r="N123" s="4">
        <v>653.56110000000001</v>
      </c>
      <c r="O123" s="64">
        <v>21191</v>
      </c>
      <c r="P123" s="6">
        <v>-0.2233</v>
      </c>
      <c r="Q123" s="6">
        <v>0.26840000000000003</v>
      </c>
      <c r="R123" s="87">
        <f t="shared" ref="R123:R146" si="73">((K123-D123)/D123)</f>
        <v>-4.7721245976311095E-3</v>
      </c>
      <c r="S123" s="87">
        <f t="shared" ref="S123:S146" si="74">((N123-G123)/G123)</f>
        <v>-4.2832385573739534E-3</v>
      </c>
      <c r="T123" s="87" t="e">
        <f t="shared" ref="T123:T146" si="75">((O123-H123)/H123)</f>
        <v>#DIV/0!</v>
      </c>
      <c r="U123" s="87">
        <f t="shared" ref="U123:U146" si="76">P123-I123</f>
        <v>-5.5900000000000005E-2</v>
      </c>
      <c r="V123" s="89">
        <f t="shared" ref="V123:V146" si="77">Q123-J123</f>
        <v>-1.3799999999999979E-2</v>
      </c>
    </row>
    <row r="124" spans="1:22" x14ac:dyDescent="0.25">
      <c r="A124" s="81">
        <v>101</v>
      </c>
      <c r="B124" s="62" t="s">
        <v>160</v>
      </c>
      <c r="C124" s="63" t="s">
        <v>93</v>
      </c>
      <c r="D124" s="4">
        <v>3217159932.79</v>
      </c>
      <c r="E124" s="3">
        <f t="shared" si="66"/>
        <v>8.076051553159716E-2</v>
      </c>
      <c r="F124" s="4">
        <v>17.950099999999999</v>
      </c>
      <c r="G124" s="4">
        <v>18.1539</v>
      </c>
      <c r="H124" s="60">
        <v>0</v>
      </c>
      <c r="I124" s="5">
        <v>-5.1999999999999998E-3</v>
      </c>
      <c r="J124" s="5">
        <v>0.29549999999999998</v>
      </c>
      <c r="K124" s="4">
        <v>3218175937.2199998</v>
      </c>
      <c r="L124" s="16">
        <f t="shared" si="67"/>
        <v>8.1151832208962854E-2</v>
      </c>
      <c r="M124" s="4">
        <v>17.975999999999999</v>
      </c>
      <c r="N124" s="4">
        <v>18.180099999999999</v>
      </c>
      <c r="O124" s="60">
        <v>6279</v>
      </c>
      <c r="P124" s="5">
        <v>6.0000000000000001E-3</v>
      </c>
      <c r="Q124" s="5">
        <v>0.2974</v>
      </c>
      <c r="R124" s="87">
        <f t="shared" si="73"/>
        <v>3.158078712980627E-4</v>
      </c>
      <c r="S124" s="87">
        <f t="shared" si="74"/>
        <v>1.4432160582574178E-3</v>
      </c>
      <c r="T124" s="87" t="e">
        <f t="shared" si="75"/>
        <v>#DIV/0!</v>
      </c>
      <c r="U124" s="87">
        <f t="shared" si="76"/>
        <v>1.12E-2</v>
      </c>
      <c r="V124" s="89">
        <f t="shared" si="77"/>
        <v>1.9000000000000128E-3</v>
      </c>
    </row>
    <row r="125" spans="1:22" x14ac:dyDescent="0.25">
      <c r="A125" s="81">
        <v>102</v>
      </c>
      <c r="B125" s="62" t="s">
        <v>161</v>
      </c>
      <c r="C125" s="63" t="s">
        <v>103</v>
      </c>
      <c r="D125" s="2">
        <v>1205413264.6900001</v>
      </c>
      <c r="E125" s="3">
        <f t="shared" si="66"/>
        <v>3.0259545287997496E-2</v>
      </c>
      <c r="F125" s="4">
        <v>2.8193000000000001</v>
      </c>
      <c r="G125" s="4">
        <v>2.8875999999999999</v>
      </c>
      <c r="H125" s="60">
        <v>3441</v>
      </c>
      <c r="I125" s="5">
        <v>-0.267675649070996</v>
      </c>
      <c r="J125" s="5">
        <v>0.30425179864205298</v>
      </c>
      <c r="K125" s="2">
        <v>1194637510.55</v>
      </c>
      <c r="L125" s="16">
        <f t="shared" si="67"/>
        <v>3.0124836148776171E-2</v>
      </c>
      <c r="M125" s="4">
        <v>2.794</v>
      </c>
      <c r="N125" s="4">
        <v>2.8618000000000001</v>
      </c>
      <c r="O125" s="60">
        <v>3441</v>
      </c>
      <c r="P125" s="5">
        <v>-0.73116771256305702</v>
      </c>
      <c r="Q125" s="5">
        <v>0.28227919165950599</v>
      </c>
      <c r="R125" s="87">
        <f t="shared" si="73"/>
        <v>-8.9394686914875954E-3</v>
      </c>
      <c r="S125" s="87">
        <f t="shared" si="74"/>
        <v>-8.9347555063027505E-3</v>
      </c>
      <c r="T125" s="87">
        <f t="shared" si="75"/>
        <v>0</v>
      </c>
      <c r="U125" s="87">
        <f t="shared" si="76"/>
        <v>-0.46349206349206101</v>
      </c>
      <c r="V125" s="89">
        <f t="shared" si="77"/>
        <v>-2.1972606982546994E-2</v>
      </c>
    </row>
    <row r="126" spans="1:22" x14ac:dyDescent="0.25">
      <c r="A126" s="81">
        <v>103</v>
      </c>
      <c r="B126" s="62" t="s">
        <v>162</v>
      </c>
      <c r="C126" s="63" t="s">
        <v>57</v>
      </c>
      <c r="D126" s="2">
        <v>2846541251.4361501</v>
      </c>
      <c r="E126" s="3">
        <f t="shared" si="66"/>
        <v>7.1456857523578748E-2</v>
      </c>
      <c r="F126" s="4">
        <v>5254.9746566191598</v>
      </c>
      <c r="G126" s="4">
        <v>5295.2144322049498</v>
      </c>
      <c r="H126" s="60">
        <v>837</v>
      </c>
      <c r="I126" s="5">
        <v>-0.33938817162716828</v>
      </c>
      <c r="J126" s="5">
        <v>0.33390017587565102</v>
      </c>
      <c r="K126" s="2">
        <v>2867754483.4654698</v>
      </c>
      <c r="L126" s="16">
        <f t="shared" si="67"/>
        <v>7.2315353541462193E-2</v>
      </c>
      <c r="M126" s="4">
        <v>5294.78408969886</v>
      </c>
      <c r="N126" s="4">
        <v>5335.5697965326299</v>
      </c>
      <c r="O126" s="60">
        <v>839</v>
      </c>
      <c r="P126" s="5">
        <v>0.39501191112278655</v>
      </c>
      <c r="Q126" s="5">
        <v>0.33789946590635661</v>
      </c>
      <c r="R126" s="87">
        <f t="shared" si="73"/>
        <v>7.4522833697270906E-3</v>
      </c>
      <c r="S126" s="87">
        <f t="shared" si="74"/>
        <v>7.6211010610340649E-3</v>
      </c>
      <c r="T126" s="87">
        <f t="shared" si="75"/>
        <v>2.3894862604540022E-3</v>
      </c>
      <c r="U126" s="87">
        <f t="shared" si="76"/>
        <v>0.73440008274995483</v>
      </c>
      <c r="V126" s="89">
        <f t="shared" si="77"/>
        <v>3.9992900307055934E-3</v>
      </c>
    </row>
    <row r="127" spans="1:22" x14ac:dyDescent="0.25">
      <c r="A127" s="81">
        <v>104</v>
      </c>
      <c r="B127" s="62" t="s">
        <v>163</v>
      </c>
      <c r="C127" s="63" t="s">
        <v>59</v>
      </c>
      <c r="D127" s="4">
        <v>413229806.55000001</v>
      </c>
      <c r="E127" s="3">
        <f t="shared" si="66"/>
        <v>1.0373327067100013E-2</v>
      </c>
      <c r="F127" s="4">
        <v>155.08000000000001</v>
      </c>
      <c r="G127" s="4">
        <v>156.05000000000001</v>
      </c>
      <c r="H127" s="60">
        <v>611</v>
      </c>
      <c r="I127" s="5">
        <v>-9.5999999999999992E-3</v>
      </c>
      <c r="J127" s="5">
        <v>0.2104</v>
      </c>
      <c r="K127" s="4">
        <v>417841050.75</v>
      </c>
      <c r="L127" s="16">
        <f t="shared" si="67"/>
        <v>1.0536579572393555E-2</v>
      </c>
      <c r="M127" s="4">
        <v>156.78</v>
      </c>
      <c r="N127" s="4">
        <v>157.77000000000001</v>
      </c>
      <c r="O127" s="60">
        <v>612</v>
      </c>
      <c r="P127" s="5">
        <v>1.0999999999999999E-2</v>
      </c>
      <c r="Q127" s="5">
        <v>0.2228</v>
      </c>
      <c r="R127" s="87">
        <f t="shared" si="73"/>
        <v>1.115903094817541E-2</v>
      </c>
      <c r="S127" s="87">
        <f t="shared" si="74"/>
        <v>1.1022108298622229E-2</v>
      </c>
      <c r="T127" s="87">
        <f t="shared" si="75"/>
        <v>1.6366612111292963E-3</v>
      </c>
      <c r="U127" s="87">
        <f t="shared" si="76"/>
        <v>2.06E-2</v>
      </c>
      <c r="V127" s="89">
        <f t="shared" si="77"/>
        <v>1.2399999999999994E-2</v>
      </c>
    </row>
    <row r="128" spans="1:22" x14ac:dyDescent="0.25">
      <c r="A128" s="81">
        <v>105</v>
      </c>
      <c r="B128" s="62" t="s">
        <v>164</v>
      </c>
      <c r="C128" s="63" t="s">
        <v>61</v>
      </c>
      <c r="D128" s="4">
        <v>3734808.11</v>
      </c>
      <c r="E128" s="3">
        <f t="shared" si="66"/>
        <v>9.375506181740036E-5</v>
      </c>
      <c r="F128" s="4">
        <v>102.747</v>
      </c>
      <c r="G128" s="4">
        <v>102.99</v>
      </c>
      <c r="H128" s="60">
        <v>0</v>
      </c>
      <c r="I128" s="5">
        <v>0</v>
      </c>
      <c r="J128" s="5">
        <v>0</v>
      </c>
      <c r="K128" s="4">
        <v>3734808.11</v>
      </c>
      <c r="L128" s="16">
        <f t="shared" si="67"/>
        <v>9.4179599558255657E-5</v>
      </c>
      <c r="M128" s="4">
        <v>102.747</v>
      </c>
      <c r="N128" s="4">
        <v>102.99</v>
      </c>
      <c r="O128" s="60">
        <v>0</v>
      </c>
      <c r="P128" s="5">
        <v>0</v>
      </c>
      <c r="Q128" s="5">
        <v>0</v>
      </c>
      <c r="R128" s="87">
        <f t="shared" si="73"/>
        <v>0</v>
      </c>
      <c r="S128" s="87">
        <f t="shared" si="74"/>
        <v>0</v>
      </c>
      <c r="T128" s="87" t="e">
        <f t="shared" si="75"/>
        <v>#DIV/0!</v>
      </c>
      <c r="U128" s="87">
        <f t="shared" si="76"/>
        <v>0</v>
      </c>
      <c r="V128" s="89">
        <f t="shared" si="77"/>
        <v>0</v>
      </c>
    </row>
    <row r="129" spans="1:22" x14ac:dyDescent="0.25">
      <c r="A129" s="81">
        <v>106</v>
      </c>
      <c r="B129" s="62" t="s">
        <v>165</v>
      </c>
      <c r="C129" s="63" t="s">
        <v>107</v>
      </c>
      <c r="D129" s="4">
        <v>162061703.44</v>
      </c>
      <c r="E129" s="3">
        <f t="shared" si="66"/>
        <v>4.0682424844178684E-3</v>
      </c>
      <c r="F129" s="4">
        <v>1.4390000000000001</v>
      </c>
      <c r="G129" s="4">
        <v>1.4522999999999999</v>
      </c>
      <c r="H129" s="60">
        <v>0</v>
      </c>
      <c r="I129" s="5">
        <v>-4.7999999999999996E-3</v>
      </c>
      <c r="J129" s="5">
        <v>0.19800000000000001</v>
      </c>
      <c r="K129" s="4">
        <v>163498921.61000001</v>
      </c>
      <c r="L129" s="16">
        <f t="shared" si="67"/>
        <v>4.1229060535151385E-3</v>
      </c>
      <c r="M129" s="4">
        <v>1.4339999999999999</v>
      </c>
      <c r="N129" s="4">
        <v>1.4470000000000001</v>
      </c>
      <c r="O129" s="60">
        <v>0</v>
      </c>
      <c r="P129" s="5">
        <v>-3.5000000000000001E-3</v>
      </c>
      <c r="Q129" s="5">
        <v>0.1938</v>
      </c>
      <c r="R129" s="87">
        <f t="shared" si="73"/>
        <v>8.8683392775278161E-3</v>
      </c>
      <c r="S129" s="87">
        <f t="shared" si="74"/>
        <v>-3.6493837361425744E-3</v>
      </c>
      <c r="T129" s="87" t="e">
        <f t="shared" si="75"/>
        <v>#DIV/0!</v>
      </c>
      <c r="U129" s="87">
        <f t="shared" si="76"/>
        <v>1.2999999999999995E-3</v>
      </c>
      <c r="V129" s="89">
        <f t="shared" si="77"/>
        <v>-4.2000000000000093E-3</v>
      </c>
    </row>
    <row r="130" spans="1:22" x14ac:dyDescent="0.25">
      <c r="A130" s="81">
        <v>107</v>
      </c>
      <c r="B130" s="62" t="s">
        <v>166</v>
      </c>
      <c r="C130" s="63" t="s">
        <v>25</v>
      </c>
      <c r="D130" s="9">
        <v>113929542.69</v>
      </c>
      <c r="E130" s="3">
        <f t="shared" si="66"/>
        <v>2.8599786128581323E-3</v>
      </c>
      <c r="F130" s="4">
        <v>121.7072</v>
      </c>
      <c r="G130" s="4">
        <v>122.1455</v>
      </c>
      <c r="H130" s="60">
        <v>68</v>
      </c>
      <c r="I130" s="5">
        <v>-3.2420000000000001E-3</v>
      </c>
      <c r="J130" s="5">
        <v>0.17549999999999999</v>
      </c>
      <c r="K130" s="9">
        <v>113978672.69</v>
      </c>
      <c r="L130" s="16">
        <f t="shared" si="67"/>
        <v>2.8741679454384844E-3</v>
      </c>
      <c r="M130" s="4">
        <v>121.786</v>
      </c>
      <c r="N130" s="4">
        <v>122.28579999999999</v>
      </c>
      <c r="O130" s="60">
        <v>68</v>
      </c>
      <c r="P130" s="5">
        <v>1.098E-3</v>
      </c>
      <c r="Q130" s="5">
        <v>0.1757</v>
      </c>
      <c r="R130" s="87">
        <f t="shared" si="73"/>
        <v>4.312314333928448E-4</v>
      </c>
      <c r="S130" s="87">
        <f t="shared" si="74"/>
        <v>1.1486301173600035E-3</v>
      </c>
      <c r="T130" s="87">
        <f t="shared" si="75"/>
        <v>0</v>
      </c>
      <c r="U130" s="87">
        <f t="shared" si="76"/>
        <v>4.3400000000000001E-3</v>
      </c>
      <c r="V130" s="89">
        <f t="shared" si="77"/>
        <v>2.0000000000000573E-4</v>
      </c>
    </row>
    <row r="131" spans="1:22" x14ac:dyDescent="0.25">
      <c r="A131" s="81">
        <v>108</v>
      </c>
      <c r="B131" s="62" t="s">
        <v>167</v>
      </c>
      <c r="C131" s="63" t="s">
        <v>65</v>
      </c>
      <c r="D131" s="9">
        <v>180334580.38</v>
      </c>
      <c r="E131" s="3">
        <f t="shared" si="66"/>
        <v>4.5269473647313718E-3</v>
      </c>
      <c r="F131" s="4">
        <v>113.3</v>
      </c>
      <c r="G131" s="4">
        <v>115.21</v>
      </c>
      <c r="H131" s="60">
        <v>30</v>
      </c>
      <c r="I131" s="5">
        <v>-1.1000000000000001E-3</v>
      </c>
      <c r="J131" s="5">
        <v>9.8799999999999999E-2</v>
      </c>
      <c r="K131" s="9">
        <v>180309059.84</v>
      </c>
      <c r="L131" s="16">
        <f t="shared" si="67"/>
        <v>4.5468025537881672E-3</v>
      </c>
      <c r="M131" s="4">
        <v>113.35</v>
      </c>
      <c r="N131" s="4">
        <v>115.35</v>
      </c>
      <c r="O131" s="60">
        <v>29</v>
      </c>
      <c r="P131" s="5">
        <v>1E-3</v>
      </c>
      <c r="Q131" s="5">
        <v>9.98E-2</v>
      </c>
      <c r="R131" s="87">
        <f t="shared" si="73"/>
        <v>-1.4151772747198523E-4</v>
      </c>
      <c r="S131" s="87">
        <f t="shared" si="74"/>
        <v>1.2151722940717002E-3</v>
      </c>
      <c r="T131" s="87">
        <f t="shared" si="75"/>
        <v>-3.3333333333333333E-2</v>
      </c>
      <c r="U131" s="87">
        <f t="shared" si="76"/>
        <v>2.1000000000000003E-3</v>
      </c>
      <c r="V131" s="89">
        <f t="shared" si="77"/>
        <v>1.0000000000000009E-3</v>
      </c>
    </row>
    <row r="132" spans="1:22" ht="15.75" customHeight="1" x14ac:dyDescent="0.25">
      <c r="A132" s="81">
        <v>109</v>
      </c>
      <c r="B132" s="62" t="s">
        <v>168</v>
      </c>
      <c r="C132" s="63" t="s">
        <v>68</v>
      </c>
      <c r="D132" s="2">
        <v>526330546.60000002</v>
      </c>
      <c r="E132" s="3">
        <f t="shared" si="66"/>
        <v>1.3212500208710622E-2</v>
      </c>
      <c r="F132" s="4">
        <v>1.2656000000000001</v>
      </c>
      <c r="G132" s="4">
        <v>1.2656000000000001</v>
      </c>
      <c r="H132" s="60">
        <v>109</v>
      </c>
      <c r="I132" s="5">
        <v>0.42110994899885362</v>
      </c>
      <c r="J132" s="5">
        <v>0.3220538401044199</v>
      </c>
      <c r="K132" s="2">
        <v>520105978.44</v>
      </c>
      <c r="L132" s="16">
        <f t="shared" si="67"/>
        <v>1.3115365323905209E-2</v>
      </c>
      <c r="M132" s="4">
        <v>1.2498</v>
      </c>
      <c r="N132" s="4">
        <v>1.2498</v>
      </c>
      <c r="O132" s="60">
        <v>108</v>
      </c>
      <c r="P132" s="5">
        <v>-0.10035797849972261</v>
      </c>
      <c r="Q132" s="5">
        <v>0.29478298457726498</v>
      </c>
      <c r="R132" s="87">
        <f t="shared" si="73"/>
        <v>-1.1826347910471107E-2</v>
      </c>
      <c r="S132" s="87">
        <f t="shared" si="74"/>
        <v>-1.2484197218710521E-2</v>
      </c>
      <c r="T132" s="87">
        <f t="shared" si="75"/>
        <v>-9.1743119266055051E-3</v>
      </c>
      <c r="U132" s="87">
        <f t="shared" si="76"/>
        <v>-0.52146792749857629</v>
      </c>
      <c r="V132" s="89">
        <f t="shared" si="77"/>
        <v>-2.7270855527154914E-2</v>
      </c>
    </row>
    <row r="133" spans="1:22" x14ac:dyDescent="0.25">
      <c r="A133" s="81">
        <v>110</v>
      </c>
      <c r="B133" s="62" t="s">
        <v>169</v>
      </c>
      <c r="C133" s="63" t="s">
        <v>27</v>
      </c>
      <c r="D133" s="4">
        <v>6622793526.3599997</v>
      </c>
      <c r="E133" s="3">
        <f t="shared" si="66"/>
        <v>0.16625229414203041</v>
      </c>
      <c r="F133" s="4">
        <v>271.13</v>
      </c>
      <c r="G133" s="4">
        <v>273.58999999999997</v>
      </c>
      <c r="H133" s="60">
        <v>5461</v>
      </c>
      <c r="I133" s="5">
        <v>6.0000000000000001E-3</v>
      </c>
      <c r="J133" s="5">
        <v>0.35770000000000002</v>
      </c>
      <c r="K133" s="4">
        <v>6577029008.3699999</v>
      </c>
      <c r="L133" s="16">
        <f t="shared" si="67"/>
        <v>0.16585107990764159</v>
      </c>
      <c r="M133" s="4">
        <v>269.36</v>
      </c>
      <c r="N133" s="4">
        <v>271.77999999999997</v>
      </c>
      <c r="O133" s="60">
        <v>5461</v>
      </c>
      <c r="P133" s="5">
        <v>3.3E-3</v>
      </c>
      <c r="Q133" s="5">
        <v>0.34889999999999999</v>
      </c>
      <c r="R133" s="87">
        <f t="shared" si="73"/>
        <v>-6.9101532167427744E-3</v>
      </c>
      <c r="S133" s="87">
        <f t="shared" si="74"/>
        <v>-6.6157388793450138E-3</v>
      </c>
      <c r="T133" s="87">
        <f t="shared" si="75"/>
        <v>0</v>
      </c>
      <c r="U133" s="87">
        <f t="shared" si="76"/>
        <v>-2.7000000000000001E-3</v>
      </c>
      <c r="V133" s="89">
        <f t="shared" si="77"/>
        <v>-8.80000000000003E-3</v>
      </c>
    </row>
    <row r="134" spans="1:22" x14ac:dyDescent="0.25">
      <c r="A134" s="81">
        <v>111</v>
      </c>
      <c r="B134" s="62" t="s">
        <v>170</v>
      </c>
      <c r="C134" s="63" t="s">
        <v>73</v>
      </c>
      <c r="D134" s="4">
        <v>2303053327.4200001</v>
      </c>
      <c r="E134" s="3">
        <f t="shared" si="66"/>
        <v>5.7813654871021393E-2</v>
      </c>
      <c r="F134" s="4">
        <v>1.6043000000000001</v>
      </c>
      <c r="G134" s="4">
        <v>1.6289</v>
      </c>
      <c r="H134" s="60">
        <v>10318</v>
      </c>
      <c r="I134" s="5">
        <v>-1.23E-2</v>
      </c>
      <c r="J134" s="5">
        <v>0.2455</v>
      </c>
      <c r="K134" s="4">
        <v>2317462363.21</v>
      </c>
      <c r="L134" s="16">
        <f t="shared" si="67"/>
        <v>5.8438792818848902E-2</v>
      </c>
      <c r="M134" s="4">
        <v>1.6142000000000001</v>
      </c>
      <c r="N134" s="4">
        <v>1.6392</v>
      </c>
      <c r="O134" s="60">
        <v>10316</v>
      </c>
      <c r="P134" s="5">
        <v>2E-3</v>
      </c>
      <c r="Q134" s="5">
        <v>0.25330000000000003</v>
      </c>
      <c r="R134" s="87">
        <f t="shared" si="73"/>
        <v>6.2564924652186464E-3</v>
      </c>
      <c r="S134" s="87">
        <f t="shared" si="74"/>
        <v>6.3232856528945766E-3</v>
      </c>
      <c r="T134" s="87">
        <f t="shared" si="75"/>
        <v>-1.9383601473153711E-4</v>
      </c>
      <c r="U134" s="87">
        <f t="shared" si="76"/>
        <v>1.43E-2</v>
      </c>
      <c r="V134" s="89">
        <f t="shared" si="77"/>
        <v>7.8000000000000291E-3</v>
      </c>
    </row>
    <row r="135" spans="1:22" x14ac:dyDescent="0.25">
      <c r="A135" s="81">
        <v>112</v>
      </c>
      <c r="B135" s="62" t="s">
        <v>171</v>
      </c>
      <c r="C135" s="63" t="s">
        <v>75</v>
      </c>
      <c r="D135" s="4">
        <v>157299289.11834484</v>
      </c>
      <c r="E135" s="3">
        <f t="shared" si="66"/>
        <v>3.948691376040616E-3</v>
      </c>
      <c r="F135" s="4">
        <v>102.75421883805647</v>
      </c>
      <c r="G135" s="4">
        <v>107.80646326101662</v>
      </c>
      <c r="H135" s="60">
        <v>39</v>
      </c>
      <c r="I135" s="5">
        <v>-8.2701650029523011E-3</v>
      </c>
      <c r="J135" s="5">
        <v>-8.0275876421322168E-2</v>
      </c>
      <c r="K135" s="4">
        <v>158178086.0637821</v>
      </c>
      <c r="L135" s="16">
        <f t="shared" si="67"/>
        <v>3.9887320487740664E-3</v>
      </c>
      <c r="M135" s="4">
        <v>103.32828432908191</v>
      </c>
      <c r="N135" s="4">
        <v>108.42103250487104</v>
      </c>
      <c r="O135" s="60">
        <v>39</v>
      </c>
      <c r="P135" s="5">
        <v>5.7006716041361205E-3</v>
      </c>
      <c r="Q135" s="5">
        <v>-7.8275876421322194E-2</v>
      </c>
      <c r="R135" s="87">
        <f t="shared" si="73"/>
        <v>5.5867826889928638E-3</v>
      </c>
      <c r="S135" s="87">
        <f t="shared" si="74"/>
        <v>5.7006716041360971E-3</v>
      </c>
      <c r="T135" s="87">
        <f t="shared" si="75"/>
        <v>0</v>
      </c>
      <c r="U135" s="87">
        <f t="shared" si="76"/>
        <v>1.3970836607088422E-2</v>
      </c>
      <c r="V135" s="89">
        <f t="shared" si="77"/>
        <v>1.999999999999974E-3</v>
      </c>
    </row>
    <row r="136" spans="1:22" ht="13.5" customHeight="1" x14ac:dyDescent="0.25">
      <c r="A136" s="81">
        <v>113</v>
      </c>
      <c r="B136" s="62" t="s">
        <v>172</v>
      </c>
      <c r="C136" s="63" t="s">
        <v>33</v>
      </c>
      <c r="D136" s="2">
        <v>2628749446.0100002</v>
      </c>
      <c r="E136" s="3">
        <f t="shared" si="66"/>
        <v>6.5989619695113202E-2</v>
      </c>
      <c r="F136" s="4">
        <v>3.6292</v>
      </c>
      <c r="G136" s="4">
        <v>3.6987999999999999</v>
      </c>
      <c r="H136" s="60">
        <v>2236</v>
      </c>
      <c r="I136" s="5">
        <v>-6.5967755180248444E-3</v>
      </c>
      <c r="J136" s="5">
        <v>0.17617319159968892</v>
      </c>
      <c r="K136" s="2">
        <v>2621636497.9835</v>
      </c>
      <c r="L136" s="16">
        <f t="shared" si="67"/>
        <v>6.6109065926654456E-2</v>
      </c>
      <c r="M136" s="4">
        <v>3.6292</v>
      </c>
      <c r="N136" s="4">
        <v>3.6987999999999999</v>
      </c>
      <c r="O136" s="60">
        <v>2257</v>
      </c>
      <c r="P136" s="5">
        <v>-2.8931996032183216E-3</v>
      </c>
      <c r="Q136" s="5">
        <v>0.17277028778843673</v>
      </c>
      <c r="R136" s="87">
        <f t="shared" si="73"/>
        <v>-2.7058295864965313E-3</v>
      </c>
      <c r="S136" s="87">
        <f t="shared" si="74"/>
        <v>0</v>
      </c>
      <c r="T136" s="87">
        <f t="shared" si="75"/>
        <v>9.3917710196779972E-3</v>
      </c>
      <c r="U136" s="87">
        <f t="shared" si="76"/>
        <v>3.7035759148065228E-3</v>
      </c>
      <c r="V136" s="89">
        <f t="shared" si="77"/>
        <v>-3.4029038112521892E-3</v>
      </c>
    </row>
    <row r="137" spans="1:22" x14ac:dyDescent="0.25">
      <c r="A137" s="81">
        <v>114</v>
      </c>
      <c r="B137" s="62" t="s">
        <v>173</v>
      </c>
      <c r="C137" s="63" t="s">
        <v>116</v>
      </c>
      <c r="D137" s="2">
        <v>185292630.46000001</v>
      </c>
      <c r="E137" s="3">
        <f t="shared" si="66"/>
        <v>4.6514095266559814E-3</v>
      </c>
      <c r="F137" s="4">
        <v>177.526363</v>
      </c>
      <c r="G137" s="4">
        <v>181.90943100000001</v>
      </c>
      <c r="H137" s="60">
        <v>138</v>
      </c>
      <c r="I137" s="5">
        <v>3.7400000000000003E-2</v>
      </c>
      <c r="J137" s="5">
        <v>0.20799999999999999</v>
      </c>
      <c r="K137" s="2">
        <v>176311105.05000001</v>
      </c>
      <c r="L137" s="16">
        <f t="shared" si="67"/>
        <v>4.4459872588427434E-3</v>
      </c>
      <c r="M137" s="4">
        <v>168.03627</v>
      </c>
      <c r="N137" s="4">
        <v>172.49496400000001</v>
      </c>
      <c r="O137" s="60">
        <v>138</v>
      </c>
      <c r="P137" s="5">
        <v>-4.5999999999999999E-3</v>
      </c>
      <c r="Q137" s="5">
        <v>0.11550000000000001</v>
      </c>
      <c r="R137" s="87">
        <f t="shared" si="73"/>
        <v>-4.8472113476412004E-2</v>
      </c>
      <c r="S137" s="87">
        <f t="shared" si="74"/>
        <v>-5.1753594897452022E-2</v>
      </c>
      <c r="T137" s="87">
        <f t="shared" si="75"/>
        <v>0</v>
      </c>
      <c r="U137" s="87">
        <f t="shared" si="76"/>
        <v>-4.2000000000000003E-2</v>
      </c>
      <c r="V137" s="89">
        <f t="shared" si="77"/>
        <v>-9.2499999999999985E-2</v>
      </c>
    </row>
    <row r="138" spans="1:22" x14ac:dyDescent="0.25">
      <c r="A138" s="81">
        <v>115</v>
      </c>
      <c r="B138" s="62" t="s">
        <v>174</v>
      </c>
      <c r="C138" s="63" t="s">
        <v>29</v>
      </c>
      <c r="D138" s="2">
        <v>1597581555.71</v>
      </c>
      <c r="E138" s="3">
        <f t="shared" si="66"/>
        <v>4.0104164150465471E-2</v>
      </c>
      <c r="F138" s="4">
        <v>552.20000000000005</v>
      </c>
      <c r="G138" s="4">
        <v>552.20000000000005</v>
      </c>
      <c r="H138" s="60">
        <v>0</v>
      </c>
      <c r="I138" s="5">
        <v>-3.1900000000000001E-3</v>
      </c>
      <c r="J138" s="5">
        <v>0.38808999999999999</v>
      </c>
      <c r="K138" s="2">
        <v>1505721417.29</v>
      </c>
      <c r="L138" s="16">
        <f t="shared" ref="L138:L145" si="78">(K138/$K$146)</f>
        <v>3.7969351021533836E-2</v>
      </c>
      <c r="M138" s="4">
        <v>552.20000000000005</v>
      </c>
      <c r="N138" s="4">
        <v>552.20000000000005</v>
      </c>
      <c r="O138" s="60">
        <v>0</v>
      </c>
      <c r="P138" s="5">
        <v>-5.7500000000000002E-2</v>
      </c>
      <c r="Q138" s="5">
        <v>0.30828</v>
      </c>
      <c r="R138" s="87">
        <f t="shared" si="73"/>
        <v>-5.7499498596286329E-2</v>
      </c>
      <c r="S138" s="87">
        <f t="shared" si="74"/>
        <v>0</v>
      </c>
      <c r="T138" s="87" t="e">
        <f t="shared" si="75"/>
        <v>#DIV/0!</v>
      </c>
      <c r="U138" s="87">
        <f t="shared" si="76"/>
        <v>-5.4310000000000004E-2</v>
      </c>
      <c r="V138" s="89">
        <f t="shared" si="77"/>
        <v>-7.9809999999999992E-2</v>
      </c>
    </row>
    <row r="139" spans="1:22" x14ac:dyDescent="0.25">
      <c r="A139" s="81">
        <v>116</v>
      </c>
      <c r="B139" s="62" t="s">
        <v>175</v>
      </c>
      <c r="C139" s="63" t="s">
        <v>82</v>
      </c>
      <c r="D139" s="2">
        <v>24298954.059999999</v>
      </c>
      <c r="E139" s="3">
        <f t="shared" si="66"/>
        <v>6.0997777473324364E-4</v>
      </c>
      <c r="F139" s="4">
        <v>1.53</v>
      </c>
      <c r="G139" s="4">
        <v>1.53</v>
      </c>
      <c r="H139" s="60">
        <v>7</v>
      </c>
      <c r="I139" s="5">
        <v>-1.1832000000000001E-2</v>
      </c>
      <c r="J139" s="5">
        <v>0.266903</v>
      </c>
      <c r="K139" s="2">
        <v>24358195.620000001</v>
      </c>
      <c r="L139" s="16">
        <f t="shared" si="78"/>
        <v>6.142337281829606E-4</v>
      </c>
      <c r="M139" s="4">
        <v>1.54</v>
      </c>
      <c r="N139" s="4">
        <v>1.54</v>
      </c>
      <c r="O139" s="60">
        <v>7</v>
      </c>
      <c r="P139" s="5">
        <v>2.4380000000000001E-3</v>
      </c>
      <c r="Q139" s="5">
        <v>0.26999099999999998</v>
      </c>
      <c r="R139" s="87">
        <f t="shared" si="73"/>
        <v>2.4380292194355621E-3</v>
      </c>
      <c r="S139" s="87">
        <f t="shared" si="74"/>
        <v>6.5359477124183061E-3</v>
      </c>
      <c r="T139" s="87">
        <f t="shared" si="75"/>
        <v>0</v>
      </c>
      <c r="U139" s="87">
        <f t="shared" si="76"/>
        <v>1.4270000000000001E-2</v>
      </c>
      <c r="V139" s="89">
        <f t="shared" si="77"/>
        <v>3.0879999999999797E-3</v>
      </c>
    </row>
    <row r="140" spans="1:22" x14ac:dyDescent="0.25">
      <c r="A140" s="81">
        <v>117</v>
      </c>
      <c r="B140" s="62" t="s">
        <v>176</v>
      </c>
      <c r="C140" s="63" t="s">
        <v>39</v>
      </c>
      <c r="D140" s="4">
        <v>197780788.19</v>
      </c>
      <c r="E140" s="3">
        <f t="shared" si="66"/>
        <v>4.9649003313981819E-3</v>
      </c>
      <c r="F140" s="4">
        <v>2</v>
      </c>
      <c r="G140" s="4">
        <v>2.0499999999999998</v>
      </c>
      <c r="H140" s="60">
        <v>112</v>
      </c>
      <c r="I140" s="5">
        <v>7.5144912552769897E-4</v>
      </c>
      <c r="J140" s="5">
        <v>0.27427893081761001</v>
      </c>
      <c r="K140" s="4">
        <v>199921958.11000001</v>
      </c>
      <c r="L140" s="16">
        <f t="shared" si="78"/>
        <v>5.0413754611082721E-3</v>
      </c>
      <c r="M140" s="4">
        <v>2.031291</v>
      </c>
      <c r="N140" s="4">
        <v>2.076797</v>
      </c>
      <c r="O140" s="60">
        <v>112</v>
      </c>
      <c r="P140" s="5">
        <v>7.5144912552769897E-4</v>
      </c>
      <c r="Q140" s="5">
        <v>0.29189999999999999</v>
      </c>
      <c r="R140" s="87">
        <f t="shared" si="73"/>
        <v>1.0825975260767397E-2</v>
      </c>
      <c r="S140" s="87">
        <f t="shared" si="74"/>
        <v>1.307170731707326E-2</v>
      </c>
      <c r="T140" s="87">
        <f t="shared" si="75"/>
        <v>0</v>
      </c>
      <c r="U140" s="87">
        <f t="shared" si="76"/>
        <v>0</v>
      </c>
      <c r="V140" s="89">
        <f t="shared" si="77"/>
        <v>1.7621069182389981E-2</v>
      </c>
    </row>
    <row r="141" spans="1:22" x14ac:dyDescent="0.25">
      <c r="A141" s="81">
        <v>118</v>
      </c>
      <c r="B141" s="62" t="s">
        <v>177</v>
      </c>
      <c r="C141" s="63" t="s">
        <v>43</v>
      </c>
      <c r="D141" s="2">
        <v>2041731802.8199999</v>
      </c>
      <c r="E141" s="3">
        <f t="shared" si="66"/>
        <v>5.1253688476097202E-2</v>
      </c>
      <c r="F141" s="4">
        <v>4623.49</v>
      </c>
      <c r="G141" s="4">
        <v>4660.6000000000004</v>
      </c>
      <c r="H141" s="60">
        <v>3957</v>
      </c>
      <c r="I141" s="5">
        <v>-6.7000000000000002E-3</v>
      </c>
      <c r="J141" s="5">
        <v>0.26729999999999998</v>
      </c>
      <c r="K141" s="2">
        <v>2061302777.21</v>
      </c>
      <c r="L141" s="3">
        <f t="shared" si="78"/>
        <v>5.1979289004477951E-2</v>
      </c>
      <c r="M141" s="4">
        <v>4628.59</v>
      </c>
      <c r="N141" s="4">
        <v>4665.24</v>
      </c>
      <c r="O141" s="60">
        <v>3985</v>
      </c>
      <c r="P141" s="5">
        <v>1E-3</v>
      </c>
      <c r="Q141" s="5">
        <v>0.26869999999999999</v>
      </c>
      <c r="R141" s="87">
        <f t="shared" si="73"/>
        <v>9.5854775651577056E-3</v>
      </c>
      <c r="S141" s="87">
        <f t="shared" si="74"/>
        <v>9.9557996824430712E-4</v>
      </c>
      <c r="T141" s="87">
        <f t="shared" si="75"/>
        <v>7.0760677280768255E-3</v>
      </c>
      <c r="U141" s="87">
        <f t="shared" si="76"/>
        <v>7.7000000000000002E-3</v>
      </c>
      <c r="V141" s="89">
        <f t="shared" si="77"/>
        <v>1.4000000000000123E-3</v>
      </c>
    </row>
    <row r="142" spans="1:22" x14ac:dyDescent="0.25">
      <c r="A142" s="81">
        <v>119</v>
      </c>
      <c r="B142" s="62" t="s">
        <v>178</v>
      </c>
      <c r="C142" s="63" t="s">
        <v>46</v>
      </c>
      <c r="D142" s="4">
        <v>1542397904.0899999</v>
      </c>
      <c r="E142" s="3">
        <f t="shared" si="66"/>
        <v>3.8718886375393113E-2</v>
      </c>
      <c r="F142" s="4">
        <v>1.7153</v>
      </c>
      <c r="G142" s="4">
        <v>1.7257</v>
      </c>
      <c r="H142" s="60">
        <v>1840</v>
      </c>
      <c r="I142" s="5">
        <v>-1.2E-2</v>
      </c>
      <c r="J142" s="5">
        <v>0.32419999999999999</v>
      </c>
      <c r="K142" s="4">
        <v>1531719083.55</v>
      </c>
      <c r="L142" s="16">
        <f t="shared" si="78"/>
        <v>3.8624926817050674E-2</v>
      </c>
      <c r="M142" s="4">
        <v>1.7144999999999999</v>
      </c>
      <c r="N142" s="4">
        <v>1.7249000000000001</v>
      </c>
      <c r="O142" s="60">
        <v>1851</v>
      </c>
      <c r="P142" s="5" t="s">
        <v>249</v>
      </c>
      <c r="Q142" s="5" t="s">
        <v>250</v>
      </c>
      <c r="R142" s="87">
        <f t="shared" si="73"/>
        <v>-6.9235185756430107E-3</v>
      </c>
      <c r="S142" s="87">
        <f t="shared" si="74"/>
        <v>-4.6357999652309894E-4</v>
      </c>
      <c r="T142" s="87">
        <f t="shared" si="75"/>
        <v>5.9782608695652176E-3</v>
      </c>
      <c r="U142" s="87" t="e">
        <f t="shared" si="76"/>
        <v>#VALUE!</v>
      </c>
      <c r="V142" s="89" t="e">
        <f t="shared" si="77"/>
        <v>#VALUE!</v>
      </c>
    </row>
    <row r="143" spans="1:22" x14ac:dyDescent="0.25">
      <c r="A143" s="81">
        <v>120</v>
      </c>
      <c r="B143" s="62" t="s">
        <v>179</v>
      </c>
      <c r="C143" s="63" t="s">
        <v>46</v>
      </c>
      <c r="D143" s="4">
        <v>817560785.12</v>
      </c>
      <c r="E143" s="3">
        <f t="shared" si="66"/>
        <v>2.0523266441233035E-2</v>
      </c>
      <c r="F143" s="4">
        <v>1.3228</v>
      </c>
      <c r="G143" s="4">
        <v>1.3339000000000001</v>
      </c>
      <c r="H143" s="60">
        <v>441</v>
      </c>
      <c r="I143" s="5">
        <v>-1.4E-2</v>
      </c>
      <c r="J143" s="5">
        <v>0.23300000000000001</v>
      </c>
      <c r="K143" s="4">
        <v>810818589.29999995</v>
      </c>
      <c r="L143" s="16">
        <f t="shared" si="78"/>
        <v>2.0446182991356882E-2</v>
      </c>
      <c r="M143" s="4">
        <v>1.3178000000000001</v>
      </c>
      <c r="N143" s="4">
        <v>1.3289</v>
      </c>
      <c r="O143" s="60">
        <v>442</v>
      </c>
      <c r="P143" s="5" t="s">
        <v>251</v>
      </c>
      <c r="Q143" s="5">
        <v>0.22869999999999999</v>
      </c>
      <c r="R143" s="87">
        <f t="shared" si="73"/>
        <v>-8.2467211523733312E-3</v>
      </c>
      <c r="S143" s="87">
        <f t="shared" si="74"/>
        <v>-3.7484069270560874E-3</v>
      </c>
      <c r="T143" s="87">
        <f t="shared" si="75"/>
        <v>2.2675736961451248E-3</v>
      </c>
      <c r="U143" s="87" t="e">
        <f t="shared" si="76"/>
        <v>#VALUE!</v>
      </c>
      <c r="V143" s="89">
        <f t="shared" si="77"/>
        <v>-4.300000000000026E-3</v>
      </c>
    </row>
    <row r="144" spans="1:22" x14ac:dyDescent="0.25">
      <c r="A144" s="81">
        <v>121</v>
      </c>
      <c r="B144" s="62" t="s">
        <v>180</v>
      </c>
      <c r="C144" s="63" t="s">
        <v>89</v>
      </c>
      <c r="D144" s="4">
        <v>6626202685.96</v>
      </c>
      <c r="E144" s="3">
        <f t="shared" si="66"/>
        <v>0.16633787443414438</v>
      </c>
      <c r="F144" s="4">
        <v>293.72000000000003</v>
      </c>
      <c r="G144" s="4">
        <v>296.97000000000003</v>
      </c>
      <c r="H144" s="60">
        <v>0</v>
      </c>
      <c r="I144" s="5" t="s">
        <v>247</v>
      </c>
      <c r="J144" s="5" t="s">
        <v>248</v>
      </c>
      <c r="K144" s="4">
        <v>6595797580.8000002</v>
      </c>
      <c r="L144" s="16">
        <f t="shared" si="78"/>
        <v>0.16632436168910841</v>
      </c>
      <c r="M144" s="4">
        <v>293.51</v>
      </c>
      <c r="N144" s="4">
        <v>296.79000000000002</v>
      </c>
      <c r="O144" s="60">
        <v>0</v>
      </c>
      <c r="P144" s="5" t="s">
        <v>252</v>
      </c>
      <c r="Q144" s="5" t="s">
        <v>253</v>
      </c>
      <c r="R144" s="87">
        <f t="shared" si="73"/>
        <v>-4.5886168294284185E-3</v>
      </c>
      <c r="S144" s="87">
        <f t="shared" si="74"/>
        <v>-6.0612183048795103E-4</v>
      </c>
      <c r="T144" s="87" t="e">
        <f t="shared" si="75"/>
        <v>#DIV/0!</v>
      </c>
      <c r="U144" s="87" t="e">
        <f t="shared" si="76"/>
        <v>#VALUE!</v>
      </c>
      <c r="V144" s="89" t="e">
        <f t="shared" si="77"/>
        <v>#VALUE!</v>
      </c>
    </row>
    <row r="145" spans="1:24" x14ac:dyDescent="0.25">
      <c r="A145" s="81">
        <v>122</v>
      </c>
      <c r="B145" s="62" t="s">
        <v>181</v>
      </c>
      <c r="C145" s="63" t="s">
        <v>41</v>
      </c>
      <c r="D145" s="2">
        <v>257072331.25</v>
      </c>
      <c r="E145" s="3">
        <f t="shared" si="66"/>
        <v>6.4532986964856336E-3</v>
      </c>
      <c r="F145" s="4">
        <v>185.14</v>
      </c>
      <c r="G145" s="4">
        <v>188.16</v>
      </c>
      <c r="H145" s="60">
        <v>734</v>
      </c>
      <c r="I145" s="5">
        <v>-1.3299999999999999E-2</v>
      </c>
      <c r="J145" s="5">
        <v>0.32190000000000002</v>
      </c>
      <c r="K145" s="2">
        <v>257072331.25</v>
      </c>
      <c r="L145" s="16">
        <f t="shared" si="78"/>
        <v>6.482520253130823E-3</v>
      </c>
      <c r="M145" s="4">
        <v>186.31</v>
      </c>
      <c r="N145" s="4">
        <v>189.14</v>
      </c>
      <c r="O145" s="60">
        <v>734</v>
      </c>
      <c r="P145" s="5">
        <v>1.43E-2</v>
      </c>
      <c r="Q145" s="5">
        <v>0.34370000000000001</v>
      </c>
      <c r="R145" s="87">
        <f t="shared" si="73"/>
        <v>0</v>
      </c>
      <c r="S145" s="87">
        <f t="shared" si="74"/>
        <v>5.2083333333332793E-3</v>
      </c>
      <c r="T145" s="87">
        <f t="shared" si="75"/>
        <v>0</v>
      </c>
      <c r="U145" s="87">
        <f t="shared" si="76"/>
        <v>2.76E-2</v>
      </c>
      <c r="V145" s="89">
        <f t="shared" si="77"/>
        <v>2.1799999999999986E-2</v>
      </c>
    </row>
    <row r="146" spans="1:24" x14ac:dyDescent="0.25">
      <c r="A146" s="90"/>
      <c r="B146" s="19"/>
      <c r="C146" s="77" t="s">
        <v>47</v>
      </c>
      <c r="D146" s="78">
        <f>SUM(D122:D145)</f>
        <v>39835802330.054489</v>
      </c>
      <c r="E146" s="126">
        <f>(D146/$D$170)</f>
        <v>2.0554504963212053E-2</v>
      </c>
      <c r="F146" s="30"/>
      <c r="G146" s="36"/>
      <c r="H146" s="69">
        <f>SUM(H122:H145)</f>
        <v>42188</v>
      </c>
      <c r="I146" s="37"/>
      <c r="J146" s="37"/>
      <c r="K146" s="78">
        <f>SUM(K122:K145)</f>
        <v>39656232639.742752</v>
      </c>
      <c r="L146" s="126">
        <f>(K146/$K$170)</f>
        <v>2.0493459443098428E-2</v>
      </c>
      <c r="M146" s="30"/>
      <c r="N146" s="36"/>
      <c r="O146" s="69">
        <f>SUM(O122:O145)</f>
        <v>69723</v>
      </c>
      <c r="P146" s="37"/>
      <c r="Q146" s="37"/>
      <c r="R146" s="87">
        <f t="shared" si="73"/>
        <v>-4.5077462937468957E-3</v>
      </c>
      <c r="S146" s="87" t="e">
        <f t="shared" si="74"/>
        <v>#DIV/0!</v>
      </c>
      <c r="T146" s="87">
        <f t="shared" si="75"/>
        <v>0.65267374608893525</v>
      </c>
      <c r="U146" s="87">
        <f t="shared" si="76"/>
        <v>0</v>
      </c>
      <c r="V146" s="89">
        <f t="shared" si="77"/>
        <v>0</v>
      </c>
    </row>
    <row r="147" spans="1:24" ht="8.25" customHeight="1" x14ac:dyDescent="0.25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</row>
    <row r="148" spans="1:24" ht="15" customHeight="1" x14ac:dyDescent="0.25">
      <c r="A148" s="129" t="s">
        <v>182</v>
      </c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</row>
    <row r="149" spans="1:24" x14ac:dyDescent="0.25">
      <c r="A149" s="81">
        <v>123</v>
      </c>
      <c r="B149" s="62" t="s">
        <v>183</v>
      </c>
      <c r="C149" s="63" t="s">
        <v>21</v>
      </c>
      <c r="D149" s="17">
        <v>698096858.10000002</v>
      </c>
      <c r="E149" s="3">
        <f>(D149/$D$152)</f>
        <v>0.18030175436055004</v>
      </c>
      <c r="F149" s="17">
        <v>51.779699999999998</v>
      </c>
      <c r="G149" s="17">
        <v>53.340899999999998</v>
      </c>
      <c r="H149" s="64">
        <v>0</v>
      </c>
      <c r="I149" s="6">
        <v>0.66610000000000003</v>
      </c>
      <c r="J149" s="6">
        <v>0.183</v>
      </c>
      <c r="K149" s="17">
        <v>697414469.25</v>
      </c>
      <c r="L149" s="16">
        <f>(K149/$K$152)</f>
        <v>0.18012506745853463</v>
      </c>
      <c r="M149" s="17">
        <v>51.695999999999998</v>
      </c>
      <c r="N149" s="17">
        <v>53.2547</v>
      </c>
      <c r="O149" s="64">
        <v>1388</v>
      </c>
      <c r="P149" s="6">
        <v>-8.43E-2</v>
      </c>
      <c r="Q149" s="6">
        <v>0.17599999999999999</v>
      </c>
      <c r="R149" s="87">
        <f t="shared" ref="R149" si="79">((K149-D149)/D149)</f>
        <v>-9.7749881278261534E-4</v>
      </c>
      <c r="S149" s="87">
        <f t="shared" ref="S149" si="80">((N149-G149)/G149)</f>
        <v>-1.616020727059312E-3</v>
      </c>
      <c r="T149" s="87" t="e">
        <f t="shared" ref="T149" si="81">((O149-H149)/H149)</f>
        <v>#DIV/0!</v>
      </c>
      <c r="U149" s="87">
        <f t="shared" ref="U149" si="82">P149-I149</f>
        <v>-0.75040000000000007</v>
      </c>
      <c r="V149" s="89">
        <f t="shared" ref="V149" si="83">Q149-J149</f>
        <v>-7.0000000000000062E-3</v>
      </c>
    </row>
    <row r="150" spans="1:24" x14ac:dyDescent="0.25">
      <c r="A150" s="81">
        <v>124</v>
      </c>
      <c r="B150" s="62" t="s">
        <v>184</v>
      </c>
      <c r="C150" s="63" t="s">
        <v>185</v>
      </c>
      <c r="D150" s="9">
        <v>774063542.86000001</v>
      </c>
      <c r="E150" s="3">
        <f>(D150/$D$152)</f>
        <v>0.19992213565328582</v>
      </c>
      <c r="F150" s="17">
        <v>21.214500000000001</v>
      </c>
      <c r="G150" s="17">
        <v>21.439299999999999</v>
      </c>
      <c r="H150" s="60">
        <v>0</v>
      </c>
      <c r="I150" s="5">
        <v>-3.0999999999999999E-3</v>
      </c>
      <c r="J150" s="5">
        <v>0.34250000000000003</v>
      </c>
      <c r="K150" s="115">
        <v>774046518.29999995</v>
      </c>
      <c r="L150" s="16">
        <f>(K150/$K$152)</f>
        <v>0.1999172478809757</v>
      </c>
      <c r="M150" s="17">
        <v>21.2546</v>
      </c>
      <c r="N150" s="17">
        <v>21.4801</v>
      </c>
      <c r="O150" s="60">
        <v>1508</v>
      </c>
      <c r="P150" s="5">
        <v>5.3E-3</v>
      </c>
      <c r="Q150" s="5">
        <v>0.34499999999999997</v>
      </c>
      <c r="R150" s="87">
        <f t="shared" ref="R150:R152" si="84">((K150-D150)/D150)</f>
        <v>-2.1993749940941366E-5</v>
      </c>
      <c r="S150" s="87">
        <f t="shared" ref="S150:S152" si="85">((N150-G150)/G150)</f>
        <v>1.9030472076980516E-3</v>
      </c>
      <c r="T150" s="87" t="e">
        <f t="shared" ref="T150:T152" si="86">((O150-H150)/H150)</f>
        <v>#DIV/0!</v>
      </c>
      <c r="U150" s="87">
        <f t="shared" ref="U150:U152" si="87">P150-I150</f>
        <v>8.3999999999999995E-3</v>
      </c>
      <c r="V150" s="89">
        <f t="shared" ref="V150:V152" si="88">Q150-J150</f>
        <v>2.4999999999999467E-3</v>
      </c>
    </row>
    <row r="151" spans="1:24" x14ac:dyDescent="0.25">
      <c r="A151" s="81">
        <v>125</v>
      </c>
      <c r="B151" s="62" t="s">
        <v>186</v>
      </c>
      <c r="C151" s="63" t="s">
        <v>43</v>
      </c>
      <c r="D151" s="9">
        <v>2399664699</v>
      </c>
      <c r="E151" s="3">
        <f>(D151/$D$152)</f>
        <v>0.61977610998616417</v>
      </c>
      <c r="F151" s="17">
        <v>1.9</v>
      </c>
      <c r="G151" s="17">
        <v>1.93</v>
      </c>
      <c r="H151" s="60">
        <v>18020</v>
      </c>
      <c r="I151" s="5">
        <v>-1.03E-2</v>
      </c>
      <c r="J151" s="5">
        <v>0.34029999999999999</v>
      </c>
      <c r="K151" s="9">
        <v>2400373616.54</v>
      </c>
      <c r="L151" s="16">
        <f>(K151/$K$152)</f>
        <v>0.61995768466048962</v>
      </c>
      <c r="M151" s="17">
        <v>1.91</v>
      </c>
      <c r="N151" s="17">
        <v>1.93</v>
      </c>
      <c r="O151" s="60">
        <v>17915</v>
      </c>
      <c r="P151" s="5">
        <v>0</v>
      </c>
      <c r="Q151" s="5">
        <v>0.34029999999999999</v>
      </c>
      <c r="R151" s="87">
        <f t="shared" si="84"/>
        <v>2.9542358159262227E-4</v>
      </c>
      <c r="S151" s="87">
        <f t="shared" si="85"/>
        <v>0</v>
      </c>
      <c r="T151" s="87">
        <f t="shared" si="86"/>
        <v>-5.8268590455049941E-3</v>
      </c>
      <c r="U151" s="87">
        <f t="shared" si="87"/>
        <v>1.03E-2</v>
      </c>
      <c r="V151" s="89">
        <f t="shared" si="88"/>
        <v>0</v>
      </c>
    </row>
    <row r="152" spans="1:24" x14ac:dyDescent="0.25">
      <c r="A152" s="81"/>
      <c r="B152" s="19"/>
      <c r="C152" s="72" t="s">
        <v>47</v>
      </c>
      <c r="D152" s="78">
        <f>SUM(D149:D151)</f>
        <v>3871825099.96</v>
      </c>
      <c r="E152" s="126">
        <f>(D152/$D$170)</f>
        <v>1.9977870051276552E-3</v>
      </c>
      <c r="F152" s="30"/>
      <c r="G152" s="36"/>
      <c r="H152" s="69">
        <f>SUM(H149:H151)</f>
        <v>18020</v>
      </c>
      <c r="I152" s="37"/>
      <c r="J152" s="37"/>
      <c r="K152" s="78">
        <f>SUM(K149:K151)</f>
        <v>3871834604.0900002</v>
      </c>
      <c r="L152" s="126">
        <f>(K152/$K$170)</f>
        <v>2.0008780498675782E-3</v>
      </c>
      <c r="M152" s="30"/>
      <c r="N152" s="36"/>
      <c r="O152" s="69">
        <f>SUM(O149:O151)</f>
        <v>20811</v>
      </c>
      <c r="P152" s="37"/>
      <c r="Q152" s="37"/>
      <c r="R152" s="87">
        <f t="shared" si="84"/>
        <v>2.4546899084394667E-6</v>
      </c>
      <c r="S152" s="87" t="e">
        <f t="shared" si="85"/>
        <v>#DIV/0!</v>
      </c>
      <c r="T152" s="87">
        <f t="shared" si="86"/>
        <v>0.15488346281908991</v>
      </c>
      <c r="U152" s="87">
        <f t="shared" si="87"/>
        <v>0</v>
      </c>
      <c r="V152" s="89">
        <f t="shared" si="88"/>
        <v>0</v>
      </c>
    </row>
    <row r="153" spans="1:24" ht="6" customHeight="1" x14ac:dyDescent="0.25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</row>
    <row r="154" spans="1:24" ht="15" customHeight="1" x14ac:dyDescent="0.25">
      <c r="A154" s="129" t="s">
        <v>187</v>
      </c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</row>
    <row r="155" spans="1:24" x14ac:dyDescent="0.25">
      <c r="A155" s="130" t="s">
        <v>238</v>
      </c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</row>
    <row r="156" spans="1:24" x14ac:dyDescent="0.25">
      <c r="A156" s="81">
        <v>126</v>
      </c>
      <c r="B156" s="62" t="s">
        <v>188</v>
      </c>
      <c r="C156" s="63" t="s">
        <v>189</v>
      </c>
      <c r="D156" s="13">
        <v>3669967123.5100002</v>
      </c>
      <c r="E156" s="3">
        <f>(D156/$D$169)</f>
        <v>8.0310171651131454E-2</v>
      </c>
      <c r="F156" s="18">
        <v>1.8</v>
      </c>
      <c r="G156" s="18">
        <v>1.83</v>
      </c>
      <c r="H156" s="61">
        <v>14980</v>
      </c>
      <c r="I156" s="12">
        <v>1.5E-3</v>
      </c>
      <c r="J156" s="12">
        <v>0.1275</v>
      </c>
      <c r="K156" s="13">
        <v>3696884388.0300002</v>
      </c>
      <c r="L156" s="3">
        <f>(K156/$K$169)</f>
        <v>8.1503209869816365E-2</v>
      </c>
      <c r="M156" s="18">
        <v>1.81</v>
      </c>
      <c r="N156" s="18">
        <v>1.85</v>
      </c>
      <c r="O156" s="61">
        <v>14979</v>
      </c>
      <c r="P156" s="12">
        <v>7.9000000000000008E-3</v>
      </c>
      <c r="Q156" s="12">
        <v>0.13639999999999999</v>
      </c>
      <c r="R156" s="87">
        <f t="shared" ref="R156" si="89">((K156-D156)/D156)</f>
        <v>7.3344702048055372E-3</v>
      </c>
      <c r="S156" s="87">
        <f t="shared" ref="S156" si="90">((N156-G156)/G156)</f>
        <v>1.0928961748633888E-2</v>
      </c>
      <c r="T156" s="87">
        <f t="shared" ref="T156" si="91">((O156-H156)/H156)</f>
        <v>-6.6755674232309747E-5</v>
      </c>
      <c r="U156" s="87">
        <f t="shared" ref="U156" si="92">P156-I156</f>
        <v>6.4000000000000012E-3</v>
      </c>
      <c r="V156" s="89">
        <f t="shared" ref="V156" si="93">Q156-J156</f>
        <v>8.8999999999999913E-3</v>
      </c>
    </row>
    <row r="157" spans="1:24" x14ac:dyDescent="0.25">
      <c r="A157" s="81">
        <v>127</v>
      </c>
      <c r="B157" s="62" t="s">
        <v>190</v>
      </c>
      <c r="C157" s="63" t="s">
        <v>43</v>
      </c>
      <c r="D157" s="13">
        <v>508116554.61000001</v>
      </c>
      <c r="E157" s="3">
        <f>(D157/$D$169)</f>
        <v>1.1119153481811679E-2</v>
      </c>
      <c r="F157" s="18">
        <v>370.16</v>
      </c>
      <c r="G157" s="18">
        <v>374.82</v>
      </c>
      <c r="H157" s="61">
        <v>1422</v>
      </c>
      <c r="I157" s="12">
        <v>7.3000000000000001E-3</v>
      </c>
      <c r="J157" s="12">
        <v>0.4118</v>
      </c>
      <c r="K157" s="13">
        <v>510811677.39999998</v>
      </c>
      <c r="L157" s="3">
        <f>(K157/$K$169)</f>
        <v>1.1261588672311838E-2</v>
      </c>
      <c r="M157" s="18">
        <v>366.63</v>
      </c>
      <c r="N157" s="18">
        <v>371.15</v>
      </c>
      <c r="O157" s="61">
        <v>1424</v>
      </c>
      <c r="P157" s="12">
        <v>-9.7999999999999997E-3</v>
      </c>
      <c r="Q157" s="12">
        <v>0.39800000000000002</v>
      </c>
      <c r="R157" s="87">
        <f t="shared" ref="R157" si="94">((K157-D157)/D157)</f>
        <v>5.3041428498006278E-3</v>
      </c>
      <c r="S157" s="87">
        <f t="shared" ref="S157" si="95">((N157-G157)/G157)</f>
        <v>-9.7913665225975565E-3</v>
      </c>
      <c r="T157" s="87">
        <f t="shared" ref="T157" si="96">((O157-H157)/H157)</f>
        <v>1.4064697609001407E-3</v>
      </c>
      <c r="U157" s="87">
        <f t="shared" ref="U157" si="97">P157-I157</f>
        <v>-1.7100000000000001E-2</v>
      </c>
      <c r="V157" s="89">
        <f t="shared" ref="V157" si="98">Q157-J157</f>
        <v>-1.3799999999999979E-2</v>
      </c>
    </row>
    <row r="158" spans="1:24" ht="6" customHeight="1" x14ac:dyDescent="0.25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</row>
    <row r="159" spans="1:24" ht="15" customHeight="1" x14ac:dyDescent="0.25">
      <c r="A159" s="130" t="s">
        <v>237</v>
      </c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</row>
    <row r="160" spans="1:24" x14ac:dyDescent="0.25">
      <c r="A160" s="81">
        <v>128</v>
      </c>
      <c r="B160" s="62" t="s">
        <v>191</v>
      </c>
      <c r="C160" s="63" t="s">
        <v>192</v>
      </c>
      <c r="D160" s="2">
        <v>435955281.47000003</v>
      </c>
      <c r="E160" s="3">
        <f t="shared" ref="E160:E168" si="99">(D160/$D$169)</f>
        <v>9.5400428147670909E-3</v>
      </c>
      <c r="F160" s="2">
        <v>1040.99</v>
      </c>
      <c r="G160" s="2">
        <v>1040.99</v>
      </c>
      <c r="H160" s="60">
        <v>21</v>
      </c>
      <c r="I160" s="5">
        <v>2E-3</v>
      </c>
      <c r="J160" s="5">
        <v>4.1000000000000002E-2</v>
      </c>
      <c r="K160" s="2">
        <v>430516770.83999997</v>
      </c>
      <c r="L160" s="3">
        <f t="shared" ref="L160:L168" si="100">(K160/$K$169)</f>
        <v>9.4913703116764631E-3</v>
      </c>
      <c r="M160" s="2">
        <v>1039.95</v>
      </c>
      <c r="N160" s="2">
        <v>1039.95</v>
      </c>
      <c r="O160" s="60">
        <v>21</v>
      </c>
      <c r="P160" s="5">
        <v>0.04</v>
      </c>
      <c r="Q160" s="5">
        <v>4.1000000000000002E-2</v>
      </c>
      <c r="R160" s="87">
        <f t="shared" ref="R160" si="101">((K160-D160)/D160)</f>
        <v>-1.2474927730344063E-2</v>
      </c>
      <c r="S160" s="87">
        <f t="shared" ref="S160" si="102">((N160-G160)/G160)</f>
        <v>-9.9904898221881431E-4</v>
      </c>
      <c r="T160" s="87">
        <f t="shared" ref="T160" si="103">((O160-H160)/H160)</f>
        <v>0</v>
      </c>
      <c r="U160" s="87">
        <f t="shared" ref="U160" si="104">P160-I160</f>
        <v>3.7999999999999999E-2</v>
      </c>
      <c r="V160" s="89">
        <f t="shared" ref="V160" si="105">Q160-J160</f>
        <v>0</v>
      </c>
      <c r="X160" s="76"/>
    </row>
    <row r="161" spans="1:22" x14ac:dyDescent="0.25">
      <c r="A161" s="81">
        <v>129</v>
      </c>
      <c r="B161" s="62" t="s">
        <v>193</v>
      </c>
      <c r="C161" s="63" t="s">
        <v>59</v>
      </c>
      <c r="D161" s="2">
        <v>45727780.68</v>
      </c>
      <c r="E161" s="3">
        <f t="shared" si="99"/>
        <v>1.0006645269682306E-3</v>
      </c>
      <c r="F161" s="17">
        <v>109.79</v>
      </c>
      <c r="G161" s="17">
        <v>109.79</v>
      </c>
      <c r="H161" s="60">
        <v>54</v>
      </c>
      <c r="I161" s="5">
        <v>5.9999999999999995E-4</v>
      </c>
      <c r="J161" s="5">
        <v>0.1181</v>
      </c>
      <c r="K161" s="2">
        <v>46076496.130000003</v>
      </c>
      <c r="L161" s="3">
        <f t="shared" si="100"/>
        <v>1.0158235800688223E-3</v>
      </c>
      <c r="M161" s="17">
        <v>109.96</v>
      </c>
      <c r="N161" s="17">
        <v>109.96</v>
      </c>
      <c r="O161" s="60">
        <v>54</v>
      </c>
      <c r="P161" s="5">
        <v>1.5E-3</v>
      </c>
      <c r="Q161" s="5">
        <v>0.1173</v>
      </c>
      <c r="R161" s="87">
        <f t="shared" ref="R161:R169" si="106">((K161-D161)/D161)</f>
        <v>7.6258992851695722E-3</v>
      </c>
      <c r="S161" s="87">
        <f t="shared" ref="S161:S169" si="107">((N161-G161)/G161)</f>
        <v>1.5484106020583613E-3</v>
      </c>
      <c r="T161" s="87">
        <f t="shared" ref="T161:T169" si="108">((O161-H161)/H161)</f>
        <v>0</v>
      </c>
      <c r="U161" s="87">
        <f t="shared" ref="U161:U169" si="109">P161-I161</f>
        <v>9.0000000000000008E-4</v>
      </c>
      <c r="V161" s="89">
        <f t="shared" ref="V161:V169" si="110">Q161-J161</f>
        <v>-7.9999999999999516E-4</v>
      </c>
    </row>
    <row r="162" spans="1:22" x14ac:dyDescent="0.25">
      <c r="A162" s="81">
        <v>130</v>
      </c>
      <c r="B162" s="68" t="s">
        <v>194</v>
      </c>
      <c r="C162" s="63" t="s">
        <v>65</v>
      </c>
      <c r="D162" s="9">
        <v>53463298.880000003</v>
      </c>
      <c r="E162" s="3">
        <f t="shared" si="99"/>
        <v>1.1699414642118236E-3</v>
      </c>
      <c r="F162" s="17">
        <v>102.59</v>
      </c>
      <c r="G162" s="17">
        <v>108.71</v>
      </c>
      <c r="H162" s="60">
        <v>8</v>
      </c>
      <c r="I162" s="5">
        <v>1.8E-3</v>
      </c>
      <c r="J162" s="5">
        <v>6.5699999999999995E-2</v>
      </c>
      <c r="K162" s="9">
        <v>53520318.140000001</v>
      </c>
      <c r="L162" s="3">
        <f t="shared" si="100"/>
        <v>1.1799334963753705E-3</v>
      </c>
      <c r="M162" s="17">
        <v>102.7</v>
      </c>
      <c r="N162" s="17">
        <v>108.96</v>
      </c>
      <c r="O162" s="60">
        <v>8</v>
      </c>
      <c r="P162" s="5">
        <v>1.9E-3</v>
      </c>
      <c r="Q162" s="5">
        <v>6.7599999999999993E-2</v>
      </c>
      <c r="R162" s="87">
        <f t="shared" si="106"/>
        <v>1.0665121905024861E-3</v>
      </c>
      <c r="S162" s="87">
        <f t="shared" si="107"/>
        <v>2.299696440069911E-3</v>
      </c>
      <c r="T162" s="87">
        <f t="shared" si="108"/>
        <v>0</v>
      </c>
      <c r="U162" s="87">
        <f t="shared" si="109"/>
        <v>1.0000000000000005E-4</v>
      </c>
      <c r="V162" s="89">
        <f t="shared" si="110"/>
        <v>1.8999999999999989E-3</v>
      </c>
    </row>
    <row r="163" spans="1:22" x14ac:dyDescent="0.25">
      <c r="A163" s="81">
        <v>131</v>
      </c>
      <c r="B163" s="62" t="s">
        <v>195</v>
      </c>
      <c r="C163" s="63" t="s">
        <v>27</v>
      </c>
      <c r="D163" s="2">
        <v>9280432680.2000008</v>
      </c>
      <c r="E163" s="3">
        <f t="shared" si="99"/>
        <v>0.2030844191407376</v>
      </c>
      <c r="F163" s="17">
        <v>134.43</v>
      </c>
      <c r="G163" s="17">
        <v>134.43</v>
      </c>
      <c r="H163" s="60">
        <v>579</v>
      </c>
      <c r="I163" s="5">
        <v>2.3999999999999998E-3</v>
      </c>
      <c r="J163" s="5">
        <v>0.1313</v>
      </c>
      <c r="K163" s="2">
        <v>9109443785.2199993</v>
      </c>
      <c r="L163" s="3">
        <f t="shared" si="100"/>
        <v>0.20083097838494132</v>
      </c>
      <c r="M163" s="17">
        <v>134.76</v>
      </c>
      <c r="N163" s="17">
        <v>134.76</v>
      </c>
      <c r="O163" s="60">
        <v>576</v>
      </c>
      <c r="P163" s="5">
        <v>2.5000000000000001E-3</v>
      </c>
      <c r="Q163" s="5">
        <v>0.1313</v>
      </c>
      <c r="R163" s="87">
        <f t="shared" si="106"/>
        <v>-1.8424668425730824E-2</v>
      </c>
      <c r="S163" s="87">
        <f t="shared" si="107"/>
        <v>2.4548091943761368E-3</v>
      </c>
      <c r="T163" s="87">
        <f t="shared" si="108"/>
        <v>-5.1813471502590676E-3</v>
      </c>
      <c r="U163" s="87">
        <f t="shared" si="109"/>
        <v>1.0000000000000026E-4</v>
      </c>
      <c r="V163" s="89">
        <f t="shared" si="110"/>
        <v>0</v>
      </c>
    </row>
    <row r="164" spans="1:22" x14ac:dyDescent="0.25">
      <c r="A164" s="81">
        <v>132</v>
      </c>
      <c r="B164" s="62" t="s">
        <v>196</v>
      </c>
      <c r="C164" s="63" t="s">
        <v>189</v>
      </c>
      <c r="D164" s="2">
        <v>18386675044.759998</v>
      </c>
      <c r="E164" s="3">
        <f t="shared" si="99"/>
        <v>0.40235701826287135</v>
      </c>
      <c r="F164" s="2">
        <v>1207.7</v>
      </c>
      <c r="G164" s="2">
        <v>1207.7</v>
      </c>
      <c r="H164" s="60">
        <v>7138</v>
      </c>
      <c r="I164" s="5">
        <v>2.8E-3</v>
      </c>
      <c r="J164" s="5">
        <v>7.9500000000000001E-2</v>
      </c>
      <c r="K164" s="2">
        <v>18153303429.98</v>
      </c>
      <c r="L164" s="3">
        <f t="shared" si="100"/>
        <v>0.40021605871005955</v>
      </c>
      <c r="M164" s="14">
        <v>1211.5</v>
      </c>
      <c r="N164" s="14">
        <v>1211.5</v>
      </c>
      <c r="O164" s="60">
        <v>7136</v>
      </c>
      <c r="P164" s="5">
        <v>3.0999999999999999E-3</v>
      </c>
      <c r="Q164" s="5">
        <v>8.2699999999999996E-2</v>
      </c>
      <c r="R164" s="87">
        <f t="shared" si="106"/>
        <v>-1.2692431568616162E-2</v>
      </c>
      <c r="S164" s="87">
        <f t="shared" si="107"/>
        <v>3.1464767740332486E-3</v>
      </c>
      <c r="T164" s="87">
        <f t="shared" si="108"/>
        <v>-2.8019052956010089E-4</v>
      </c>
      <c r="U164" s="87">
        <f t="shared" si="109"/>
        <v>2.9999999999999992E-4</v>
      </c>
      <c r="V164" s="89">
        <f t="shared" si="110"/>
        <v>3.1999999999999945E-3</v>
      </c>
    </row>
    <row r="165" spans="1:22" x14ac:dyDescent="0.25">
      <c r="A165" s="81">
        <v>133</v>
      </c>
      <c r="B165" s="62" t="s">
        <v>197</v>
      </c>
      <c r="C165" s="63" t="s">
        <v>80</v>
      </c>
      <c r="D165" s="2">
        <v>699384538.92999995</v>
      </c>
      <c r="E165" s="3">
        <f t="shared" si="99"/>
        <v>1.5304685432139859E-2</v>
      </c>
      <c r="F165" s="14">
        <v>104.24</v>
      </c>
      <c r="G165" s="14">
        <v>104.24</v>
      </c>
      <c r="H165" s="60">
        <v>507</v>
      </c>
      <c r="I165" s="5">
        <v>1.9E-3</v>
      </c>
      <c r="J165" s="5">
        <v>7.6499999999999999E-2</v>
      </c>
      <c r="K165" s="2">
        <v>704514490.82000005</v>
      </c>
      <c r="L165" s="3">
        <f t="shared" si="100"/>
        <v>1.5532049795105281E-2</v>
      </c>
      <c r="M165" s="14">
        <v>101.97</v>
      </c>
      <c r="N165" s="14">
        <v>101.97</v>
      </c>
      <c r="O165" s="60">
        <v>507</v>
      </c>
      <c r="P165" s="5">
        <v>1.6000000000000001E-3</v>
      </c>
      <c r="Q165" s="5">
        <v>7.85E-2</v>
      </c>
      <c r="R165" s="87">
        <f t="shared" si="106"/>
        <v>7.3349518104139158E-3</v>
      </c>
      <c r="S165" s="87">
        <f t="shared" si="107"/>
        <v>-2.1776669224865656E-2</v>
      </c>
      <c r="T165" s="87">
        <f t="shared" si="108"/>
        <v>0</v>
      </c>
      <c r="U165" s="87">
        <f t="shared" si="109"/>
        <v>-2.9999999999999992E-4</v>
      </c>
      <c r="V165" s="89">
        <f t="shared" si="110"/>
        <v>2.0000000000000018E-3</v>
      </c>
    </row>
    <row r="166" spans="1:22" ht="15.75" customHeight="1" x14ac:dyDescent="0.25">
      <c r="A166" s="81">
        <v>134</v>
      </c>
      <c r="B166" s="62" t="s">
        <v>198</v>
      </c>
      <c r="C166" s="63" t="s">
        <v>43</v>
      </c>
      <c r="D166" s="2">
        <v>8513807461.8699999</v>
      </c>
      <c r="E166" s="3">
        <f t="shared" si="99"/>
        <v>0.18630830077123997</v>
      </c>
      <c r="F166" s="14">
        <v>126.2</v>
      </c>
      <c r="G166" s="14">
        <v>126.2</v>
      </c>
      <c r="H166" s="60">
        <v>1988</v>
      </c>
      <c r="I166" s="5">
        <v>5.9999999999999995E-4</v>
      </c>
      <c r="J166" s="5">
        <v>4.2599999999999999E-2</v>
      </c>
      <c r="K166" s="2">
        <v>8521512406.29</v>
      </c>
      <c r="L166" s="3">
        <f t="shared" si="100"/>
        <v>0.18786917337931683</v>
      </c>
      <c r="M166" s="14">
        <v>126.34</v>
      </c>
      <c r="N166" s="14">
        <v>126.34</v>
      </c>
      <c r="O166" s="60">
        <v>1988</v>
      </c>
      <c r="P166" s="5">
        <v>1.1000000000000001E-3</v>
      </c>
      <c r="Q166" s="5">
        <v>4.3999999999999997E-2</v>
      </c>
      <c r="R166" s="87">
        <f t="shared" si="106"/>
        <v>9.0499397061860945E-4</v>
      </c>
      <c r="S166" s="87">
        <f t="shared" si="107"/>
        <v>1.1093502377179125E-3</v>
      </c>
      <c r="T166" s="87">
        <f t="shared" si="108"/>
        <v>0</v>
      </c>
      <c r="U166" s="87">
        <f t="shared" si="109"/>
        <v>5.0000000000000012E-4</v>
      </c>
      <c r="V166" s="89">
        <f t="shared" si="110"/>
        <v>1.3999999999999985E-3</v>
      </c>
    </row>
    <row r="167" spans="1:22" x14ac:dyDescent="0.25">
      <c r="A167" s="81">
        <v>135</v>
      </c>
      <c r="B167" s="62" t="s">
        <v>199</v>
      </c>
      <c r="C167" s="63" t="s">
        <v>46</v>
      </c>
      <c r="D167" s="2">
        <v>3788057098.0300002</v>
      </c>
      <c r="E167" s="3">
        <f t="shared" si="99"/>
        <v>8.2894343608211143E-2</v>
      </c>
      <c r="F167" s="14">
        <v>1.1456</v>
      </c>
      <c r="G167" s="14">
        <v>1.1456</v>
      </c>
      <c r="H167" s="60">
        <v>527</v>
      </c>
      <c r="I167" s="5">
        <v>0.1004</v>
      </c>
      <c r="J167" s="5">
        <v>0.1124</v>
      </c>
      <c r="K167" s="2">
        <v>3815843287.7399998</v>
      </c>
      <c r="L167" s="3">
        <f t="shared" si="100"/>
        <v>8.4125832367922967E-2</v>
      </c>
      <c r="M167" s="14">
        <v>1.1476999999999999</v>
      </c>
      <c r="N167" s="14">
        <v>1.1476999999999999</v>
      </c>
      <c r="O167" s="60">
        <v>532</v>
      </c>
      <c r="P167" s="5">
        <v>0.1002</v>
      </c>
      <c r="Q167" s="5">
        <v>0.112</v>
      </c>
      <c r="R167" s="87">
        <f t="shared" si="106"/>
        <v>7.3352087867022703E-3</v>
      </c>
      <c r="S167" s="87">
        <f t="shared" si="107"/>
        <v>1.8331005586592099E-3</v>
      </c>
      <c r="T167" s="87">
        <f t="shared" si="108"/>
        <v>9.4876660341555973E-3</v>
      </c>
      <c r="U167" s="87">
        <f t="shared" si="109"/>
        <v>-2.0000000000000573E-4</v>
      </c>
      <c r="V167" s="89">
        <f t="shared" si="110"/>
        <v>-3.9999999999999758E-4</v>
      </c>
    </row>
    <row r="168" spans="1:22" x14ac:dyDescent="0.25">
      <c r="A168" s="81">
        <v>136</v>
      </c>
      <c r="B168" s="62" t="s">
        <v>200</v>
      </c>
      <c r="C168" s="63" t="s">
        <v>201</v>
      </c>
      <c r="D168" s="13">
        <v>315826653.39999998</v>
      </c>
      <c r="E168" s="3">
        <f t="shared" si="99"/>
        <v>6.9112588459097355E-3</v>
      </c>
      <c r="F168" s="18">
        <v>98.841399999999993</v>
      </c>
      <c r="G168" s="18">
        <v>98.867400000000004</v>
      </c>
      <c r="H168" s="61">
        <v>110</v>
      </c>
      <c r="I168" s="12">
        <v>8.1999999999999994E-6</v>
      </c>
      <c r="J168" s="12">
        <v>-1.1599999999999999E-2</v>
      </c>
      <c r="K168" s="13">
        <v>316331137.39999998</v>
      </c>
      <c r="L168" s="3">
        <f t="shared" si="100"/>
        <v>6.9739814324052086E-3</v>
      </c>
      <c r="M168" s="14">
        <v>98.944199999999995</v>
      </c>
      <c r="N168" s="18">
        <v>98.977900000000005</v>
      </c>
      <c r="O168" s="61">
        <v>110</v>
      </c>
      <c r="P168" s="12">
        <v>1.0177999999999999E-3</v>
      </c>
      <c r="Q168" s="12">
        <v>-1.06E-2</v>
      </c>
      <c r="R168" s="87">
        <f t="shared" si="106"/>
        <v>1.5973446020753105E-3</v>
      </c>
      <c r="S168" s="87">
        <f t="shared" si="107"/>
        <v>1.1176586013185521E-3</v>
      </c>
      <c r="T168" s="87">
        <f t="shared" si="108"/>
        <v>0</v>
      </c>
      <c r="U168" s="87">
        <f t="shared" si="109"/>
        <v>1.0095999999999998E-3</v>
      </c>
      <c r="V168" s="89">
        <f t="shared" si="110"/>
        <v>9.9999999999999915E-4</v>
      </c>
    </row>
    <row r="169" spans="1:22" x14ac:dyDescent="0.25">
      <c r="A169" s="91"/>
      <c r="B169" s="19"/>
      <c r="C169" s="72" t="s">
        <v>47</v>
      </c>
      <c r="D169" s="59">
        <f>SUM(D156:D168)</f>
        <v>45697413516.340004</v>
      </c>
      <c r="E169" s="126">
        <f>(D169/$D$170)</f>
        <v>2.3578983175617123E-2</v>
      </c>
      <c r="F169" s="30"/>
      <c r="G169" s="34"/>
      <c r="H169" s="74">
        <f>SUM(H156:H168)</f>
        <v>27334</v>
      </c>
      <c r="I169" s="35"/>
      <c r="J169" s="35"/>
      <c r="K169" s="59">
        <f>SUM(K156:K168)</f>
        <v>45358758187.989998</v>
      </c>
      <c r="L169" s="126">
        <f>(K169/$K$170)</f>
        <v>2.3440397875397166E-2</v>
      </c>
      <c r="M169" s="30"/>
      <c r="N169" s="34"/>
      <c r="O169" s="74">
        <f>SUM(O156:O168)</f>
        <v>27335</v>
      </c>
      <c r="P169" s="35"/>
      <c r="Q169" s="35"/>
      <c r="R169" s="87">
        <f t="shared" si="106"/>
        <v>-7.4108204883174249E-3</v>
      </c>
      <c r="S169" s="87" t="e">
        <f t="shared" si="107"/>
        <v>#DIV/0!</v>
      </c>
      <c r="T169" s="87">
        <f t="shared" si="108"/>
        <v>3.6584473549425625E-5</v>
      </c>
      <c r="U169" s="87">
        <f t="shared" si="109"/>
        <v>0</v>
      </c>
      <c r="V169" s="89">
        <f t="shared" si="110"/>
        <v>0</v>
      </c>
    </row>
    <row r="170" spans="1:22" x14ac:dyDescent="0.25">
      <c r="A170" s="92"/>
      <c r="B170" s="38"/>
      <c r="C170" s="73" t="s">
        <v>202</v>
      </c>
      <c r="D170" s="75">
        <f>SUM(D22,D54,D86,D112,D119,D146,D152,D169)</f>
        <v>1938057005087.2852</v>
      </c>
      <c r="E170" s="39"/>
      <c r="F170" s="39"/>
      <c r="G170" s="40"/>
      <c r="H170" s="75">
        <f>SUM(H22,H54,H86,H112,H119,H146,H152,H169)</f>
        <v>664949</v>
      </c>
      <c r="I170" s="41"/>
      <c r="J170" s="41"/>
      <c r="K170" s="75">
        <f>SUM(K22,K54,K86,K112,K119,K146,K152,K169)</f>
        <v>1935067759050.2058</v>
      </c>
      <c r="L170" s="39"/>
      <c r="M170" s="39"/>
      <c r="N170" s="40"/>
      <c r="O170" s="75">
        <f>SUM(O22,O54,O86,O112,O119,O146,O152,O169)</f>
        <v>753585.85</v>
      </c>
      <c r="P170" s="42"/>
      <c r="Q170" s="75"/>
      <c r="R170" s="25"/>
      <c r="S170" s="25"/>
      <c r="T170" s="25"/>
      <c r="U170" s="25"/>
      <c r="V170" s="25"/>
    </row>
    <row r="171" spans="1:22" ht="6.75" customHeight="1" x14ac:dyDescent="0.25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9"/>
    </row>
    <row r="172" spans="1:22" ht="15.75" x14ac:dyDescent="0.25">
      <c r="A172" s="129" t="s">
        <v>203</v>
      </c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</row>
    <row r="173" spans="1:22" x14ac:dyDescent="0.25">
      <c r="A173" s="81">
        <v>1</v>
      </c>
      <c r="B173" s="62" t="s">
        <v>204</v>
      </c>
      <c r="C173" s="63" t="s">
        <v>205</v>
      </c>
      <c r="D173" s="2">
        <v>92548651821</v>
      </c>
      <c r="E173" s="3">
        <f>(D173/$D$175)</f>
        <v>0.9789095143576918</v>
      </c>
      <c r="F173" s="14">
        <v>108.39</v>
      </c>
      <c r="G173" s="14">
        <v>108.39</v>
      </c>
      <c r="H173" s="66"/>
      <c r="I173" s="20">
        <v>0</v>
      </c>
      <c r="J173" s="20">
        <v>0.13800000000000001</v>
      </c>
      <c r="K173" s="2">
        <v>92548651821</v>
      </c>
      <c r="L173" s="3">
        <f>(K173/$K$175)</f>
        <v>0.97884880278814412</v>
      </c>
      <c r="M173" s="14">
        <v>108.39</v>
      </c>
      <c r="N173" s="14">
        <v>108.39</v>
      </c>
      <c r="O173" s="66">
        <v>0</v>
      </c>
      <c r="P173" s="20">
        <v>0</v>
      </c>
      <c r="Q173" s="20">
        <v>0.13800000000000001</v>
      </c>
      <c r="R173" s="87">
        <f t="shared" ref="R173:R174" si="111">((K173-D173)/D173)</f>
        <v>0</v>
      </c>
      <c r="S173" s="87">
        <f t="shared" ref="S173:S174" si="112">((N173-G173)/G173)</f>
        <v>0</v>
      </c>
      <c r="T173" s="87" t="e">
        <f t="shared" ref="T173:T174" si="113">((O173-H173)/H173)</f>
        <v>#DIV/0!</v>
      </c>
      <c r="U173" s="87">
        <f t="shared" ref="U173:U174" si="114">P173-I173</f>
        <v>0</v>
      </c>
      <c r="V173" s="89">
        <f t="shared" ref="V173:V174" si="115">Q173-J173</f>
        <v>0</v>
      </c>
    </row>
    <row r="174" spans="1:22" x14ac:dyDescent="0.25">
      <c r="A174" s="81">
        <v>2</v>
      </c>
      <c r="B174" s="62" t="s">
        <v>206</v>
      </c>
      <c r="C174" s="63" t="s">
        <v>46</v>
      </c>
      <c r="D174" s="2">
        <v>1993949373.0699999</v>
      </c>
      <c r="E174" s="3">
        <f>(D174/$D$175)</f>
        <v>2.1090485642308161E-2</v>
      </c>
      <c r="F174" s="21">
        <v>1000000</v>
      </c>
      <c r="G174" s="21">
        <v>1000000</v>
      </c>
      <c r="H174" s="66">
        <v>0</v>
      </c>
      <c r="I174" s="20">
        <v>0.1658</v>
      </c>
      <c r="J174" s="20">
        <v>0.1658</v>
      </c>
      <c r="K174" s="2">
        <v>1999813230.3800001</v>
      </c>
      <c r="L174" s="3">
        <f>(K174/$K$175)</f>
        <v>2.1151197211855863E-2</v>
      </c>
      <c r="M174" s="21">
        <v>1000000</v>
      </c>
      <c r="N174" s="21">
        <v>1000000</v>
      </c>
      <c r="O174" s="66">
        <v>0</v>
      </c>
      <c r="P174" s="20">
        <v>0.1661</v>
      </c>
      <c r="Q174" s="20">
        <v>0.1661</v>
      </c>
      <c r="R174" s="87">
        <f t="shared" si="111"/>
        <v>2.9408255742079583E-3</v>
      </c>
      <c r="S174" s="87">
        <f t="shared" si="112"/>
        <v>0</v>
      </c>
      <c r="T174" s="87" t="e">
        <f t="shared" si="113"/>
        <v>#DIV/0!</v>
      </c>
      <c r="U174" s="87">
        <f t="shared" si="114"/>
        <v>2.9999999999999472E-4</v>
      </c>
      <c r="V174" s="89">
        <f t="shared" si="115"/>
        <v>2.9999999999999472E-4</v>
      </c>
    </row>
    <row r="175" spans="1:22" x14ac:dyDescent="0.25">
      <c r="A175" s="38"/>
      <c r="B175" s="38"/>
      <c r="C175" s="73" t="s">
        <v>207</v>
      </c>
      <c r="D175" s="79">
        <f>SUM(D173:D174)</f>
        <v>94542601194.070007</v>
      </c>
      <c r="E175" s="24"/>
      <c r="F175" s="22"/>
      <c r="G175" s="22"/>
      <c r="H175" s="79">
        <f>SUM(H173:H174)</f>
        <v>0</v>
      </c>
      <c r="I175" s="23"/>
      <c r="J175" s="23"/>
      <c r="K175" s="79">
        <f>SUM(K173:K174)</f>
        <v>94548465051.380005</v>
      </c>
      <c r="L175" s="24"/>
      <c r="M175" s="22"/>
      <c r="N175" s="22"/>
      <c r="O175" s="23"/>
      <c r="P175" s="23"/>
      <c r="Q175" s="79"/>
      <c r="R175" s="25">
        <f>((K175-D175)/D175)</f>
        <v>6.2023439549337858E-5</v>
      </c>
      <c r="S175" s="26"/>
      <c r="T175" s="26"/>
      <c r="U175" s="25">
        <f t="shared" ref="U175:V175" si="116">O175-H175</f>
        <v>0</v>
      </c>
      <c r="V175" s="93">
        <f t="shared" si="116"/>
        <v>0</v>
      </c>
    </row>
    <row r="176" spans="1:22" ht="8.25" customHeight="1" x14ac:dyDescent="0.25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</row>
    <row r="177" spans="1:22" ht="15.75" x14ac:dyDescent="0.25">
      <c r="A177" s="129" t="s">
        <v>208</v>
      </c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</row>
    <row r="178" spans="1:22" x14ac:dyDescent="0.25">
      <c r="A178" s="81">
        <v>1</v>
      </c>
      <c r="B178" s="62" t="s">
        <v>209</v>
      </c>
      <c r="C178" s="63" t="s">
        <v>75</v>
      </c>
      <c r="D178" s="27">
        <v>673676460.81826973</v>
      </c>
      <c r="E178" s="10">
        <f t="shared" ref="E178:E189" si="117">(D178/$D$190)</f>
        <v>7.3095168983907929E-2</v>
      </c>
      <c r="F178" s="21">
        <v>155.09991039904909</v>
      </c>
      <c r="G178" s="21">
        <v>158.07472715551972</v>
      </c>
      <c r="H178" s="65">
        <v>103</v>
      </c>
      <c r="I178" s="28">
        <v>-1.44397029824058E-2</v>
      </c>
      <c r="J178" s="28">
        <v>0.23625329145555973</v>
      </c>
      <c r="K178" s="27">
        <v>674026155.22362685</v>
      </c>
      <c r="L178" s="10">
        <f t="shared" ref="L178:L189" si="118">(K178/$K$190)</f>
        <v>7.2020365281334833E-2</v>
      </c>
      <c r="M178" s="21">
        <v>155.18042021955264</v>
      </c>
      <c r="N178" s="21">
        <v>158.15525142626913</v>
      </c>
      <c r="O178" s="65">
        <v>103</v>
      </c>
      <c r="P178" s="28">
        <v>1.0200000000000001E-2</v>
      </c>
      <c r="Q178" s="28">
        <v>0.24645329145556</v>
      </c>
      <c r="R178" s="87">
        <f t="shared" ref="R178" si="119">((K178-D178)/D178)</f>
        <v>5.1908360421614255E-4</v>
      </c>
      <c r="S178" s="87">
        <f t="shared" ref="S178" si="120">((N178-G178)/G178)</f>
        <v>5.0940635608489552E-4</v>
      </c>
      <c r="T178" s="87">
        <f t="shared" ref="T178" si="121">((O178-H178)/H178)</f>
        <v>0</v>
      </c>
      <c r="U178" s="87">
        <f t="shared" ref="U178" si="122">P178-I178</f>
        <v>2.4639702982405802E-2</v>
      </c>
      <c r="V178" s="89">
        <f t="shared" ref="V178" si="123">Q178-J178</f>
        <v>1.0200000000000264E-2</v>
      </c>
    </row>
    <row r="179" spans="1:22" x14ac:dyDescent="0.25">
      <c r="A179" s="81">
        <v>2</v>
      </c>
      <c r="B179" s="62" t="s">
        <v>210</v>
      </c>
      <c r="C179" s="63" t="s">
        <v>189</v>
      </c>
      <c r="D179" s="27">
        <v>721634185.23000002</v>
      </c>
      <c r="E179" s="10">
        <f t="shared" si="117"/>
        <v>7.8298672703929914E-2</v>
      </c>
      <c r="F179" s="21">
        <v>20.53</v>
      </c>
      <c r="G179" s="21">
        <v>22.69</v>
      </c>
      <c r="H179" s="65">
        <v>111</v>
      </c>
      <c r="I179" s="28">
        <v>4.0000000000000002E-4</v>
      </c>
      <c r="J179" s="28">
        <v>0.39179999999999998</v>
      </c>
      <c r="K179" s="27">
        <v>717604621.08000004</v>
      </c>
      <c r="L179" s="10">
        <f t="shared" si="118"/>
        <v>7.6676767714760993E-2</v>
      </c>
      <c r="M179" s="21">
        <v>20.41</v>
      </c>
      <c r="N179" s="21">
        <v>22.56</v>
      </c>
      <c r="O179" s="65">
        <v>139</v>
      </c>
      <c r="P179" s="28">
        <v>-5.5999999999999999E-3</v>
      </c>
      <c r="Q179" s="28">
        <v>0.38400000000000001</v>
      </c>
      <c r="R179" s="87">
        <f t="shared" ref="R179:R190" si="124">((K179-D179)/D179)</f>
        <v>-5.5839429900561999E-3</v>
      </c>
      <c r="S179" s="87">
        <f t="shared" ref="S179:S190" si="125">((N179-G179)/G179)</f>
        <v>-5.7293962097841582E-3</v>
      </c>
      <c r="T179" s="87">
        <f t="shared" ref="T179:T190" si="126">((O179-H179)/H179)</f>
        <v>0.25225225225225223</v>
      </c>
      <c r="U179" s="87">
        <f t="shared" ref="U179:U190" si="127">P179-I179</f>
        <v>-6.0000000000000001E-3</v>
      </c>
      <c r="V179" s="89">
        <f t="shared" ref="V179:V190" si="128">Q179-J179</f>
        <v>-7.7999999999999736E-3</v>
      </c>
    </row>
    <row r="180" spans="1:22" x14ac:dyDescent="0.25">
      <c r="A180" s="81">
        <v>3</v>
      </c>
      <c r="B180" s="62" t="s">
        <v>211</v>
      </c>
      <c r="C180" s="63" t="s">
        <v>37</v>
      </c>
      <c r="D180" s="27">
        <v>295603403.12</v>
      </c>
      <c r="E180" s="10">
        <f t="shared" si="117"/>
        <v>3.2073527813380714E-2</v>
      </c>
      <c r="F180" s="21">
        <v>22.055841000000001</v>
      </c>
      <c r="G180" s="21">
        <v>22.444786000000001</v>
      </c>
      <c r="H180" s="65">
        <v>65</v>
      </c>
      <c r="I180" s="28">
        <v>-6.6527577199539945E-3</v>
      </c>
      <c r="J180" s="28">
        <v>0.55781344869791294</v>
      </c>
      <c r="K180" s="27">
        <v>297496545.39999998</v>
      </c>
      <c r="L180" s="10">
        <f t="shared" si="118"/>
        <v>3.1787801858422844E-2</v>
      </c>
      <c r="M180" s="21">
        <v>22.06</v>
      </c>
      <c r="N180" s="21">
        <v>22.459999999999997</v>
      </c>
      <c r="O180" s="65">
        <v>60</v>
      </c>
      <c r="P180" s="28">
        <v>-2.9103237026883999E-4</v>
      </c>
      <c r="Q180" s="28">
        <v>0.56779020293333482</v>
      </c>
      <c r="R180" s="87">
        <f t="shared" si="124"/>
        <v>6.4043318176261032E-3</v>
      </c>
      <c r="S180" s="87">
        <f t="shared" si="125"/>
        <v>6.7784116988224921E-4</v>
      </c>
      <c r="T180" s="87">
        <f t="shared" si="126"/>
        <v>-7.6923076923076927E-2</v>
      </c>
      <c r="U180" s="87">
        <f t="shared" si="127"/>
        <v>6.3617253496851545E-3</v>
      </c>
      <c r="V180" s="89">
        <f t="shared" si="128"/>
        <v>9.9767542354218808E-3</v>
      </c>
    </row>
    <row r="181" spans="1:22" x14ac:dyDescent="0.25">
      <c r="A181" s="81">
        <v>4</v>
      </c>
      <c r="B181" s="62" t="s">
        <v>212</v>
      </c>
      <c r="C181" s="63" t="s">
        <v>37</v>
      </c>
      <c r="D181" s="27">
        <v>382930865.44999999</v>
      </c>
      <c r="E181" s="10">
        <f t="shared" si="117"/>
        <v>4.1548722490947355E-2</v>
      </c>
      <c r="F181" s="21">
        <v>28.735403999999999</v>
      </c>
      <c r="G181" s="21">
        <v>29.179804000000001</v>
      </c>
      <c r="H181" s="65">
        <v>61</v>
      </c>
      <c r="I181" s="28">
        <v>-2.6203539326113523E-2</v>
      </c>
      <c r="J181" s="28">
        <v>0.64781649313904732</v>
      </c>
      <c r="K181" s="27">
        <v>388485979.48000002</v>
      </c>
      <c r="L181" s="10">
        <f t="shared" si="118"/>
        <v>4.1510113416213017E-2</v>
      </c>
      <c r="M181" s="21">
        <v>29.18</v>
      </c>
      <c r="N181" s="21">
        <v>29.63</v>
      </c>
      <c r="O181" s="65">
        <v>53</v>
      </c>
      <c r="P181" s="28">
        <v>-1.207683691288064E-2</v>
      </c>
      <c r="Q181" s="28">
        <v>0.67172109145118686</v>
      </c>
      <c r="R181" s="87">
        <f t="shared" si="124"/>
        <v>1.4506832776386298E-2</v>
      </c>
      <c r="S181" s="87">
        <f t="shared" si="125"/>
        <v>1.5428342150618909E-2</v>
      </c>
      <c r="T181" s="87">
        <f t="shared" si="126"/>
        <v>-0.13114754098360656</v>
      </c>
      <c r="U181" s="87">
        <f t="shared" si="127"/>
        <v>1.4126702413232883E-2</v>
      </c>
      <c r="V181" s="89">
        <f t="shared" si="128"/>
        <v>2.3904598312139536E-2</v>
      </c>
    </row>
    <row r="182" spans="1:22" x14ac:dyDescent="0.25">
      <c r="A182" s="81">
        <v>5</v>
      </c>
      <c r="B182" s="62" t="s">
        <v>213</v>
      </c>
      <c r="C182" s="63" t="s">
        <v>214</v>
      </c>
      <c r="D182" s="27">
        <v>579328650</v>
      </c>
      <c r="E182" s="10">
        <f t="shared" si="117"/>
        <v>6.2858253229650093E-2</v>
      </c>
      <c r="F182" s="21">
        <v>13050</v>
      </c>
      <c r="G182" s="21">
        <v>13050</v>
      </c>
      <c r="H182" s="65">
        <v>0</v>
      </c>
      <c r="I182" s="28">
        <v>0</v>
      </c>
      <c r="J182" s="28">
        <v>0</v>
      </c>
      <c r="K182" s="27">
        <v>625896907</v>
      </c>
      <c r="L182" s="10">
        <f t="shared" si="118"/>
        <v>6.6877707224346522E-2</v>
      </c>
      <c r="M182" s="21">
        <v>14099</v>
      </c>
      <c r="N182" s="21">
        <v>14099</v>
      </c>
      <c r="O182" s="65">
        <v>0</v>
      </c>
      <c r="P182" s="28">
        <v>0</v>
      </c>
      <c r="Q182" s="28">
        <v>0</v>
      </c>
      <c r="R182" s="87">
        <f t="shared" si="124"/>
        <v>8.0383141762452107E-2</v>
      </c>
      <c r="S182" s="87">
        <f t="shared" si="125"/>
        <v>8.0383141762452107E-2</v>
      </c>
      <c r="T182" s="87" t="e">
        <f t="shared" si="126"/>
        <v>#DIV/0!</v>
      </c>
      <c r="U182" s="87">
        <f t="shared" si="127"/>
        <v>0</v>
      </c>
      <c r="V182" s="89">
        <f t="shared" si="128"/>
        <v>0</v>
      </c>
    </row>
    <row r="183" spans="1:22" x14ac:dyDescent="0.25">
      <c r="A183" s="81">
        <v>6</v>
      </c>
      <c r="B183" s="62" t="s">
        <v>215</v>
      </c>
      <c r="C183" s="63" t="s">
        <v>216</v>
      </c>
      <c r="D183" s="27">
        <v>869118172.25</v>
      </c>
      <c r="E183" s="10">
        <f t="shared" si="117"/>
        <v>9.4300963982673999E-2</v>
      </c>
      <c r="F183" s="21">
        <v>205</v>
      </c>
      <c r="G183" s="21">
        <v>205</v>
      </c>
      <c r="H183" s="65">
        <v>46</v>
      </c>
      <c r="I183" s="28">
        <v>-1.67E-2</v>
      </c>
      <c r="J183" s="28">
        <v>0.52249999999999996</v>
      </c>
      <c r="K183" s="27">
        <v>877861320.61000001</v>
      </c>
      <c r="L183" s="10">
        <f t="shared" si="118"/>
        <v>9.3800355500612456E-2</v>
      </c>
      <c r="M183" s="21">
        <v>210</v>
      </c>
      <c r="N183" s="21">
        <v>210</v>
      </c>
      <c r="O183" s="65">
        <v>46</v>
      </c>
      <c r="P183" s="28">
        <v>0.01</v>
      </c>
      <c r="Q183" s="28">
        <v>0.53720000000000001</v>
      </c>
      <c r="R183" s="87">
        <f t="shared" si="124"/>
        <v>1.005979237249807E-2</v>
      </c>
      <c r="S183" s="87">
        <f t="shared" si="125"/>
        <v>2.4390243902439025E-2</v>
      </c>
      <c r="T183" s="87">
        <f t="shared" si="126"/>
        <v>0</v>
      </c>
      <c r="U183" s="87">
        <f t="shared" si="127"/>
        <v>2.6700000000000002E-2</v>
      </c>
      <c r="V183" s="89">
        <f t="shared" si="128"/>
        <v>1.4700000000000046E-2</v>
      </c>
    </row>
    <row r="184" spans="1:22" x14ac:dyDescent="0.25">
      <c r="A184" s="81">
        <v>7</v>
      </c>
      <c r="B184" s="62" t="s">
        <v>217</v>
      </c>
      <c r="C184" s="63" t="s">
        <v>216</v>
      </c>
      <c r="D184" s="27">
        <v>579089851.36000001</v>
      </c>
      <c r="E184" s="10">
        <f t="shared" si="117"/>
        <v>6.2832343125974036E-2</v>
      </c>
      <c r="F184" s="21">
        <v>309.89999999999998</v>
      </c>
      <c r="G184" s="21">
        <v>309.89999999999998</v>
      </c>
      <c r="H184" s="65">
        <v>377</v>
      </c>
      <c r="I184" s="28">
        <v>-1.5699999999999999E-2</v>
      </c>
      <c r="J184" s="28">
        <v>0.3533</v>
      </c>
      <c r="K184" s="27">
        <v>580052528.50999999</v>
      </c>
      <c r="L184" s="10">
        <f t="shared" si="118"/>
        <v>6.1979189771637092E-2</v>
      </c>
      <c r="M184" s="21">
        <v>334</v>
      </c>
      <c r="N184" s="21">
        <v>334</v>
      </c>
      <c r="O184" s="65">
        <v>377</v>
      </c>
      <c r="P184" s="28">
        <v>1.6000000000000001E-3</v>
      </c>
      <c r="Q184" s="28">
        <v>0.3553</v>
      </c>
      <c r="R184" s="87">
        <f t="shared" si="124"/>
        <v>1.6623968590351158E-3</v>
      </c>
      <c r="S184" s="87">
        <f t="shared" si="125"/>
        <v>7.7767021619877461E-2</v>
      </c>
      <c r="T184" s="87">
        <f t="shared" si="126"/>
        <v>0</v>
      </c>
      <c r="U184" s="87">
        <f t="shared" si="127"/>
        <v>1.7299999999999999E-2</v>
      </c>
      <c r="V184" s="89">
        <f t="shared" si="128"/>
        <v>2.0000000000000018E-3</v>
      </c>
    </row>
    <row r="185" spans="1:22" x14ac:dyDescent="0.25">
      <c r="A185" s="81">
        <v>8</v>
      </c>
      <c r="B185" s="62" t="s">
        <v>218</v>
      </c>
      <c r="C185" s="63" t="s">
        <v>219</v>
      </c>
      <c r="D185" s="27">
        <v>255582470.88999999</v>
      </c>
      <c r="E185" s="10">
        <f t="shared" si="117"/>
        <v>2.7731181042510659E-2</v>
      </c>
      <c r="F185" s="21">
        <v>11.27</v>
      </c>
      <c r="G185" s="21">
        <v>11.37</v>
      </c>
      <c r="H185" s="65">
        <v>50</v>
      </c>
      <c r="I185" s="28">
        <v>1.61E-2</v>
      </c>
      <c r="J185" s="28">
        <v>0.92689999999999995</v>
      </c>
      <c r="K185" s="27">
        <v>255897925.87</v>
      </c>
      <c r="L185" s="10">
        <f t="shared" si="118"/>
        <v>2.7342947974739535E-2</v>
      </c>
      <c r="M185" s="21">
        <v>11.29</v>
      </c>
      <c r="N185" s="21">
        <v>11.39</v>
      </c>
      <c r="O185" s="65">
        <v>50</v>
      </c>
      <c r="P185" s="28">
        <v>0.01</v>
      </c>
      <c r="Q185" s="28">
        <v>0.92689999999999995</v>
      </c>
      <c r="R185" s="87">
        <f t="shared" si="124"/>
        <v>1.234259058931266E-3</v>
      </c>
      <c r="S185" s="87">
        <f t="shared" si="125"/>
        <v>1.7590149516272077E-3</v>
      </c>
      <c r="T185" s="87">
        <f t="shared" si="126"/>
        <v>0</v>
      </c>
      <c r="U185" s="87">
        <f t="shared" si="127"/>
        <v>-6.0999999999999995E-3</v>
      </c>
      <c r="V185" s="89">
        <f t="shared" si="128"/>
        <v>0</v>
      </c>
    </row>
    <row r="186" spans="1:22" x14ac:dyDescent="0.25">
      <c r="A186" s="81">
        <v>9</v>
      </c>
      <c r="B186" s="62" t="s">
        <v>220</v>
      </c>
      <c r="C186" s="63" t="s">
        <v>219</v>
      </c>
      <c r="D186" s="29">
        <v>496129675.57999998</v>
      </c>
      <c r="E186" s="10">
        <f t="shared" si="117"/>
        <v>5.3831007291546495E-2</v>
      </c>
      <c r="F186" s="21">
        <v>6.61</v>
      </c>
      <c r="G186" s="21">
        <v>6.71</v>
      </c>
      <c r="H186" s="65">
        <v>75</v>
      </c>
      <c r="I186" s="28">
        <v>0</v>
      </c>
      <c r="J186" s="28">
        <v>0.63360000000000005</v>
      </c>
      <c r="K186" s="29">
        <v>572695361.34000003</v>
      </c>
      <c r="L186" s="10">
        <f t="shared" si="118"/>
        <v>6.119306913979982E-2</v>
      </c>
      <c r="M186" s="21">
        <v>6.71</v>
      </c>
      <c r="N186" s="21">
        <v>6.81</v>
      </c>
      <c r="O186" s="65">
        <v>75</v>
      </c>
      <c r="P186" s="28">
        <v>-2.8899999999999999E-2</v>
      </c>
      <c r="Q186" s="28">
        <v>0.58630000000000004</v>
      </c>
      <c r="R186" s="87">
        <f t="shared" si="124"/>
        <v>0.15432595454099979</v>
      </c>
      <c r="S186" s="87">
        <f t="shared" si="125"/>
        <v>1.4903129657227966E-2</v>
      </c>
      <c r="T186" s="87">
        <f t="shared" si="126"/>
        <v>0</v>
      </c>
      <c r="U186" s="87">
        <f t="shared" si="127"/>
        <v>-2.8899999999999999E-2</v>
      </c>
      <c r="V186" s="89">
        <f t="shared" si="128"/>
        <v>-4.7300000000000009E-2</v>
      </c>
    </row>
    <row r="187" spans="1:22" ht="17.25" customHeight="1" x14ac:dyDescent="0.25">
      <c r="A187" s="81">
        <v>10</v>
      </c>
      <c r="B187" s="62" t="s">
        <v>221</v>
      </c>
      <c r="C187" s="63" t="s">
        <v>219</v>
      </c>
      <c r="D187" s="27">
        <v>496129675.57999998</v>
      </c>
      <c r="E187" s="10">
        <f t="shared" si="117"/>
        <v>5.3831007291546495E-2</v>
      </c>
      <c r="F187" s="21">
        <v>139.51</v>
      </c>
      <c r="G187" s="21">
        <v>141.51</v>
      </c>
      <c r="H187" s="65">
        <v>50</v>
      </c>
      <c r="I187" s="28">
        <v>0</v>
      </c>
      <c r="J187" s="28">
        <v>-0.1031</v>
      </c>
      <c r="K187" s="27">
        <v>497287237.83999997</v>
      </c>
      <c r="L187" s="10">
        <f t="shared" si="118"/>
        <v>5.3135636119491944E-2</v>
      </c>
      <c r="M187" s="21">
        <v>140.26</v>
      </c>
      <c r="N187" s="21">
        <v>142.26</v>
      </c>
      <c r="O187" s="65">
        <v>50</v>
      </c>
      <c r="P187" s="28">
        <v>-2.5700000000000001E-2</v>
      </c>
      <c r="Q187" s="28">
        <v>-0.12609999999999999</v>
      </c>
      <c r="R187" s="87">
        <f t="shared" si="124"/>
        <v>2.3331848848725753E-3</v>
      </c>
      <c r="S187" s="87">
        <f t="shared" si="125"/>
        <v>5.2999788000848E-3</v>
      </c>
      <c r="T187" s="87">
        <f t="shared" si="126"/>
        <v>0</v>
      </c>
      <c r="U187" s="87">
        <f t="shared" si="127"/>
        <v>-2.5700000000000001E-2</v>
      </c>
      <c r="V187" s="89">
        <f t="shared" si="128"/>
        <v>-2.2999999999999993E-2</v>
      </c>
    </row>
    <row r="188" spans="1:22" x14ac:dyDescent="0.25">
      <c r="A188" s="81">
        <v>11</v>
      </c>
      <c r="B188" s="62" t="s">
        <v>222</v>
      </c>
      <c r="C188" s="63" t="s">
        <v>219</v>
      </c>
      <c r="D188" s="27">
        <v>3587089381.8499999</v>
      </c>
      <c r="E188" s="10">
        <f t="shared" si="117"/>
        <v>0.38920597612722302</v>
      </c>
      <c r="F188" s="21">
        <v>24.66</v>
      </c>
      <c r="G188" s="21">
        <v>24.86</v>
      </c>
      <c r="H188" s="65">
        <v>198</v>
      </c>
      <c r="I188" s="28">
        <v>-2.5999999999999999E-2</v>
      </c>
      <c r="J188" s="28">
        <v>0.30430000000000001</v>
      </c>
      <c r="K188" s="27">
        <v>3594134931.6999998</v>
      </c>
      <c r="L188" s="10">
        <f t="shared" si="118"/>
        <v>0.38403689329467999</v>
      </c>
      <c r="M188" s="21">
        <v>24.68</v>
      </c>
      <c r="N188" s="21">
        <v>24.88</v>
      </c>
      <c r="O188" s="65">
        <v>198</v>
      </c>
      <c r="P188" s="28">
        <v>-3.9600000000000003E-2</v>
      </c>
      <c r="Q188" s="28">
        <v>0.25269999999999998</v>
      </c>
      <c r="R188" s="87">
        <f t="shared" si="124"/>
        <v>1.9641411462031212E-3</v>
      </c>
      <c r="S188" s="87">
        <f t="shared" si="125"/>
        <v>8.0450522928397316E-4</v>
      </c>
      <c r="T188" s="87">
        <f t="shared" si="126"/>
        <v>0</v>
      </c>
      <c r="U188" s="87">
        <f t="shared" si="127"/>
        <v>-1.3600000000000004E-2</v>
      </c>
      <c r="V188" s="89">
        <f t="shared" si="128"/>
        <v>-5.1600000000000035E-2</v>
      </c>
    </row>
    <row r="189" spans="1:22" x14ac:dyDescent="0.25">
      <c r="A189" s="81">
        <v>12</v>
      </c>
      <c r="B189" s="62" t="s">
        <v>223</v>
      </c>
      <c r="C189" s="63" t="s">
        <v>219</v>
      </c>
      <c r="D189" s="29">
        <v>280116558.57999998</v>
      </c>
      <c r="E189" s="10">
        <f t="shared" si="117"/>
        <v>3.0393175916709373E-2</v>
      </c>
      <c r="F189" s="21">
        <v>26.53</v>
      </c>
      <c r="G189" s="21">
        <v>26.73</v>
      </c>
      <c r="H189" s="65">
        <v>44</v>
      </c>
      <c r="I189" s="28">
        <v>-1.6E-2</v>
      </c>
      <c r="J189" s="28">
        <v>0.12670000000000001</v>
      </c>
      <c r="K189" s="29">
        <v>277387709.19999999</v>
      </c>
      <c r="L189" s="10">
        <f t="shared" si="118"/>
        <v>2.9639152703960829E-2</v>
      </c>
      <c r="M189" s="21">
        <v>26.16</v>
      </c>
      <c r="N189" s="21">
        <v>26.36</v>
      </c>
      <c r="O189" s="65">
        <v>44</v>
      </c>
      <c r="P189" s="28">
        <v>-2.81E-2</v>
      </c>
      <c r="Q189" s="28">
        <v>9.5000000000000001E-2</v>
      </c>
      <c r="R189" s="87">
        <f t="shared" si="124"/>
        <v>-9.7418353053935879E-3</v>
      </c>
      <c r="S189" s="87">
        <f t="shared" si="125"/>
        <v>-1.3842124953236102E-2</v>
      </c>
      <c r="T189" s="87">
        <f t="shared" si="126"/>
        <v>0</v>
      </c>
      <c r="U189" s="87">
        <f t="shared" si="127"/>
        <v>-1.21E-2</v>
      </c>
      <c r="V189" s="89">
        <f t="shared" si="128"/>
        <v>-3.1700000000000006E-2</v>
      </c>
    </row>
    <row r="190" spans="1:22" x14ac:dyDescent="0.25">
      <c r="A190" s="43"/>
      <c r="B190" s="43"/>
      <c r="C190" s="80" t="s">
        <v>224</v>
      </c>
      <c r="D190" s="79">
        <f>SUM(D178:D189)</f>
        <v>9216429350.7082691</v>
      </c>
      <c r="E190" s="24"/>
      <c r="F190" s="24"/>
      <c r="G190" s="22"/>
      <c r="H190" s="79">
        <f>SUM(H178:H189)</f>
        <v>1180</v>
      </c>
      <c r="I190" s="23"/>
      <c r="J190" s="23"/>
      <c r="K190" s="79">
        <f>SUM(K178:K189)</f>
        <v>9358827223.2536278</v>
      </c>
      <c r="L190" s="24"/>
      <c r="M190" s="24"/>
      <c r="N190" s="22"/>
      <c r="O190" s="79">
        <f>SUM(O178:O189)</f>
        <v>1195</v>
      </c>
      <c r="P190" s="23"/>
      <c r="Q190" s="23"/>
      <c r="R190" s="87">
        <f t="shared" si="124"/>
        <v>1.5450438247477652E-2</v>
      </c>
      <c r="S190" s="87" t="e">
        <f t="shared" si="125"/>
        <v>#DIV/0!</v>
      </c>
      <c r="T190" s="87">
        <f t="shared" si="126"/>
        <v>1.2711864406779662E-2</v>
      </c>
      <c r="U190" s="87">
        <f t="shared" si="127"/>
        <v>0</v>
      </c>
      <c r="V190" s="89">
        <f t="shared" si="128"/>
        <v>0</v>
      </c>
    </row>
    <row r="191" spans="1:22" x14ac:dyDescent="0.25">
      <c r="A191" s="94"/>
      <c r="B191" s="94"/>
      <c r="C191" s="95" t="s">
        <v>225</v>
      </c>
      <c r="D191" s="96">
        <f>SUM(D170,D175,D190)</f>
        <v>2041816035632.0635</v>
      </c>
      <c r="E191" s="97"/>
      <c r="F191" s="97"/>
      <c r="G191" s="98"/>
      <c r="H191" s="96">
        <f>SUM(H170,H175,H190)</f>
        <v>666129</v>
      </c>
      <c r="I191" s="99"/>
      <c r="J191" s="99"/>
      <c r="K191" s="96">
        <f>SUM(K170,K175,K190)</f>
        <v>2038975051324.8396</v>
      </c>
      <c r="L191" s="97"/>
      <c r="M191" s="97"/>
      <c r="N191" s="98"/>
      <c r="O191" s="96">
        <f>SUM(O170,O175,O190)</f>
        <v>754780.85</v>
      </c>
      <c r="P191" s="100"/>
      <c r="Q191" s="96"/>
      <c r="R191" s="101"/>
      <c r="S191" s="102"/>
      <c r="T191" s="102"/>
      <c r="U191" s="103"/>
      <c r="V191" s="103"/>
    </row>
  </sheetData>
  <protectedRanges>
    <protectedRange password="CADF" sqref="D10" name="Fund Name_1_1_1_3_1_1_1"/>
    <protectedRange password="CADF" sqref="D17" name="Yield_2_1_2_5_1"/>
    <protectedRange password="CADF" sqref="H10:J10" name="Yield_1_1_2_1_3_1"/>
    <protectedRange password="CADF" sqref="F10:G10" name="Fund Name_1_1_1_1_1_1_1"/>
    <protectedRange password="CADF" sqref="K10" name="Fund Name_1_1_1_3_1_1_2"/>
    <protectedRange password="CADF" sqref="K17" name="Yield_2_1_2_5_2"/>
    <protectedRange password="CADF" sqref="O10:Q10" name="Yield_1_1_2_1_3_2"/>
    <protectedRange password="CADF" sqref="M10:N10" name="Fund Name_1_1_1_1_1_1_2"/>
    <protectedRange password="CADF" sqref="D47" name="Yield_2_1_2_3_1_1"/>
    <protectedRange password="CADF" sqref="D52" name="Yield_2_1_2_4_1_1"/>
    <protectedRange password="CADF" sqref="H52:J52" name="Yield_1_1_1_1_1_1"/>
    <protectedRange password="CADF" sqref="H47:J47" name="Yield_1_1_2_1_1_1_1_1_1"/>
    <protectedRange password="CADF" sqref="K47" name="Yield_2_1_2_3_1_2"/>
    <protectedRange password="CADF" sqref="K52" name="Yield_2_1_2_4_1_2"/>
    <protectedRange password="CADF" sqref="O52:Q52" name="Yield_1_1_1_1_1_2"/>
    <protectedRange password="CADF" sqref="O47:Q47" name="Yield_1_1_2_1_1_1_1_1_2"/>
    <protectedRange password="CADF" sqref="D77" name="Yield_2_1_2_1_1_1"/>
    <protectedRange password="CADF" sqref="H77:J77" name="Yield_1_1_2_1_2_1_1"/>
    <protectedRange password="CADF" sqref="F77:G77" name="Fund Name_2_2_1_1_1"/>
    <protectedRange password="CADF" sqref="G76" name="BidOffer Prices_2_1_1_1_1_1_1_1_1_1_1"/>
    <protectedRange password="CADF" sqref="K77" name="Yield_2_1_2_1_1_2"/>
    <protectedRange password="CADF" sqref="O77:Q77" name="Yield_1_1_2_1_2_1_2"/>
    <protectedRange password="CADF" sqref="M77:N77" name="Fund Name_2_2_1_1_2"/>
    <protectedRange password="CADF" sqref="N76" name="BidOffer Prices_2_1_1_1_1_1_1_1_1_1_2"/>
    <protectedRange password="CADF" sqref="D93:D94" name="Yield_2_1_2_6_3_1"/>
    <protectedRange password="CADF" sqref="K93:K94" name="Yield_2_1_2_6_3_2"/>
    <protectedRange password="CADF" sqref="D136 D144:D145" name="Fund Name_1_1_1_2_1"/>
    <protectedRange password="CADF" sqref="H136:J136 H144:J145" name="Yield_1_1_2_2_1"/>
    <protectedRange password="CADF" sqref="F136:G136 F144:G145" name="Fund Name_1_1_1_1_2_1"/>
    <protectedRange password="CADF" sqref="K136 K144:K145" name="Fund Name_1_1_1_2_2"/>
    <protectedRange password="CADF" sqref="O136:Q136 O144:Q145" name="Yield_1_1_2_2_2"/>
    <protectedRange password="CADF" sqref="M136:N136 M144:N145" name="Fund Name_1_1_1_1_2_2"/>
  </protectedRanges>
  <mergeCells count="31">
    <mergeCell ref="A87:V87"/>
    <mergeCell ref="A1:V1"/>
    <mergeCell ref="U2:V2"/>
    <mergeCell ref="A4:V4"/>
    <mergeCell ref="A5:V5"/>
    <mergeCell ref="A23:V23"/>
    <mergeCell ref="A24:V24"/>
    <mergeCell ref="A55:V55"/>
    <mergeCell ref="A56:V56"/>
    <mergeCell ref="R2:T2"/>
    <mergeCell ref="K2:Q2"/>
    <mergeCell ref="D2:J2"/>
    <mergeCell ref="A154:V154"/>
    <mergeCell ref="A88:V88"/>
    <mergeCell ref="A89:V89"/>
    <mergeCell ref="A101:V101"/>
    <mergeCell ref="A102:V102"/>
    <mergeCell ref="A113:V113"/>
    <mergeCell ref="A114:V114"/>
    <mergeCell ref="A120:V120"/>
    <mergeCell ref="A121:V121"/>
    <mergeCell ref="A147:V147"/>
    <mergeCell ref="A148:V148"/>
    <mergeCell ref="A153:V153"/>
    <mergeCell ref="A176:V176"/>
    <mergeCell ref="A177:V177"/>
    <mergeCell ref="A155:V155"/>
    <mergeCell ref="A158:V158"/>
    <mergeCell ref="A159:V159"/>
    <mergeCell ref="A171:U171"/>
    <mergeCell ref="A172:V17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N1" sqref="N1"/>
    </sheetView>
  </sheetViews>
  <sheetFormatPr defaultRowHeight="15" x14ac:dyDescent="0.25"/>
  <cols>
    <col min="1" max="1" width="34" customWidth="1"/>
    <col min="2" max="2" width="18.85546875" customWidth="1"/>
    <col min="3" max="3" width="16.140625" customWidth="1"/>
  </cols>
  <sheetData>
    <row r="1" spans="1:3" x14ac:dyDescent="0.25">
      <c r="A1" s="123"/>
      <c r="B1" s="123"/>
      <c r="C1" s="123"/>
    </row>
    <row r="2" spans="1:3" x14ac:dyDescent="0.25">
      <c r="A2" s="123"/>
      <c r="B2" s="123"/>
      <c r="C2" s="123"/>
    </row>
    <row r="3" spans="1:3" x14ac:dyDescent="0.25">
      <c r="A3" s="123"/>
      <c r="B3" s="123"/>
      <c r="C3" s="123"/>
    </row>
    <row r="4" spans="1:3" ht="33" customHeight="1" x14ac:dyDescent="0.3">
      <c r="A4" s="109" t="s">
        <v>226</v>
      </c>
      <c r="B4" s="124" t="s">
        <v>235</v>
      </c>
      <c r="C4" s="124" t="s">
        <v>256</v>
      </c>
    </row>
    <row r="5" spans="1:3" ht="19.5" customHeight="1" x14ac:dyDescent="0.3">
      <c r="A5" s="125" t="s">
        <v>15</v>
      </c>
      <c r="B5" s="112">
        <f>22347298706.34/1000000000</f>
        <v>22.347298706339998</v>
      </c>
      <c r="C5" s="112">
        <f>22419529839.4467/1000000000</f>
        <v>22.4195298394467</v>
      </c>
    </row>
    <row r="6" spans="1:3" ht="16.5" x14ac:dyDescent="0.3">
      <c r="A6" s="111" t="s">
        <v>48</v>
      </c>
      <c r="B6" s="114">
        <f>852624898169.65/1000000000</f>
        <v>852.62489816965001</v>
      </c>
      <c r="C6" s="114">
        <f>857851239009.95/1000000000</f>
        <v>857.85123900994995</v>
      </c>
    </row>
    <row r="7" spans="1:3" ht="16.5" x14ac:dyDescent="0.3">
      <c r="A7" s="111" t="s">
        <v>227</v>
      </c>
      <c r="B7" s="112">
        <f>300146733726.062/1000000000</f>
        <v>300.146733726062</v>
      </c>
      <c r="C7" s="112">
        <f>298612163023.865/1000000000</f>
        <v>298.61216302386498</v>
      </c>
    </row>
    <row r="8" spans="1:3" ht="16.5" x14ac:dyDescent="0.3">
      <c r="A8" s="111" t="s">
        <v>131</v>
      </c>
      <c r="B8" s="114">
        <f>580580020013.899/1000000000</f>
        <v>580.580020013899</v>
      </c>
      <c r="C8" s="114">
        <f>574272210688.571/1000000000</f>
        <v>574.27221068857102</v>
      </c>
    </row>
    <row r="9" spans="1:3" ht="16.5" x14ac:dyDescent="0.3">
      <c r="A9" s="111" t="s">
        <v>228</v>
      </c>
      <c r="B9" s="112">
        <f>92953013524.98/1000000000</f>
        <v>92.953013524979994</v>
      </c>
      <c r="C9" s="112">
        <f>93025791056.55/1000000000</f>
        <v>93.025791056550005</v>
      </c>
    </row>
    <row r="10" spans="1:3" ht="16.5" x14ac:dyDescent="0.3">
      <c r="A10" s="111" t="s">
        <v>157</v>
      </c>
      <c r="B10" s="113">
        <f>39835802330.0545/1000000000</f>
        <v>39.835802330054499</v>
      </c>
      <c r="C10" s="113">
        <f>39656232639.7428/1000000000</f>
        <v>39.656232639742797</v>
      </c>
    </row>
    <row r="11" spans="1:3" ht="16.5" x14ac:dyDescent="0.3">
      <c r="A11" s="111" t="s">
        <v>182</v>
      </c>
      <c r="B11" s="112">
        <f>3871825099.96/1000000000</f>
        <v>3.8718250999600001</v>
      </c>
      <c r="C11" s="112">
        <f>3871834604.09/1000000000</f>
        <v>3.87183460409</v>
      </c>
    </row>
    <row r="12" spans="1:3" ht="16.5" x14ac:dyDescent="0.3">
      <c r="A12" s="111" t="s">
        <v>229</v>
      </c>
      <c r="B12" s="112">
        <f>45697413516.34/1000000000</f>
        <v>45.697413516339999</v>
      </c>
      <c r="C12" s="112">
        <f>45358758187.99/1000000000</f>
        <v>45.358758187989999</v>
      </c>
    </row>
    <row r="13" spans="1:3" x14ac:dyDescent="0.25">
      <c r="A13" s="123"/>
      <c r="B13" s="123"/>
      <c r="C13" s="123"/>
    </row>
    <row r="18" spans="1:3" ht="16.5" x14ac:dyDescent="0.3">
      <c r="A18" s="116"/>
      <c r="B18" s="117"/>
      <c r="C18" s="117"/>
    </row>
    <row r="19" spans="1:3" ht="16.5" x14ac:dyDescent="0.3">
      <c r="A19" s="118"/>
      <c r="B19" s="119"/>
      <c r="C19" s="119"/>
    </row>
    <row r="20" spans="1:3" ht="16.5" x14ac:dyDescent="0.3">
      <c r="A20" s="118"/>
      <c r="B20" s="120"/>
      <c r="C20" s="120"/>
    </row>
    <row r="21" spans="1:3" ht="16.5" x14ac:dyDescent="0.3">
      <c r="A21" s="118"/>
      <c r="B21" s="119"/>
      <c r="C21" s="119"/>
    </row>
    <row r="22" spans="1:3" ht="16.5" x14ac:dyDescent="0.3">
      <c r="A22" s="118"/>
      <c r="B22" s="120"/>
      <c r="C22" s="120"/>
    </row>
    <row r="23" spans="1:3" ht="16.5" x14ac:dyDescent="0.3">
      <c r="A23" s="118"/>
      <c r="B23" s="119"/>
      <c r="C23" s="119"/>
    </row>
    <row r="24" spans="1:3" ht="16.5" x14ac:dyDescent="0.3">
      <c r="A24" s="118"/>
      <c r="B24" s="121"/>
      <c r="C24" s="121"/>
    </row>
    <row r="25" spans="1:3" ht="16.5" x14ac:dyDescent="0.3">
      <c r="A25" s="118"/>
      <c r="B25" s="119"/>
      <c r="C25" s="119"/>
    </row>
    <row r="26" spans="1:3" ht="16.5" x14ac:dyDescent="0.3">
      <c r="A26" s="118"/>
      <c r="B26" s="119"/>
      <c r="C26" s="119"/>
    </row>
  </sheetData>
  <sheetProtection algorithmName="SHA-512" hashValue="Ogj02uvGTbJwHg7SLrgkD1NUcaGGQ7I/DV7QEW7taI5czCivQPX/qgneu8Zlu489MGeS9sKpQf5rSgNBntIKrw==" saltValue="0lLbZ2BA52OP9ai/+gWye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85" zoomScaleNormal="85" workbookViewId="0">
      <selection activeCell="R1" sqref="R1"/>
    </sheetView>
  </sheetViews>
  <sheetFormatPr defaultRowHeight="15" x14ac:dyDescent="0.25"/>
  <cols>
    <col min="1" max="1" width="26.7109375" customWidth="1"/>
    <col min="2" max="2" width="17.42578125" customWidth="1"/>
  </cols>
  <sheetData>
    <row r="1" spans="1:2" ht="16.5" x14ac:dyDescent="0.3">
      <c r="A1" s="109" t="s">
        <v>226</v>
      </c>
      <c r="B1" s="110">
        <v>45205</v>
      </c>
    </row>
    <row r="2" spans="1:2" ht="16.5" x14ac:dyDescent="0.3">
      <c r="A2" s="111" t="s">
        <v>182</v>
      </c>
      <c r="B2" s="112">
        <v>3871834604.0900002</v>
      </c>
    </row>
    <row r="3" spans="1:2" ht="16.5" x14ac:dyDescent="0.3">
      <c r="A3" s="111" t="s">
        <v>15</v>
      </c>
      <c r="B3" s="112">
        <v>22419529839.446701</v>
      </c>
    </row>
    <row r="4" spans="1:2" ht="16.5" x14ac:dyDescent="0.3">
      <c r="A4" s="111" t="s">
        <v>157</v>
      </c>
      <c r="B4" s="113">
        <v>39656232639.742752</v>
      </c>
    </row>
    <row r="5" spans="1:2" ht="16.5" x14ac:dyDescent="0.3">
      <c r="A5" s="111" t="s">
        <v>229</v>
      </c>
      <c r="B5" s="112">
        <v>45358758187.989998</v>
      </c>
    </row>
    <row r="6" spans="1:2" ht="16.5" x14ac:dyDescent="0.3">
      <c r="A6" s="111" t="s">
        <v>228</v>
      </c>
      <c r="B6" s="112">
        <v>93025791056.550003</v>
      </c>
    </row>
    <row r="7" spans="1:2" ht="16.5" x14ac:dyDescent="0.3">
      <c r="A7" s="111" t="s">
        <v>227</v>
      </c>
      <c r="B7" s="112">
        <v>298612163023.86542</v>
      </c>
    </row>
    <row r="8" spans="1:2" ht="16.5" x14ac:dyDescent="0.3">
      <c r="A8" s="111" t="s">
        <v>131</v>
      </c>
      <c r="B8" s="114">
        <v>574272210688.57068</v>
      </c>
    </row>
    <row r="9" spans="1:2" ht="16.5" x14ac:dyDescent="0.3">
      <c r="A9" s="111" t="s">
        <v>48</v>
      </c>
      <c r="B9" s="114">
        <v>857851239009.95007</v>
      </c>
    </row>
    <row r="14" spans="1:2" ht="16.5" x14ac:dyDescent="0.3">
      <c r="A14" s="122"/>
      <c r="B14" s="117"/>
    </row>
    <row r="15" spans="1:2" ht="16.5" x14ac:dyDescent="0.3">
      <c r="A15" s="122"/>
      <c r="B15" s="119"/>
    </row>
    <row r="16" spans="1:2" ht="16.5" x14ac:dyDescent="0.3">
      <c r="A16" s="122"/>
      <c r="B16" s="119"/>
    </row>
    <row r="17" spans="1:2" ht="16.5" x14ac:dyDescent="0.3">
      <c r="A17" s="122"/>
      <c r="B17" s="121"/>
    </row>
    <row r="18" spans="1:2" ht="16.5" x14ac:dyDescent="0.3">
      <c r="A18" s="122"/>
      <c r="B18" s="119"/>
    </row>
    <row r="19" spans="1:2" ht="16.5" x14ac:dyDescent="0.3">
      <c r="A19" s="122"/>
      <c r="B19" s="119"/>
    </row>
    <row r="20" spans="1:2" ht="16.5" x14ac:dyDescent="0.3">
      <c r="A20" s="122"/>
      <c r="B20" s="119"/>
    </row>
    <row r="21" spans="1:2" ht="16.5" x14ac:dyDescent="0.3">
      <c r="A21" s="122"/>
      <c r="B21" s="120"/>
    </row>
    <row r="22" spans="1:2" ht="16.5" x14ac:dyDescent="0.3">
      <c r="A22" s="108"/>
      <c r="B22" s="120"/>
    </row>
  </sheetData>
  <sheetProtection algorithmName="SHA-512" hashValue="SzNz9w0uftF+420j1gXnQ5wilsH3+YAAhlBR+rHq1b4l1VM0VCx+tZWLFanlfatvC/yHF8roHvdlg6+lAjhT9w==" saltValue="j898tkb+jHmtaC5c+7SAgQ==" spinCount="100000" sheet="1" objects="1" scenarios="1"/>
  <sortState ref="B15:B22">
    <sortCondition ref="B1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workbookViewId="0">
      <selection activeCell="M22" sqref="M22"/>
    </sheetView>
  </sheetViews>
  <sheetFormatPr defaultRowHeight="15" x14ac:dyDescent="0.25"/>
  <cols>
    <col min="1" max="1" width="11.28515625" customWidth="1"/>
    <col min="2" max="2" width="12.7109375" customWidth="1"/>
    <col min="3" max="3" width="14.42578125" customWidth="1"/>
    <col min="4" max="4" width="14.140625" customWidth="1"/>
    <col min="5" max="5" width="16.140625" customWidth="1"/>
    <col min="6" max="6" width="16.7109375" customWidth="1"/>
    <col min="7" max="7" width="17.28515625" customWidth="1"/>
    <col min="8" max="8" width="19.28515625" customWidth="1"/>
    <col min="9" max="9" width="15.85546875" customWidth="1"/>
  </cols>
  <sheetData>
    <row r="2" spans="1:9" ht="16.5" x14ac:dyDescent="0.3">
      <c r="A2" s="105" t="s">
        <v>239</v>
      </c>
      <c r="B2" s="106">
        <v>45156</v>
      </c>
      <c r="C2" s="106">
        <v>45163</v>
      </c>
      <c r="D2" s="106">
        <v>45170</v>
      </c>
      <c r="E2" s="106">
        <v>45177</v>
      </c>
      <c r="F2" s="106">
        <v>45184</v>
      </c>
      <c r="G2" s="106">
        <v>45191</v>
      </c>
      <c r="H2" s="106">
        <v>45198</v>
      </c>
      <c r="I2" s="106">
        <v>45205</v>
      </c>
    </row>
    <row r="3" spans="1:9" x14ac:dyDescent="0.25">
      <c r="A3" s="105" t="s">
        <v>240</v>
      </c>
      <c r="B3" s="107">
        <v>1917546500429.8425</v>
      </c>
      <c r="C3" s="107">
        <v>1943407345708.8286</v>
      </c>
      <c r="D3" s="107">
        <v>1922810043593.2705</v>
      </c>
      <c r="E3" s="107">
        <v>1905565030169.3159</v>
      </c>
      <c r="F3" s="107">
        <v>1930034404358.7712</v>
      </c>
      <c r="G3" s="107">
        <v>1927585637735.8486</v>
      </c>
      <c r="H3" s="107">
        <v>1938057005087.2852</v>
      </c>
      <c r="I3" s="107">
        <v>1935067759050.2058</v>
      </c>
    </row>
    <row r="4" spans="1:9" x14ac:dyDescent="0.25">
      <c r="A4" s="108"/>
      <c r="B4" s="108"/>
      <c r="C4" s="108"/>
      <c r="D4" s="108"/>
      <c r="E4" s="108"/>
      <c r="F4" s="108"/>
      <c r="G4" s="108"/>
      <c r="H4" s="108"/>
      <c r="I4" s="108"/>
    </row>
    <row r="5" spans="1:9" x14ac:dyDescent="0.25">
      <c r="A5" s="108"/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108"/>
      <c r="B6" s="108"/>
      <c r="C6" s="108"/>
      <c r="D6" s="108"/>
      <c r="E6" s="108"/>
      <c r="F6" s="108"/>
      <c r="G6" s="108"/>
      <c r="H6" s="108"/>
      <c r="I6" s="108"/>
    </row>
    <row r="7" spans="1:9" x14ac:dyDescent="0.25">
      <c r="A7" s="108"/>
      <c r="B7" s="108"/>
      <c r="C7" s="108"/>
      <c r="D7" s="108"/>
      <c r="E7" s="108"/>
      <c r="F7" s="108"/>
      <c r="G7" s="108"/>
      <c r="H7" s="108"/>
      <c r="I7" s="108"/>
    </row>
    <row r="8" spans="1:9" x14ac:dyDescent="0.25">
      <c r="A8" s="108"/>
      <c r="B8" s="108"/>
      <c r="C8" s="108"/>
      <c r="D8" s="108"/>
      <c r="E8" s="108"/>
      <c r="F8" s="108"/>
      <c r="G8" s="108"/>
      <c r="H8" s="108"/>
      <c r="I8" s="108"/>
    </row>
    <row r="9" spans="1:9" x14ac:dyDescent="0.25">
      <c r="A9" s="108"/>
      <c r="B9" s="108"/>
      <c r="C9" s="108"/>
      <c r="D9" s="108"/>
      <c r="E9" s="108"/>
      <c r="F9" s="108"/>
      <c r="G9" s="108"/>
      <c r="H9" s="108"/>
      <c r="I9" s="108"/>
    </row>
    <row r="10" spans="1:9" x14ac:dyDescent="0.25">
      <c r="A10" s="108"/>
      <c r="B10" s="108"/>
      <c r="C10" s="108"/>
      <c r="D10" s="108"/>
      <c r="E10" s="108"/>
      <c r="F10" s="108"/>
      <c r="G10" s="108"/>
      <c r="H10" s="108"/>
      <c r="I10" s="108"/>
    </row>
    <row r="11" spans="1:9" x14ac:dyDescent="0.25">
      <c r="A11" s="108"/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08"/>
      <c r="B12" s="108"/>
      <c r="C12" s="108"/>
      <c r="D12" s="108"/>
      <c r="E12" s="108"/>
      <c r="F12" s="108"/>
      <c r="G12" s="108"/>
      <c r="H12" s="108"/>
      <c r="I12" s="108"/>
    </row>
    <row r="13" spans="1:9" x14ac:dyDescent="0.25">
      <c r="A13" s="108"/>
      <c r="B13" s="108"/>
      <c r="C13" s="108"/>
      <c r="D13" s="108"/>
      <c r="E13" s="108"/>
      <c r="F13" s="108"/>
      <c r="G13" s="108"/>
      <c r="H13" s="108"/>
      <c r="I13" s="108"/>
    </row>
    <row r="14" spans="1:9" x14ac:dyDescent="0.25">
      <c r="A14" s="108"/>
      <c r="B14" s="108"/>
      <c r="C14" s="108"/>
      <c r="D14" s="108"/>
      <c r="E14" s="108"/>
      <c r="F14" s="108"/>
      <c r="G14" s="108"/>
      <c r="H14" s="108"/>
      <c r="I14" s="108"/>
    </row>
    <row r="15" spans="1:9" x14ac:dyDescent="0.25">
      <c r="A15" s="108"/>
      <c r="B15" s="108"/>
      <c r="C15" s="108"/>
      <c r="D15" s="108"/>
      <c r="E15" s="108"/>
      <c r="F15" s="108"/>
      <c r="G15" s="108"/>
      <c r="H15" s="108"/>
      <c r="I15" s="108"/>
    </row>
    <row r="16" spans="1:9" x14ac:dyDescent="0.25">
      <c r="A16" s="108"/>
      <c r="B16" s="108"/>
      <c r="C16" s="108"/>
      <c r="D16" s="108"/>
      <c r="E16" s="108"/>
      <c r="F16" s="108"/>
      <c r="G16" s="108"/>
      <c r="H16" s="108"/>
      <c r="I16" s="108"/>
    </row>
    <row r="17" spans="1:9" x14ac:dyDescent="0.25">
      <c r="A17" s="108"/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08"/>
      <c r="B18" s="108"/>
      <c r="C18" s="108"/>
      <c r="D18" s="108"/>
      <c r="E18" s="108"/>
      <c r="F18" s="108"/>
      <c r="G18" s="108"/>
      <c r="H18" s="108"/>
      <c r="I18" s="108"/>
    </row>
    <row r="19" spans="1:9" x14ac:dyDescent="0.25">
      <c r="A19" s="108"/>
      <c r="B19" s="108"/>
      <c r="C19" s="108"/>
      <c r="D19" s="108"/>
      <c r="E19" s="108"/>
      <c r="F19" s="108"/>
      <c r="G19" s="108"/>
      <c r="H19" s="108"/>
      <c r="I19" s="108"/>
    </row>
    <row r="20" spans="1:9" x14ac:dyDescent="0.25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9" x14ac:dyDescent="0.25">
      <c r="A21" s="108"/>
      <c r="B21" s="108"/>
      <c r="C21" s="108"/>
      <c r="D21" s="108"/>
      <c r="E21" s="108"/>
      <c r="F21" s="108"/>
      <c r="G21" s="108"/>
      <c r="H21" s="108"/>
      <c r="I21" s="108"/>
    </row>
    <row r="22" spans="1:9" x14ac:dyDescent="0.25">
      <c r="A22" s="108"/>
      <c r="B22" s="108"/>
      <c r="C22" s="108"/>
      <c r="D22" s="108"/>
      <c r="E22" s="108"/>
      <c r="F22" s="108"/>
      <c r="G22" s="108"/>
      <c r="H22" s="108"/>
      <c r="I22" s="108"/>
    </row>
    <row r="23" spans="1:9" x14ac:dyDescent="0.25">
      <c r="A23" s="108"/>
      <c r="B23" s="108"/>
      <c r="C23" s="108"/>
      <c r="D23" s="108"/>
      <c r="E23" s="108"/>
      <c r="F23" s="108"/>
      <c r="G23" s="108"/>
      <c r="H23" s="108"/>
      <c r="I23" s="108"/>
    </row>
    <row r="24" spans="1:9" x14ac:dyDescent="0.25">
      <c r="A24" s="108"/>
      <c r="B24" s="108"/>
      <c r="C24" s="108"/>
      <c r="D24" s="108"/>
      <c r="E24" s="108"/>
      <c r="F24" s="108"/>
      <c r="G24" s="108"/>
      <c r="H24" s="108"/>
      <c r="I24" s="108"/>
    </row>
    <row r="25" spans="1:9" x14ac:dyDescent="0.25">
      <c r="A25" s="108"/>
      <c r="B25" s="108"/>
      <c r="C25" s="108"/>
      <c r="D25" s="108"/>
      <c r="E25" s="108"/>
      <c r="F25" s="108"/>
      <c r="G25" s="108"/>
      <c r="H25" s="108"/>
      <c r="I25" s="108"/>
    </row>
    <row r="26" spans="1:9" x14ac:dyDescent="0.25">
      <c r="A26" s="108"/>
      <c r="B26" s="108"/>
      <c r="C26" s="108"/>
      <c r="D26" s="108"/>
      <c r="E26" s="108"/>
      <c r="F26" s="108"/>
      <c r="G26" s="108"/>
      <c r="H26" s="108"/>
      <c r="I26" s="108"/>
    </row>
    <row r="27" spans="1:9" x14ac:dyDescent="0.25">
      <c r="A27" s="108"/>
      <c r="B27" s="108"/>
      <c r="C27" s="108"/>
      <c r="D27" s="108"/>
      <c r="E27" s="108"/>
      <c r="F27" s="108"/>
      <c r="G27" s="108"/>
      <c r="H27" s="108"/>
      <c r="I27" s="108"/>
    </row>
    <row r="28" spans="1:9" x14ac:dyDescent="0.25">
      <c r="A28" s="108"/>
      <c r="B28" s="108"/>
      <c r="C28" s="108"/>
      <c r="D28" s="108"/>
      <c r="E28" s="108"/>
      <c r="F28" s="108"/>
      <c r="G28" s="108"/>
      <c r="H28" s="108"/>
      <c r="I28" s="108"/>
    </row>
    <row r="29" spans="1:9" x14ac:dyDescent="0.25">
      <c r="A29" s="108"/>
      <c r="B29" s="108"/>
      <c r="C29" s="108"/>
      <c r="D29" s="108"/>
      <c r="E29" s="108"/>
      <c r="F29" s="108"/>
      <c r="G29" s="108"/>
      <c r="H29" s="108"/>
      <c r="I29" s="108"/>
    </row>
  </sheetData>
  <sheetProtection algorithmName="SHA-512" hashValue="ts8poEUk7gqsqEN9O5Msp+L3JNPw39wdXqUMaC23Io0lpYq5f7TfxWjyDAM5gHAK4EfaKgYsZCWU7I8f0dWfuw==" saltValue="C/K6kbwv2dTf1N1GvgWRX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C1" workbookViewId="0">
      <selection activeCell="J10" sqref="C10:J10"/>
    </sheetView>
  </sheetViews>
  <sheetFormatPr defaultRowHeight="15" x14ac:dyDescent="0.2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</cols>
  <sheetData>
    <row r="1" spans="1:10" ht="16.5" x14ac:dyDescent="0.3">
      <c r="A1" s="44" t="s">
        <v>226</v>
      </c>
      <c r="B1" s="45">
        <v>45149</v>
      </c>
      <c r="C1" s="45">
        <v>45156</v>
      </c>
      <c r="D1" s="45">
        <v>45163</v>
      </c>
      <c r="E1" s="45">
        <v>45170</v>
      </c>
      <c r="F1" s="45">
        <v>45177</v>
      </c>
      <c r="G1" s="45">
        <v>45184</v>
      </c>
      <c r="H1" s="45">
        <v>45191</v>
      </c>
      <c r="I1" s="45">
        <v>45198</v>
      </c>
      <c r="J1" s="45">
        <v>45205</v>
      </c>
    </row>
    <row r="2" spans="1:10" ht="16.5" x14ac:dyDescent="0.3">
      <c r="A2" s="46" t="s">
        <v>15</v>
      </c>
      <c r="B2" s="47">
        <v>21799255745.139996</v>
      </c>
      <c r="C2" s="47">
        <v>21756530204.330006</v>
      </c>
      <c r="D2" s="47">
        <v>21948547893.360001</v>
      </c>
      <c r="E2" s="47">
        <v>22687921199.809998</v>
      </c>
      <c r="F2" s="47">
        <v>23086923138.879997</v>
      </c>
      <c r="G2" s="47">
        <v>22684841502.700001</v>
      </c>
      <c r="H2" s="47">
        <v>22617340342.240005</v>
      </c>
      <c r="I2" s="47">
        <v>22347298706.340004</v>
      </c>
      <c r="J2" s="47">
        <v>22419529839.446701</v>
      </c>
    </row>
    <row r="3" spans="1:10" ht="16.5" x14ac:dyDescent="0.3">
      <c r="A3" s="46" t="s">
        <v>48</v>
      </c>
      <c r="B3" s="48">
        <v>857163632618.47339</v>
      </c>
      <c r="C3" s="48">
        <v>855610980289.1698</v>
      </c>
      <c r="D3" s="48">
        <v>852824801464.56006</v>
      </c>
      <c r="E3" s="48">
        <v>854338532735.88501</v>
      </c>
      <c r="F3" s="48">
        <v>842459027080.45435</v>
      </c>
      <c r="G3" s="48">
        <v>842959336565.12207</v>
      </c>
      <c r="H3" s="48">
        <v>849677574373.34802</v>
      </c>
      <c r="I3" s="48">
        <v>852624898169.64954</v>
      </c>
      <c r="J3" s="48">
        <v>857851239009.95007</v>
      </c>
    </row>
    <row r="4" spans="1:10" ht="16.5" x14ac:dyDescent="0.3">
      <c r="A4" s="46" t="s">
        <v>227</v>
      </c>
      <c r="B4" s="47">
        <v>321156453816.64587</v>
      </c>
      <c r="C4" s="47">
        <v>320687160580.93243</v>
      </c>
      <c r="D4" s="47">
        <v>319581951019.79437</v>
      </c>
      <c r="E4" s="47">
        <v>319127187068.50275</v>
      </c>
      <c r="F4" s="47">
        <v>320114444673.33032</v>
      </c>
      <c r="G4" s="47">
        <v>320326205967.90063</v>
      </c>
      <c r="H4" s="47">
        <v>299618437754.16949</v>
      </c>
      <c r="I4" s="47">
        <v>300146733726.06244</v>
      </c>
      <c r="J4" s="47">
        <v>298612163023.86542</v>
      </c>
    </row>
    <row r="5" spans="1:10" ht="16.5" x14ac:dyDescent="0.3">
      <c r="A5" s="46" t="s">
        <v>131</v>
      </c>
      <c r="B5" s="48">
        <v>554621583051.02319</v>
      </c>
      <c r="C5" s="48">
        <v>555450233256.58521</v>
      </c>
      <c r="D5" s="48">
        <v>584920699343.90466</v>
      </c>
      <c r="E5" s="48">
        <v>561324750435.97546</v>
      </c>
      <c r="F5" s="48">
        <v>554560757841.43372</v>
      </c>
      <c r="G5" s="48">
        <v>579242821265.46704</v>
      </c>
      <c r="H5" s="48">
        <v>573412197469.83374</v>
      </c>
      <c r="I5" s="48">
        <v>580580020013.89868</v>
      </c>
      <c r="J5" s="48">
        <v>574272210688.57068</v>
      </c>
    </row>
    <row r="6" spans="1:10" ht="16.5" x14ac:dyDescent="0.3">
      <c r="A6" s="46" t="s">
        <v>228</v>
      </c>
      <c r="B6" s="47">
        <v>93594876666.309998</v>
      </c>
      <c r="C6" s="47">
        <v>93626727218.01001</v>
      </c>
      <c r="D6" s="47">
        <v>93509583223.449997</v>
      </c>
      <c r="E6" s="47">
        <v>93504922541.330002</v>
      </c>
      <c r="F6" s="47">
        <v>92863739575.880005</v>
      </c>
      <c r="G6" s="47">
        <v>92900265036.520004</v>
      </c>
      <c r="H6" s="47">
        <v>92930445555.669998</v>
      </c>
      <c r="I6" s="47">
        <v>92953013524.979996</v>
      </c>
      <c r="J6" s="47">
        <v>93025791056.550003</v>
      </c>
    </row>
    <row r="7" spans="1:10" ht="16.5" x14ac:dyDescent="0.3">
      <c r="A7" s="46" t="s">
        <v>157</v>
      </c>
      <c r="B7" s="49">
        <v>38936521066.392647</v>
      </c>
      <c r="C7" s="49">
        <v>38811275853.394905</v>
      </c>
      <c r="D7" s="49">
        <v>39079043179.509552</v>
      </c>
      <c r="E7" s="49">
        <v>39909523580.55719</v>
      </c>
      <c r="F7" s="49">
        <v>40429036765.108025</v>
      </c>
      <c r="G7" s="49">
        <v>39999967409.311623</v>
      </c>
      <c r="H7" s="49">
        <v>40017994182.737228</v>
      </c>
      <c r="I7" s="49">
        <v>39835802330.054489</v>
      </c>
      <c r="J7" s="49">
        <v>39656232639.742752</v>
      </c>
    </row>
    <row r="8" spans="1:10" ht="16.5" x14ac:dyDescent="0.3">
      <c r="A8" s="46" t="s">
        <v>182</v>
      </c>
      <c r="B8" s="47">
        <v>3821769493.7000003</v>
      </c>
      <c r="C8" s="47">
        <v>3802289133.5500002</v>
      </c>
      <c r="D8" s="47">
        <v>3833193790.9099998</v>
      </c>
      <c r="E8" s="47">
        <v>3950705160.4500003</v>
      </c>
      <c r="F8" s="47">
        <v>3988679154.2799997</v>
      </c>
      <c r="G8" s="47">
        <v>3887178325.5900002</v>
      </c>
      <c r="H8" s="47">
        <v>3868880759.98</v>
      </c>
      <c r="I8" s="47">
        <v>3871825099.96</v>
      </c>
      <c r="J8" s="47">
        <v>3871834604.0900002</v>
      </c>
    </row>
    <row r="9" spans="1:10" ht="16.5" x14ac:dyDescent="0.3">
      <c r="A9" s="46" t="s">
        <v>229</v>
      </c>
      <c r="B9" s="47">
        <v>27781533807.059998</v>
      </c>
      <c r="C9" s="47">
        <v>27801303893.869999</v>
      </c>
      <c r="D9" s="47">
        <v>27709525793.34</v>
      </c>
      <c r="E9" s="47">
        <v>27966500870.759998</v>
      </c>
      <c r="F9" s="47">
        <v>28062421939.949997</v>
      </c>
      <c r="G9" s="47">
        <v>28033788286.160004</v>
      </c>
      <c r="H9" s="47">
        <v>45442767297.869995</v>
      </c>
      <c r="I9" s="47">
        <v>45697413516.340004</v>
      </c>
      <c r="J9" s="47">
        <v>45358758187.989998</v>
      </c>
    </row>
    <row r="10" spans="1:10" ht="15.75" x14ac:dyDescent="0.25">
      <c r="A10" s="50" t="s">
        <v>230</v>
      </c>
      <c r="B10" s="51">
        <f t="shared" ref="B10:H10" si="0">SUM(B2:B9)</f>
        <v>1918875626264.7451</v>
      </c>
      <c r="C10" s="51">
        <f t="shared" si="0"/>
        <v>1917546500429.8425</v>
      </c>
      <c r="D10" s="51">
        <f t="shared" si="0"/>
        <v>1943407345708.8286</v>
      </c>
      <c r="E10" s="51">
        <f t="shared" si="0"/>
        <v>1922810043593.2705</v>
      </c>
      <c r="F10" s="51">
        <f t="shared" si="0"/>
        <v>1905565030169.3159</v>
      </c>
      <c r="G10" s="51">
        <f t="shared" si="0"/>
        <v>1930034404358.7712</v>
      </c>
      <c r="H10" s="51">
        <f t="shared" si="0"/>
        <v>1927585637735.8486</v>
      </c>
      <c r="I10" s="51">
        <f>SUM(I2:I9)</f>
        <v>1938057005087.2852</v>
      </c>
      <c r="J10" s="51">
        <f>SUM(J2:J9)</f>
        <v>1935067759050.2058</v>
      </c>
    </row>
    <row r="11" spans="1:10" ht="16.5" x14ac:dyDescent="0.3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 x14ac:dyDescent="0.25">
      <c r="A12" s="54" t="s">
        <v>231</v>
      </c>
      <c r="B12" s="55" t="s">
        <v>232</v>
      </c>
      <c r="C12" s="56">
        <f>(B10+C10)/2</f>
        <v>1918211063347.2939</v>
      </c>
      <c r="D12" s="57">
        <f t="shared" ref="D12:J12" si="1">(C10+D10)/2</f>
        <v>1930476923069.3354</v>
      </c>
      <c r="E12" s="57">
        <f t="shared" si="1"/>
        <v>1933108694651.0496</v>
      </c>
      <c r="F12" s="57">
        <f t="shared" si="1"/>
        <v>1914187536881.2932</v>
      </c>
      <c r="G12" s="57">
        <f>(F10+G10)/2</f>
        <v>1917799717264.0435</v>
      </c>
      <c r="H12" s="57">
        <f t="shared" si="1"/>
        <v>1928810021047.3101</v>
      </c>
      <c r="I12" s="57">
        <f t="shared" si="1"/>
        <v>1932821321411.5669</v>
      </c>
      <c r="J12" s="57">
        <f t="shared" si="1"/>
        <v>1936562382068.7456</v>
      </c>
    </row>
    <row r="15" spans="1:10" ht="16.5" x14ac:dyDescent="0.3">
      <c r="A15" s="44" t="s">
        <v>226</v>
      </c>
      <c r="B15" s="45">
        <v>45198</v>
      </c>
      <c r="C15" s="45">
        <v>45205</v>
      </c>
    </row>
    <row r="16" spans="1:10" ht="16.5" x14ac:dyDescent="0.3">
      <c r="A16" s="46" t="s">
        <v>15</v>
      </c>
      <c r="B16" s="47">
        <v>22347298706.340004</v>
      </c>
      <c r="C16" s="47">
        <v>22419529839.446701</v>
      </c>
    </row>
    <row r="17" spans="1:3" ht="16.5" x14ac:dyDescent="0.3">
      <c r="A17" s="46" t="s">
        <v>48</v>
      </c>
      <c r="B17" s="48">
        <v>852624898169.64954</v>
      </c>
      <c r="C17" s="48">
        <v>857851239009.95007</v>
      </c>
    </row>
    <row r="18" spans="1:3" ht="16.5" x14ac:dyDescent="0.3">
      <c r="A18" s="46" t="s">
        <v>227</v>
      </c>
      <c r="B18" s="47">
        <v>300146733726.06244</v>
      </c>
      <c r="C18" s="47">
        <v>298612163023.86542</v>
      </c>
    </row>
    <row r="19" spans="1:3" ht="16.5" x14ac:dyDescent="0.3">
      <c r="A19" s="46" t="s">
        <v>131</v>
      </c>
      <c r="B19" s="48">
        <v>580580020013.89868</v>
      </c>
      <c r="C19" s="48">
        <v>574272210688.57068</v>
      </c>
    </row>
    <row r="20" spans="1:3" ht="16.5" x14ac:dyDescent="0.3">
      <c r="A20" s="46" t="s">
        <v>228</v>
      </c>
      <c r="B20" s="47">
        <v>92953013524.979996</v>
      </c>
      <c r="C20" s="47">
        <v>93025791056.550003</v>
      </c>
    </row>
    <row r="21" spans="1:3" ht="16.5" x14ac:dyDescent="0.3">
      <c r="A21" s="46" t="s">
        <v>157</v>
      </c>
      <c r="B21" s="49">
        <v>39835802330.054489</v>
      </c>
      <c r="C21" s="49">
        <v>39656232639.742752</v>
      </c>
    </row>
    <row r="22" spans="1:3" ht="16.5" x14ac:dyDescent="0.3">
      <c r="A22" s="46" t="s">
        <v>182</v>
      </c>
      <c r="B22" s="47">
        <v>3871825099.96</v>
      </c>
      <c r="C22" s="47">
        <v>3871834604.0900002</v>
      </c>
    </row>
    <row r="23" spans="1:3" ht="16.5" x14ac:dyDescent="0.3">
      <c r="A23" s="46" t="s">
        <v>229</v>
      </c>
      <c r="B23" s="47">
        <v>45697413516.340004</v>
      </c>
      <c r="C23" s="47">
        <v>45358758187.989998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2023-10-31T08:43:31Z</dcterms:modified>
</cp:coreProperties>
</file>