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50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9" i="1" l="1"/>
  <c r="E161" i="1"/>
  <c r="E162" i="1"/>
  <c r="E163" i="1"/>
  <c r="E164" i="1"/>
  <c r="E165" i="1"/>
  <c r="E166" i="1"/>
  <c r="E167" i="1"/>
  <c r="E168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O190" i="1" l="1"/>
  <c r="O175" i="1"/>
  <c r="O169" i="1"/>
  <c r="O152" i="1"/>
  <c r="O146" i="1"/>
  <c r="O119" i="1"/>
  <c r="O112" i="1"/>
  <c r="O86" i="1"/>
  <c r="O54" i="1"/>
  <c r="O22" i="1"/>
  <c r="O170" i="1" l="1"/>
  <c r="O191" i="1" s="1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J10" i="4" l="1"/>
  <c r="I10" i="4"/>
  <c r="J12" i="4" s="1"/>
  <c r="H10" i="4"/>
  <c r="I12" i="4" s="1"/>
  <c r="G10" i="4"/>
  <c r="H12" i="4" s="1"/>
  <c r="F10" i="4"/>
  <c r="G12" i="4" s="1"/>
  <c r="E10" i="4"/>
  <c r="F12" i="4" s="1"/>
  <c r="D10" i="4"/>
  <c r="E12" i="4" s="1"/>
  <c r="C10" i="4"/>
  <c r="C12" i="4" s="1"/>
  <c r="B10" i="4"/>
  <c r="U190" i="1"/>
  <c r="T190" i="1"/>
  <c r="K190" i="1"/>
  <c r="L188" i="1" s="1"/>
  <c r="D190" i="1"/>
  <c r="E186" i="1" s="1"/>
  <c r="U189" i="1"/>
  <c r="T189" i="1"/>
  <c r="S189" i="1"/>
  <c r="R189" i="1"/>
  <c r="U188" i="1"/>
  <c r="T188" i="1"/>
  <c r="S188" i="1"/>
  <c r="R188" i="1"/>
  <c r="U187" i="1"/>
  <c r="T187" i="1"/>
  <c r="S187" i="1"/>
  <c r="R187" i="1"/>
  <c r="L187" i="1"/>
  <c r="U186" i="1"/>
  <c r="T186" i="1"/>
  <c r="S186" i="1"/>
  <c r="R186" i="1"/>
  <c r="L186" i="1"/>
  <c r="U185" i="1"/>
  <c r="T185" i="1"/>
  <c r="S185" i="1"/>
  <c r="R185" i="1"/>
  <c r="U184" i="1"/>
  <c r="T184" i="1"/>
  <c r="S184" i="1"/>
  <c r="R184" i="1"/>
  <c r="L184" i="1"/>
  <c r="U183" i="1"/>
  <c r="T183" i="1"/>
  <c r="S183" i="1"/>
  <c r="R183" i="1"/>
  <c r="L183" i="1"/>
  <c r="U182" i="1"/>
  <c r="T182" i="1"/>
  <c r="S182" i="1"/>
  <c r="R182" i="1"/>
  <c r="L182" i="1"/>
  <c r="U181" i="1"/>
  <c r="T181" i="1"/>
  <c r="S181" i="1"/>
  <c r="R181" i="1"/>
  <c r="U180" i="1"/>
  <c r="T180" i="1"/>
  <c r="S180" i="1"/>
  <c r="R180" i="1"/>
  <c r="L180" i="1"/>
  <c r="U179" i="1"/>
  <c r="T179" i="1"/>
  <c r="S179" i="1"/>
  <c r="R179" i="1"/>
  <c r="L179" i="1"/>
  <c r="U178" i="1"/>
  <c r="T178" i="1"/>
  <c r="S178" i="1"/>
  <c r="R178" i="1"/>
  <c r="L178" i="1"/>
  <c r="U175" i="1"/>
  <c r="T175" i="1"/>
  <c r="K175" i="1"/>
  <c r="L173" i="1" s="1"/>
  <c r="D175" i="1"/>
  <c r="E173" i="1" s="1"/>
  <c r="U174" i="1"/>
  <c r="T174" i="1"/>
  <c r="S174" i="1"/>
  <c r="R174" i="1"/>
  <c r="U173" i="1"/>
  <c r="T173" i="1"/>
  <c r="S173" i="1"/>
  <c r="R173" i="1"/>
  <c r="U169" i="1"/>
  <c r="T169" i="1"/>
  <c r="K169" i="1"/>
  <c r="L166" i="1" s="1"/>
  <c r="D169" i="1"/>
  <c r="U168" i="1"/>
  <c r="T168" i="1"/>
  <c r="S168" i="1"/>
  <c r="R168" i="1"/>
  <c r="U167" i="1"/>
  <c r="T167" i="1"/>
  <c r="S167" i="1"/>
  <c r="R167" i="1"/>
  <c r="L167" i="1"/>
  <c r="U166" i="1"/>
  <c r="T166" i="1"/>
  <c r="S166" i="1"/>
  <c r="R166" i="1"/>
  <c r="U165" i="1"/>
  <c r="T165" i="1"/>
  <c r="S165" i="1"/>
  <c r="R165" i="1"/>
  <c r="U164" i="1"/>
  <c r="T164" i="1"/>
  <c r="S164" i="1"/>
  <c r="R164" i="1"/>
  <c r="U163" i="1"/>
  <c r="T163" i="1"/>
  <c r="S163" i="1"/>
  <c r="R163" i="1"/>
  <c r="U162" i="1"/>
  <c r="T162" i="1"/>
  <c r="S162" i="1"/>
  <c r="R162" i="1"/>
  <c r="U161" i="1"/>
  <c r="T161" i="1"/>
  <c r="S161" i="1"/>
  <c r="R161" i="1"/>
  <c r="L161" i="1"/>
  <c r="U160" i="1"/>
  <c r="T160" i="1"/>
  <c r="S160" i="1"/>
  <c r="R160" i="1"/>
  <c r="U157" i="1"/>
  <c r="T157" i="1"/>
  <c r="S157" i="1"/>
  <c r="R157" i="1"/>
  <c r="L157" i="1"/>
  <c r="U156" i="1"/>
  <c r="T156" i="1"/>
  <c r="S156" i="1"/>
  <c r="R156" i="1"/>
  <c r="U152" i="1"/>
  <c r="T152" i="1"/>
  <c r="K152" i="1"/>
  <c r="L149" i="1" s="1"/>
  <c r="D152" i="1"/>
  <c r="E151" i="1" s="1"/>
  <c r="U151" i="1"/>
  <c r="T151" i="1"/>
  <c r="S151" i="1"/>
  <c r="R151" i="1"/>
  <c r="U150" i="1"/>
  <c r="T150" i="1"/>
  <c r="S150" i="1"/>
  <c r="R150" i="1"/>
  <c r="U149" i="1"/>
  <c r="T149" i="1"/>
  <c r="S149" i="1"/>
  <c r="R149" i="1"/>
  <c r="U146" i="1"/>
  <c r="T146" i="1"/>
  <c r="K146" i="1"/>
  <c r="L142" i="1" s="1"/>
  <c r="D146" i="1"/>
  <c r="E145" i="1" s="1"/>
  <c r="U145" i="1"/>
  <c r="T145" i="1"/>
  <c r="S145" i="1"/>
  <c r="R145" i="1"/>
  <c r="U144" i="1"/>
  <c r="T144" i="1"/>
  <c r="S144" i="1"/>
  <c r="R144" i="1"/>
  <c r="U143" i="1"/>
  <c r="T143" i="1"/>
  <c r="S143" i="1"/>
  <c r="R143" i="1"/>
  <c r="U142" i="1"/>
  <c r="T142" i="1"/>
  <c r="S142" i="1"/>
  <c r="R142" i="1"/>
  <c r="U141" i="1"/>
  <c r="T141" i="1"/>
  <c r="S141" i="1"/>
  <c r="R141" i="1"/>
  <c r="U140" i="1"/>
  <c r="T140" i="1"/>
  <c r="S140" i="1"/>
  <c r="R140" i="1"/>
  <c r="U139" i="1"/>
  <c r="T139" i="1"/>
  <c r="S139" i="1"/>
  <c r="R139" i="1"/>
  <c r="U138" i="1"/>
  <c r="T138" i="1"/>
  <c r="S138" i="1"/>
  <c r="R138" i="1"/>
  <c r="U137" i="1"/>
  <c r="T137" i="1"/>
  <c r="S137" i="1"/>
  <c r="R137" i="1"/>
  <c r="U136" i="1"/>
  <c r="T136" i="1"/>
  <c r="S136" i="1"/>
  <c r="R136" i="1"/>
  <c r="U135" i="1"/>
  <c r="T135" i="1"/>
  <c r="S135" i="1"/>
  <c r="R135" i="1"/>
  <c r="L135" i="1"/>
  <c r="U134" i="1"/>
  <c r="T134" i="1"/>
  <c r="S134" i="1"/>
  <c r="R134" i="1"/>
  <c r="U133" i="1"/>
  <c r="T133" i="1"/>
  <c r="S133" i="1"/>
  <c r="R133" i="1"/>
  <c r="L133" i="1"/>
  <c r="U132" i="1"/>
  <c r="T132" i="1"/>
  <c r="S132" i="1"/>
  <c r="R132" i="1"/>
  <c r="U131" i="1"/>
  <c r="T131" i="1"/>
  <c r="S131" i="1"/>
  <c r="R131" i="1"/>
  <c r="U130" i="1"/>
  <c r="T130" i="1"/>
  <c r="S130" i="1"/>
  <c r="R130" i="1"/>
  <c r="L130" i="1"/>
  <c r="U129" i="1"/>
  <c r="T129" i="1"/>
  <c r="S129" i="1"/>
  <c r="R129" i="1"/>
  <c r="U128" i="1"/>
  <c r="T128" i="1"/>
  <c r="S128" i="1"/>
  <c r="R128" i="1"/>
  <c r="U127" i="1"/>
  <c r="T127" i="1"/>
  <c r="S127" i="1"/>
  <c r="R127" i="1"/>
  <c r="L127" i="1"/>
  <c r="U126" i="1"/>
  <c r="T126" i="1"/>
  <c r="S126" i="1"/>
  <c r="R126" i="1"/>
  <c r="U125" i="1"/>
  <c r="T125" i="1"/>
  <c r="S125" i="1"/>
  <c r="R125" i="1"/>
  <c r="L125" i="1"/>
  <c r="U124" i="1"/>
  <c r="T124" i="1"/>
  <c r="S124" i="1"/>
  <c r="R124" i="1"/>
  <c r="U123" i="1"/>
  <c r="T123" i="1"/>
  <c r="S123" i="1"/>
  <c r="R123" i="1"/>
  <c r="U122" i="1"/>
  <c r="T122" i="1"/>
  <c r="S122" i="1"/>
  <c r="R122" i="1"/>
  <c r="L122" i="1"/>
  <c r="U119" i="1"/>
  <c r="T119" i="1"/>
  <c r="K119" i="1"/>
  <c r="L117" i="1" s="1"/>
  <c r="D119" i="1"/>
  <c r="E118" i="1" s="1"/>
  <c r="U118" i="1"/>
  <c r="T118" i="1"/>
  <c r="S118" i="1"/>
  <c r="R118" i="1"/>
  <c r="L118" i="1"/>
  <c r="U117" i="1"/>
  <c r="T117" i="1"/>
  <c r="S117" i="1"/>
  <c r="R117" i="1"/>
  <c r="U116" i="1"/>
  <c r="T116" i="1"/>
  <c r="S116" i="1"/>
  <c r="R116" i="1"/>
  <c r="U115" i="1"/>
  <c r="T115" i="1"/>
  <c r="S115" i="1"/>
  <c r="R115" i="1"/>
  <c r="U112" i="1"/>
  <c r="T112" i="1"/>
  <c r="U111" i="1"/>
  <c r="T111" i="1"/>
  <c r="R111" i="1"/>
  <c r="G111" i="1"/>
  <c r="S111" i="1" s="1"/>
  <c r="F111" i="1"/>
  <c r="U110" i="1"/>
  <c r="T110" i="1"/>
  <c r="S110" i="1"/>
  <c r="R110" i="1"/>
  <c r="U109" i="1"/>
  <c r="T109" i="1"/>
  <c r="S109" i="1"/>
  <c r="R109" i="1"/>
  <c r="U108" i="1"/>
  <c r="T108" i="1"/>
  <c r="R108" i="1"/>
  <c r="N108" i="1"/>
  <c r="S108" i="1" s="1"/>
  <c r="M108" i="1"/>
  <c r="U107" i="1"/>
  <c r="T107" i="1"/>
  <c r="R107" i="1"/>
  <c r="N107" i="1"/>
  <c r="M107" i="1"/>
  <c r="G107" i="1"/>
  <c r="F107" i="1"/>
  <c r="U106" i="1"/>
  <c r="T106" i="1"/>
  <c r="S106" i="1"/>
  <c r="R106" i="1"/>
  <c r="U105" i="1"/>
  <c r="T105" i="1"/>
  <c r="S105" i="1"/>
  <c r="R105" i="1"/>
  <c r="U104" i="1"/>
  <c r="T104" i="1"/>
  <c r="N104" i="1"/>
  <c r="M104" i="1"/>
  <c r="K104" i="1"/>
  <c r="G104" i="1"/>
  <c r="F104" i="1"/>
  <c r="D104" i="1"/>
  <c r="U103" i="1"/>
  <c r="T103" i="1"/>
  <c r="S103" i="1"/>
  <c r="R103" i="1"/>
  <c r="U100" i="1"/>
  <c r="T100" i="1"/>
  <c r="N100" i="1"/>
  <c r="S100" i="1" s="1"/>
  <c r="M100" i="1"/>
  <c r="K100" i="1"/>
  <c r="G100" i="1"/>
  <c r="F100" i="1"/>
  <c r="D100" i="1"/>
  <c r="U99" i="1"/>
  <c r="T99" i="1"/>
  <c r="S99" i="1"/>
  <c r="R99" i="1"/>
  <c r="U98" i="1"/>
  <c r="T98" i="1"/>
  <c r="N98" i="1"/>
  <c r="S98" i="1" s="1"/>
  <c r="M98" i="1"/>
  <c r="K98" i="1"/>
  <c r="G98" i="1"/>
  <c r="F98" i="1"/>
  <c r="D98" i="1"/>
  <c r="U97" i="1"/>
  <c r="T97" i="1"/>
  <c r="N97" i="1"/>
  <c r="S97" i="1" s="1"/>
  <c r="M97" i="1"/>
  <c r="K97" i="1"/>
  <c r="R97" i="1" s="1"/>
  <c r="G97" i="1"/>
  <c r="F97" i="1"/>
  <c r="D97" i="1"/>
  <c r="U96" i="1"/>
  <c r="T96" i="1"/>
  <c r="N96" i="1"/>
  <c r="S96" i="1" s="1"/>
  <c r="M96" i="1"/>
  <c r="K96" i="1"/>
  <c r="R96" i="1" s="1"/>
  <c r="U95" i="1"/>
  <c r="T95" i="1"/>
  <c r="N95" i="1"/>
  <c r="M95" i="1"/>
  <c r="K95" i="1"/>
  <c r="G95" i="1"/>
  <c r="F95" i="1"/>
  <c r="D95" i="1"/>
  <c r="U94" i="1"/>
  <c r="T94" i="1"/>
  <c r="S94" i="1"/>
  <c r="R94" i="1"/>
  <c r="U93" i="1"/>
  <c r="T93" i="1"/>
  <c r="S93" i="1"/>
  <c r="R93" i="1"/>
  <c r="U92" i="1"/>
  <c r="T92" i="1"/>
  <c r="S92" i="1"/>
  <c r="R92" i="1"/>
  <c r="U91" i="1"/>
  <c r="T91" i="1"/>
  <c r="N91" i="1"/>
  <c r="M91" i="1"/>
  <c r="K91" i="1"/>
  <c r="G91" i="1"/>
  <c r="F91" i="1"/>
  <c r="D91" i="1"/>
  <c r="U90" i="1"/>
  <c r="T90" i="1"/>
  <c r="R90" i="1"/>
  <c r="N90" i="1"/>
  <c r="M90" i="1"/>
  <c r="G90" i="1"/>
  <c r="S90" i="1" s="1"/>
  <c r="F90" i="1"/>
  <c r="U86" i="1"/>
  <c r="T86" i="1"/>
  <c r="K86" i="1"/>
  <c r="D86" i="1"/>
  <c r="E83" i="1" s="1"/>
  <c r="U85" i="1"/>
  <c r="T85" i="1"/>
  <c r="S85" i="1"/>
  <c r="R85" i="1"/>
  <c r="U84" i="1"/>
  <c r="T84" i="1"/>
  <c r="S84" i="1"/>
  <c r="R84" i="1"/>
  <c r="E84" i="1"/>
  <c r="U83" i="1"/>
  <c r="T83" i="1"/>
  <c r="S83" i="1"/>
  <c r="R83" i="1"/>
  <c r="U82" i="1"/>
  <c r="T82" i="1"/>
  <c r="S82" i="1"/>
  <c r="R82" i="1"/>
  <c r="E82" i="1"/>
  <c r="U81" i="1"/>
  <c r="T81" i="1"/>
  <c r="S81" i="1"/>
  <c r="R81" i="1"/>
  <c r="U80" i="1"/>
  <c r="T80" i="1"/>
  <c r="S80" i="1"/>
  <c r="R80" i="1"/>
  <c r="E80" i="1"/>
  <c r="U79" i="1"/>
  <c r="T79" i="1"/>
  <c r="S79" i="1"/>
  <c r="R79" i="1"/>
  <c r="U78" i="1"/>
  <c r="T78" i="1"/>
  <c r="S78" i="1"/>
  <c r="R78" i="1"/>
  <c r="E78" i="1"/>
  <c r="U77" i="1"/>
  <c r="T77" i="1"/>
  <c r="S77" i="1"/>
  <c r="R77" i="1"/>
  <c r="U76" i="1"/>
  <c r="T76" i="1"/>
  <c r="S76" i="1"/>
  <c r="R76" i="1"/>
  <c r="E76" i="1"/>
  <c r="U75" i="1"/>
  <c r="T75" i="1"/>
  <c r="S75" i="1"/>
  <c r="R75" i="1"/>
  <c r="U74" i="1"/>
  <c r="T74" i="1"/>
  <c r="S74" i="1"/>
  <c r="R74" i="1"/>
  <c r="E74" i="1"/>
  <c r="U73" i="1"/>
  <c r="T73" i="1"/>
  <c r="S73" i="1"/>
  <c r="R73" i="1"/>
  <c r="U72" i="1"/>
  <c r="T72" i="1"/>
  <c r="S72" i="1"/>
  <c r="R72" i="1"/>
  <c r="E72" i="1"/>
  <c r="U71" i="1"/>
  <c r="T71" i="1"/>
  <c r="S71" i="1"/>
  <c r="R71" i="1"/>
  <c r="U70" i="1"/>
  <c r="T70" i="1"/>
  <c r="S70" i="1"/>
  <c r="R70" i="1"/>
  <c r="E70" i="1"/>
  <c r="U69" i="1"/>
  <c r="T69" i="1"/>
  <c r="S69" i="1"/>
  <c r="R69" i="1"/>
  <c r="U68" i="1"/>
  <c r="T68" i="1"/>
  <c r="S68" i="1"/>
  <c r="R68" i="1"/>
  <c r="E68" i="1"/>
  <c r="U67" i="1"/>
  <c r="T67" i="1"/>
  <c r="S67" i="1"/>
  <c r="R67" i="1"/>
  <c r="U66" i="1"/>
  <c r="T66" i="1"/>
  <c r="S66" i="1"/>
  <c r="R66" i="1"/>
  <c r="E66" i="1"/>
  <c r="U65" i="1"/>
  <c r="T65" i="1"/>
  <c r="S65" i="1"/>
  <c r="R65" i="1"/>
  <c r="U64" i="1"/>
  <c r="T64" i="1"/>
  <c r="S64" i="1"/>
  <c r="R64" i="1"/>
  <c r="E64" i="1"/>
  <c r="U63" i="1"/>
  <c r="T63" i="1"/>
  <c r="S63" i="1"/>
  <c r="R63" i="1"/>
  <c r="U62" i="1"/>
  <c r="T62" i="1"/>
  <c r="S62" i="1"/>
  <c r="R62" i="1"/>
  <c r="E62" i="1"/>
  <c r="U61" i="1"/>
  <c r="T61" i="1"/>
  <c r="S61" i="1"/>
  <c r="R61" i="1"/>
  <c r="U60" i="1"/>
  <c r="T60" i="1"/>
  <c r="S60" i="1"/>
  <c r="R60" i="1"/>
  <c r="E60" i="1"/>
  <c r="U59" i="1"/>
  <c r="T59" i="1"/>
  <c r="S59" i="1"/>
  <c r="R59" i="1"/>
  <c r="U58" i="1"/>
  <c r="T58" i="1"/>
  <c r="S58" i="1"/>
  <c r="R58" i="1"/>
  <c r="E58" i="1"/>
  <c r="U57" i="1"/>
  <c r="T57" i="1"/>
  <c r="S57" i="1"/>
  <c r="R57" i="1"/>
  <c r="U54" i="1"/>
  <c r="T54" i="1"/>
  <c r="K54" i="1"/>
  <c r="L50" i="1" s="1"/>
  <c r="D54" i="1"/>
  <c r="U53" i="1"/>
  <c r="T53" i="1"/>
  <c r="S53" i="1"/>
  <c r="R53" i="1"/>
  <c r="U52" i="1"/>
  <c r="T52" i="1"/>
  <c r="S52" i="1"/>
  <c r="R52" i="1"/>
  <c r="U51" i="1"/>
  <c r="T51" i="1"/>
  <c r="S51" i="1"/>
  <c r="R51" i="1"/>
  <c r="L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2" i="1"/>
  <c r="T22" i="1"/>
  <c r="K22" i="1"/>
  <c r="D22" i="1"/>
  <c r="E19" i="1" s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S12" i="1"/>
  <c r="R12" i="1"/>
  <c r="U11" i="1"/>
  <c r="T11" i="1"/>
  <c r="S11" i="1"/>
  <c r="R11" i="1"/>
  <c r="U10" i="1"/>
  <c r="T10" i="1"/>
  <c r="S10" i="1"/>
  <c r="R10" i="1"/>
  <c r="U9" i="1"/>
  <c r="T9" i="1"/>
  <c r="S9" i="1"/>
  <c r="R9" i="1"/>
  <c r="U8" i="1"/>
  <c r="T8" i="1"/>
  <c r="S8" i="1"/>
  <c r="R8" i="1"/>
  <c r="E8" i="1"/>
  <c r="U7" i="1"/>
  <c r="T7" i="1"/>
  <c r="S7" i="1"/>
  <c r="U6" i="1"/>
  <c r="T6" i="1"/>
  <c r="S6" i="1"/>
  <c r="R6" i="1"/>
  <c r="E10" i="1" l="1"/>
  <c r="R104" i="1"/>
  <c r="E6" i="1"/>
  <c r="E9" i="1"/>
  <c r="E14" i="1"/>
  <c r="L32" i="1"/>
  <c r="E142" i="1"/>
  <c r="L6" i="1"/>
  <c r="L40" i="1"/>
  <c r="L115" i="1"/>
  <c r="L123" i="1"/>
  <c r="L126" i="1"/>
  <c r="L129" i="1"/>
  <c r="L131" i="1"/>
  <c r="L134" i="1"/>
  <c r="L138" i="1"/>
  <c r="E18" i="1"/>
  <c r="L57" i="1"/>
  <c r="E61" i="1"/>
  <c r="E115" i="1"/>
  <c r="E122" i="1"/>
  <c r="E123" i="1"/>
  <c r="E124" i="1"/>
  <c r="E129" i="1"/>
  <c r="E130" i="1"/>
  <c r="E131" i="1"/>
  <c r="E132" i="1"/>
  <c r="E137" i="1"/>
  <c r="E140" i="1"/>
  <c r="E144" i="1"/>
  <c r="L163" i="1"/>
  <c r="L165" i="1"/>
  <c r="E11" i="1"/>
  <c r="E13" i="1"/>
  <c r="E16" i="1"/>
  <c r="E20" i="1"/>
  <c r="L29" i="1"/>
  <c r="L37" i="1"/>
  <c r="L43" i="1"/>
  <c r="K112" i="1"/>
  <c r="K170" i="1" s="1"/>
  <c r="S91" i="1"/>
  <c r="R98" i="1"/>
  <c r="L116" i="1"/>
  <c r="E125" i="1"/>
  <c r="E126" i="1"/>
  <c r="E127" i="1"/>
  <c r="E128" i="1"/>
  <c r="E133" i="1"/>
  <c r="E134" i="1"/>
  <c r="E135" i="1"/>
  <c r="E136" i="1"/>
  <c r="E138" i="1"/>
  <c r="E139" i="1"/>
  <c r="E141" i="1"/>
  <c r="E143" i="1"/>
  <c r="L156" i="1"/>
  <c r="L162" i="1"/>
  <c r="R22" i="1"/>
  <c r="R86" i="1"/>
  <c r="S104" i="1"/>
  <c r="S107" i="1"/>
  <c r="L95" i="1"/>
  <c r="S95" i="1"/>
  <c r="R100" i="1"/>
  <c r="L105" i="1"/>
  <c r="L94" i="1"/>
  <c r="L48" i="1"/>
  <c r="L25" i="1"/>
  <c r="L33" i="1"/>
  <c r="L44" i="1"/>
  <c r="L52" i="1"/>
  <c r="E117" i="1"/>
  <c r="L140" i="1"/>
  <c r="L144" i="1"/>
  <c r="R146" i="1"/>
  <c r="L151" i="1"/>
  <c r="E181" i="1"/>
  <c r="E185" i="1"/>
  <c r="E189" i="1"/>
  <c r="R190" i="1"/>
  <c r="D12" i="4"/>
  <c r="D112" i="1"/>
  <c r="E91" i="1" s="1"/>
  <c r="L36" i="1"/>
  <c r="L39" i="1"/>
  <c r="R54" i="1"/>
  <c r="L30" i="1"/>
  <c r="L38" i="1"/>
  <c r="L41" i="1"/>
  <c r="L49" i="1"/>
  <c r="R95" i="1"/>
  <c r="R119" i="1"/>
  <c r="L124" i="1"/>
  <c r="L128" i="1"/>
  <c r="L132" i="1"/>
  <c r="L136" i="1"/>
  <c r="E150" i="1"/>
  <c r="E160" i="1"/>
  <c r="E174" i="1"/>
  <c r="L181" i="1"/>
  <c r="L185" i="1"/>
  <c r="L28" i="1"/>
  <c r="L47" i="1"/>
  <c r="E7" i="1"/>
  <c r="E17" i="1"/>
  <c r="E21" i="1"/>
  <c r="L27" i="1"/>
  <c r="L35" i="1"/>
  <c r="L46" i="1"/>
  <c r="E57" i="1"/>
  <c r="E65" i="1"/>
  <c r="E69" i="1"/>
  <c r="E73" i="1"/>
  <c r="E77" i="1"/>
  <c r="E81" i="1"/>
  <c r="E85" i="1"/>
  <c r="E116" i="1"/>
  <c r="L139" i="1"/>
  <c r="L143" i="1"/>
  <c r="L150" i="1"/>
  <c r="R152" i="1"/>
  <c r="L160" i="1"/>
  <c r="L164" i="1"/>
  <c r="L168" i="1"/>
  <c r="L174" i="1"/>
  <c r="R175" i="1"/>
  <c r="E180" i="1"/>
  <c r="E184" i="1"/>
  <c r="E188" i="1"/>
  <c r="E149" i="1"/>
  <c r="E157" i="1"/>
  <c r="R169" i="1"/>
  <c r="E179" i="1"/>
  <c r="E183" i="1"/>
  <c r="E187" i="1"/>
  <c r="R91" i="1"/>
  <c r="L45" i="1"/>
  <c r="L53" i="1"/>
  <c r="E100" i="1"/>
  <c r="L26" i="1"/>
  <c r="L34" i="1"/>
  <c r="E156" i="1"/>
  <c r="E12" i="1"/>
  <c r="E15" i="1"/>
  <c r="L31" i="1"/>
  <c r="L42" i="1"/>
  <c r="E59" i="1"/>
  <c r="E63" i="1"/>
  <c r="E67" i="1"/>
  <c r="E71" i="1"/>
  <c r="E75" i="1"/>
  <c r="E79" i="1"/>
  <c r="L141" i="1"/>
  <c r="L145" i="1"/>
  <c r="E178" i="1"/>
  <c r="E182" i="1"/>
  <c r="L106" i="1" l="1"/>
  <c r="L90" i="1"/>
  <c r="L91" i="1"/>
  <c r="L92" i="1"/>
  <c r="L98" i="1"/>
  <c r="L108" i="1"/>
  <c r="E104" i="1"/>
  <c r="L93" i="1"/>
  <c r="K191" i="1"/>
  <c r="L22" i="1"/>
  <c r="L146" i="1"/>
  <c r="L54" i="1"/>
  <c r="L119" i="1"/>
  <c r="L86" i="1"/>
  <c r="L112" i="1"/>
  <c r="L169" i="1"/>
  <c r="L152" i="1"/>
  <c r="L100" i="1"/>
  <c r="L97" i="1"/>
  <c r="L96" i="1"/>
  <c r="L111" i="1"/>
  <c r="L103" i="1"/>
  <c r="L107" i="1"/>
  <c r="L109" i="1"/>
  <c r="L99" i="1"/>
  <c r="L110" i="1"/>
  <c r="L104" i="1"/>
  <c r="R112" i="1"/>
  <c r="E110" i="1"/>
  <c r="E107" i="1"/>
  <c r="E99" i="1"/>
  <c r="E96" i="1"/>
  <c r="E93" i="1"/>
  <c r="E98" i="1"/>
  <c r="E94" i="1"/>
  <c r="E105" i="1"/>
  <c r="E95" i="1"/>
  <c r="D170" i="1"/>
  <c r="E112" i="1" s="1"/>
  <c r="E111" i="1"/>
  <c r="E90" i="1"/>
  <c r="E97" i="1"/>
  <c r="E92" i="1"/>
  <c r="E109" i="1"/>
  <c r="E108" i="1"/>
  <c r="E106" i="1"/>
  <c r="E103" i="1"/>
  <c r="E54" i="1" l="1"/>
  <c r="E146" i="1"/>
  <c r="D191" i="1"/>
  <c r="R170" i="1"/>
  <c r="E86" i="1"/>
  <c r="E22" i="1"/>
  <c r="E169" i="1"/>
  <c r="E119" i="1"/>
  <c r="E152" i="1"/>
</calcChain>
</file>

<file path=xl/sharedStrings.xml><?xml version="1.0" encoding="utf-8"?>
<sst xmlns="http://schemas.openxmlformats.org/spreadsheetml/2006/main" count="395" uniqueCount="245">
  <si>
    <t>NAV, Unit Price and Yield as at Week Ended September 22, 2023</t>
  </si>
  <si>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</si>
  <si>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</si>
  <si>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</si>
  <si>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</si>
  <si>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</si>
  <si>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</si>
  <si>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</si>
  <si>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</si>
  <si>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</si>
  <si>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</si>
  <si>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</si>
  <si>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</si>
  <si>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</si>
  <si>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</si>
  <si>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</si>
  <si>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</si>
  <si>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</si>
  <si>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</si>
  <si>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</si>
  <si>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</si>
  <si>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</si>
  <si>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</si>
  <si>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</si>
  <si>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</si>
  <si>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</si>
  <si>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</si>
  <si>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</si>
  <si>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</si>
  <si>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</si>
  <si>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</si>
  <si>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</si>
  <si>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</si>
  <si>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 (GTEIF)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</si>
  <si>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</si>
  <si>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</si>
  <si>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</si>
  <si>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</si>
  <si>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</si>
  <si>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</si>
  <si>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</si>
  <si>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</si>
  <si>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</si>
  <si>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</si>
  <si>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</si>
  <si>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</si>
  <si>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</si>
  <si>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</si>
  <si>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</si>
  <si>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</si>
  <si>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</si>
  <si>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</si>
  <si>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</si>
  <si>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</si>
  <si>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</si>
  <si>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</si>
  <si>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</si>
  <si>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</si>
  <si>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</si>
  <si>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</si>
  <si>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</si>
  <si>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</si>
  <si>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</si>
  <si>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</si>
  <si>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</si>
  <si>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</si>
  <si>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</si>
  <si>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</si>
  <si>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</si>
  <si>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</si>
  <si>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</si>
  <si>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</si>
  <si>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</si>
  <si>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</si>
  <si>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</si>
  <si>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</si>
  <si>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</si>
  <si>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Guaranty Trust Money Market Fund (GTMMF)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</si>
  <si>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</si>
  <si>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</si>
  <si>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</si>
  <si>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</si>
  <si>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</si>
  <si>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</si>
  <si>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</si>
  <si>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</si>
  <si>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</si>
  <si>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</si>
  <si>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</si>
  <si>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</si>
  <si>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</si>
  <si>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</si>
  <si>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</si>
  <si>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</si>
  <si>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</si>
  <si>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</si>
  <si>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</si>
  <si>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</si>
  <si>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</si>
  <si>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</si>
  <si>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</si>
  <si>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</si>
  <si>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</si>
  <si>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</si>
  <si>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</si>
  <si>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</si>
  <si>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</si>
  <si>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</si>
  <si>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</si>
  <si>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</si>
  <si>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</si>
  <si>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</si>
  <si>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</si>
  <si>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</si>
  <si>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</si>
  <si>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</si>
  <si>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</si>
  <si>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</si>
  <si>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</si>
  <si>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</si>
  <si>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</si>
  <si>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</si>
  <si>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</si>
  <si>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</si>
  <si>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</si>
  <si>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</si>
  <si>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</si>
  <si>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</si>
  <si>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</si>
  <si>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</si>
  <si>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</si>
  <si>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</si>
  <si>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</si>
  <si>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</si>
  <si>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</si>
  <si>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</si>
  <si>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</si>
  <si>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</si>
  <si>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</si>
  <si>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</si>
  <si>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</si>
  <si>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</si>
  <si>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</si>
  <si>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</si>
  <si>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</si>
  <si>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</si>
  <si>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</si>
  <si>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</si>
  <si>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</si>
  <si>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</si>
  <si>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</si>
  <si>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</si>
  <si>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</si>
  <si>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</si>
  <si>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</si>
  <si>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</si>
  <si>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</si>
  <si>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</si>
  <si>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</si>
  <si>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</si>
  <si>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</si>
  <si>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</si>
  <si>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</si>
  <si>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</si>
  <si>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</si>
  <si>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</si>
  <si>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</si>
  <si>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</si>
  <si>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</si>
  <si>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</si>
  <si>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</si>
  <si>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</si>
  <si>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</si>
  <si>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Guaranty Trust Balanced Fund (GTBF)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</si>
  <si>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</si>
  <si>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</si>
  <si>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</si>
  <si>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</si>
  <si>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</si>
  <si>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</si>
  <si>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</si>
  <si>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</si>
  <si>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</si>
  <si>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</si>
  <si>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</si>
  <si>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</si>
  <si>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</si>
  <si>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</si>
  <si>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</si>
  <si>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</si>
  <si>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</si>
  <si>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</si>
  <si>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</si>
  <si>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</si>
  <si>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</si>
  <si>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</si>
  <si>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</si>
  <si>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</si>
  <si>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</si>
  <si>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</si>
  <si>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</si>
  <si>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</si>
  <si>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</si>
  <si>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</si>
  <si>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</si>
  <si>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</si>
  <si>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</si>
  <si>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</si>
  <si>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</si>
  <si>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</si>
  <si>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</si>
  <si>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</si>
  <si>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</si>
  <si>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</si>
  <si>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</si>
  <si>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</si>
  <si>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</si>
  <si>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</si>
  <si>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</si>
  <si>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</si>
  <si>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</si>
  <si>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</si>
  <si>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</si>
  <si>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</si>
  <si>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</si>
  <si>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</si>
  <si>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</si>
  <si>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</si>
  <si>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</si>
  <si>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</si>
  <si>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</si>
  <si>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</si>
  <si>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</si>
  <si>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</si>
  <si>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NAV, Unit Price and Yield as at Week Ended September 29, 2023</t>
  </si>
  <si>
    <t>Unitholders</t>
  </si>
  <si>
    <t>Week ended September 22, 2023</t>
  </si>
  <si>
    <t>Week ended September 29, 2023</t>
  </si>
  <si>
    <t>EQUITY BASED 
FUNDS</t>
  </si>
  <si>
    <t>EUROBONDS</t>
  </si>
  <si>
    <t>FIXED INCOME</t>
  </si>
  <si>
    <t>EQUITIES</t>
  </si>
  <si>
    <t>NET ASSET VALUES AND UNIT PRICES OF COLLECTIVE INVESTMENT SCHEMES AS AT WEEK ENDED FRIDAY, SEPTEMBER 29, 2023</t>
  </si>
  <si>
    <t>DATE</t>
  </si>
  <si>
    <t>TOTAL 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</si>
</sst>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8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0" fontId="6" fillId="3" borderId="5" xfId="0" applyFont="1" applyFill="1" applyBorder="1"/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9" fontId="6" fillId="5" borderId="5" xfId="2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9" fontId="6" fillId="5" borderId="5" xfId="2" applyFont="1" applyFill="1" applyBorder="1" applyAlignment="1">
      <alignment horizontal="center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" fontId="6" fillId="0" borderId="5" xfId="0" applyNumberFormat="1" applyFont="1" applyBorder="1" applyAlignment="1">
      <alignment wrapText="1"/>
    </xf>
    <xf numFmtId="43" fontId="3" fillId="5" borderId="5" xfId="1" applyFont="1" applyFill="1" applyBorder="1" applyAlignment="1">
      <alignment horizontal="center"/>
    </xf>
    <xf numFmtId="2" fontId="0" fillId="0" borderId="0" xfId="0" applyNumberFormat="1"/>
    <xf numFmtId="0" fontId="6" fillId="3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9" fontId="6" fillId="0" borderId="5" xfId="0" applyNumberFormat="1" applyFont="1" applyBorder="1" applyAlignment="1">
      <alignment wrapText="1"/>
    </xf>
    <xf numFmtId="0" fontId="18" fillId="0" borderId="0" xfId="0" applyFont="1" applyBorder="1"/>
    <xf numFmtId="16" fontId="20" fillId="3" borderId="0" xfId="0" applyNumberFormat="1" applyFont="1" applyFill="1" applyBorder="1"/>
    <xf numFmtId="43" fontId="19" fillId="0" borderId="0" xfId="1" applyFont="1" applyBorder="1"/>
    <xf numFmtId="0" fontId="0" fillId="0" borderId="0" xfId="0" applyBorder="1"/>
    <xf numFmtId="0" fontId="21" fillId="0" borderId="5" xfId="0" applyFont="1" applyBorder="1" applyAlignment="1">
      <alignment horizontal="right"/>
    </xf>
    <xf numFmtId="16" fontId="22" fillId="3" borderId="5" xfId="0" applyNumberFormat="1" applyFont="1" applyFill="1" applyBorder="1"/>
    <xf numFmtId="0" fontId="22" fillId="0" borderId="5" xfId="0" applyFont="1" applyBorder="1" applyAlignment="1">
      <alignment horizontal="right"/>
    </xf>
    <xf numFmtId="4" fontId="20" fillId="3" borderId="5" xfId="0" applyNumberFormat="1" applyFont="1" applyFill="1" applyBorder="1"/>
    <xf numFmtId="43" fontId="20" fillId="3" borderId="5" xfId="1" applyFont="1" applyFill="1" applyBorder="1" applyAlignment="1">
      <alignment horizontal="right" vertical="top" wrapText="1"/>
    </xf>
    <xf numFmtId="4" fontId="20" fillId="3" borderId="5" xfId="0" applyNumberFormat="1" applyFont="1" applyFill="1" applyBorder="1" applyAlignment="1">
      <alignment horizontal="right"/>
    </xf>
    <xf numFmtId="0" fontId="19" fillId="0" borderId="0" xfId="0" applyFont="1"/>
    <xf numFmtId="0" fontId="22" fillId="0" borderId="5" xfId="0" applyFont="1" applyBorder="1" applyAlignment="1">
      <alignment horizontal="right" wrapText="1"/>
    </xf>
    <xf numFmtId="0" fontId="3" fillId="4" borderId="5" xfId="0" applyFont="1" applyFill="1" applyBorder="1" applyAlignment="1">
      <alignment horizontal="center" vertical="top" wrapText="1"/>
    </xf>
    <xf numFmtId="10" fontId="23" fillId="2" borderId="5" xfId="2" applyNumberFormat="1" applyFont="1" applyFill="1" applyBorder="1" applyAlignment="1">
      <alignment horizontal="center" vertical="top" wrapText="1"/>
    </xf>
    <xf numFmtId="4" fontId="15" fillId="10" borderId="0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</cellXfs>
  <cellStyles count="6">
    <cellStyle name="Comma" xfId="1" builtinId="3"/>
    <cellStyle name="Comma 10 13" xfId="3"/>
    <cellStyle name="Comma 3 2" xfId="4"/>
    <cellStyle name="Normal" xfId="0" builtinId="0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September 22,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
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22.617340342240002</c:v>
                </c:pt>
                <c:pt idx="1">
                  <c:v>849.67757437334797</c:v>
                </c:pt>
                <c:pt idx="2">
                  <c:v>299.61843775416901</c:v>
                </c:pt>
                <c:pt idx="3">
                  <c:v>573.41219746983404</c:v>
                </c:pt>
                <c:pt idx="4">
                  <c:v>92.930445555670005</c:v>
                </c:pt>
                <c:pt idx="5" formatCode="_(* #,##0.00_);_(* \(#,##0.00\);_(* &quot;-&quot;??_);_(@_)">
                  <c:v>40.017994182737198</c:v>
                </c:pt>
                <c:pt idx="6">
                  <c:v>3.8688807599800001</c:v>
                </c:pt>
                <c:pt idx="7">
                  <c:v>45.442767297870006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September 29,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
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22.347298706340002</c:v>
                </c:pt>
                <c:pt idx="1">
                  <c:v>852.62489816965001</c:v>
                </c:pt>
                <c:pt idx="2">
                  <c:v>300.146733726062</c:v>
                </c:pt>
                <c:pt idx="3">
                  <c:v>580.580020013899</c:v>
                </c:pt>
                <c:pt idx="4">
                  <c:v>92.953013524979994</c:v>
                </c:pt>
                <c:pt idx="5" formatCode="_(* #,##0.00_);_(* \(#,##0.00\);_(* &quot;-&quot;??_);_(@_)">
                  <c:v>39.835802330054499</c:v>
                </c:pt>
                <c:pt idx="6">
                  <c:v>3.8718250999600001</c:v>
                </c:pt>
                <c:pt idx="7">
                  <c:v>45.697413516339999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  <a:endParaRPr lang="en-US" sz="2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29-Sep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3871825099.96</c:v>
                </c:pt>
                <c:pt idx="1">
                  <c:v>22347298706.340004</c:v>
                </c:pt>
                <c:pt idx="2" formatCode="_(* #,##0.00_);_(* \(#,##0.00\);_(* &quot;-&quot;??_);_(@_)">
                  <c:v>39835802330.054489</c:v>
                </c:pt>
                <c:pt idx="3">
                  <c:v>45697413516.340004</c:v>
                </c:pt>
                <c:pt idx="4">
                  <c:v>92953013524.979996</c:v>
                </c:pt>
                <c:pt idx="5">
                  <c:v>300146733726.06244</c:v>
                </c:pt>
                <c:pt idx="6">
                  <c:v>580580020013.89868</c:v>
                </c:pt>
                <c:pt idx="7">
                  <c:v>852624898169.64954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/>
              <a:t>MOVEMENT IN TOTAL NAV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'NAV Movement'!$B$2:$I$2</c:f>
              <c:numCache>
                <c:formatCode>d\-mmm</c:formatCode>
                <c:ptCount val="8"/>
                <c:pt idx="0">
                  <c:v>45149</c:v>
                </c:pt>
                <c:pt idx="1">
                  <c:v>45156</c:v>
                </c:pt>
                <c:pt idx="2">
                  <c:v>45163</c:v>
                </c:pt>
                <c:pt idx="3">
                  <c:v>45170</c:v>
                </c:pt>
                <c:pt idx="4">
                  <c:v>45177</c:v>
                </c:pt>
                <c:pt idx="5">
                  <c:v>45184</c:v>
                </c:pt>
                <c:pt idx="6">
                  <c:v>45191</c:v>
                </c:pt>
                <c:pt idx="7">
                  <c:v>45198</c:v>
                </c:pt>
              </c:numCache>
            </c:numRef>
          </c:cat>
          <c:val>
            <c:numRef>
              <c:f>'NAV Movement'!$B$3:$I$3</c:f>
              <c:numCache>
                <c:formatCode>_(* #,##0.00_);_(* \(#,##0.00\);_(* "-"??_);_(@_)</c:formatCode>
                <c:ptCount val="8"/>
                <c:pt idx="0">
                  <c:v>1918875626264.7451</c:v>
                </c:pt>
                <c:pt idx="1">
                  <c:v>1917546500429.8425</c:v>
                </c:pt>
                <c:pt idx="2">
                  <c:v>1943407345708.8286</c:v>
                </c:pt>
                <c:pt idx="3">
                  <c:v>1922810043593.2705</c:v>
                </c:pt>
                <c:pt idx="4">
                  <c:v>1905565030169.3159</c:v>
                </c:pt>
                <c:pt idx="5">
                  <c:v>1930034404358.7712</c:v>
                </c:pt>
                <c:pt idx="6">
                  <c:v>1927585637735.8486</c:v>
                </c:pt>
                <c:pt idx="7">
                  <c:v>1938057005087.2852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320040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10</xdr:col>
      <xdr:colOff>257175</xdr:colOff>
      <xdr:row>21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7.140625" customWidth="1"/>
    <col min="2" max="2" width="39.140625" customWidth="1"/>
    <col min="3" max="3" width="36.140625" customWidth="1"/>
    <col min="4" max="4" width="21" customWidth="1"/>
    <col min="11" max="11" width="19.28515625" customWidth="1"/>
    <col min="13" max="13" width="10.28515625" customWidth="1"/>
    <col min="14" max="14" width="10.140625" customWidth="1"/>
    <col min="15" max="15" width="10" customWidth="1"/>
    <col min="23" max="23" width="11.5703125" bestFit="1" customWidth="1"/>
    <col min="26" max="26" width="17.28515625" customWidth="1"/>
  </cols>
  <sheetData>
    <row r="1" spans="1:21" ht="26.25" x14ac:dyDescent="0.45">
      <c r="A1" s="125" t="s">
        <v>242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8"/>
    </row>
    <row r="2" spans="1:21" ht="24" customHeight="1" x14ac:dyDescent="0.25">
      <c r="A2" s="1"/>
      <c r="B2" s="1"/>
      <c r="C2" s="1"/>
      <c r="D2" s="132" t="s">
        <v>0</v>
      </c>
      <c r="E2" s="133"/>
      <c r="F2" s="133"/>
      <c r="G2" s="133"/>
      <c r="H2" s="133"/>
      <c r="I2" s="133"/>
      <c r="J2" s="133"/>
      <c r="K2" s="129" t="s">
        <v>234</v>
      </c>
      <c r="L2" s="129"/>
      <c r="M2" s="129"/>
      <c r="N2" s="129"/>
      <c r="O2" s="129"/>
      <c r="P2" s="129"/>
      <c r="Q2" s="129"/>
      <c r="R2" s="129" t="s">
        <v>1</v>
      </c>
      <c r="S2" s="129"/>
      <c r="T2" s="129" t="s">
        <v>2</v>
      </c>
      <c r="U2" s="129"/>
    </row>
    <row r="3" spans="1:21" ht="25.5" x14ac:dyDescent="0.25">
      <c r="A3" s="121" t="s">
        <v>3</v>
      </c>
      <c r="B3" s="85" t="s">
        <v>4</v>
      </c>
      <c r="C3" s="85" t="s">
        <v>5</v>
      </c>
      <c r="D3" s="86" t="s">
        <v>6</v>
      </c>
      <c r="E3" s="87" t="s">
        <v>7</v>
      </c>
      <c r="F3" s="87" t="s">
        <v>8</v>
      </c>
      <c r="G3" s="87" t="s">
        <v>9</v>
      </c>
      <c r="H3" s="87" t="s">
        <v>235</v>
      </c>
      <c r="I3" s="87" t="s">
        <v>10</v>
      </c>
      <c r="J3" s="87" t="s">
        <v>11</v>
      </c>
      <c r="K3" s="88" t="s">
        <v>6</v>
      </c>
      <c r="L3" s="87" t="s">
        <v>7</v>
      </c>
      <c r="M3" s="87" t="s">
        <v>8</v>
      </c>
      <c r="N3" s="87" t="s">
        <v>9</v>
      </c>
      <c r="O3" s="87" t="s">
        <v>235</v>
      </c>
      <c r="P3" s="87" t="s">
        <v>10</v>
      </c>
      <c r="Q3" s="87" t="s">
        <v>11</v>
      </c>
      <c r="R3" s="89" t="s">
        <v>12</v>
      </c>
      <c r="S3" s="90" t="s">
        <v>13</v>
      </c>
      <c r="T3" s="87" t="s">
        <v>14</v>
      </c>
      <c r="U3" s="87" t="s">
        <v>15</v>
      </c>
    </row>
    <row r="4" spans="1:21" ht="8.2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</row>
    <row r="5" spans="1:21" ht="15" customHeight="1" x14ac:dyDescent="0.25">
      <c r="A5" s="131" t="s">
        <v>16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21" x14ac:dyDescent="0.25">
      <c r="A6" s="84">
        <v>1</v>
      </c>
      <c r="B6" s="65" t="s">
        <v>17</v>
      </c>
      <c r="C6" s="66" t="s">
        <v>18</v>
      </c>
      <c r="D6" s="2">
        <v>682126439.33000004</v>
      </c>
      <c r="E6" s="3">
        <f t="shared" ref="E6:E21" si="0">(D6/$D$22)</f>
        <v>3.0159445319751628E-2</v>
      </c>
      <c r="F6" s="4">
        <v>272.71859999999998</v>
      </c>
      <c r="G6" s="4">
        <v>276.96660000000003</v>
      </c>
      <c r="H6" s="63">
        <v>0</v>
      </c>
      <c r="I6" s="5">
        <v>-6.7348158966851202E-4</v>
      </c>
      <c r="J6" s="5">
        <v>0.44669955856554577</v>
      </c>
      <c r="K6" s="2">
        <v>679549287.59000003</v>
      </c>
      <c r="L6" s="3">
        <f>(K6/$K$22)</f>
        <v>3.0408565103092734E-2</v>
      </c>
      <c r="M6" s="4">
        <v>270.8023</v>
      </c>
      <c r="N6" s="4">
        <v>274.45769999999999</v>
      </c>
      <c r="O6" s="63">
        <v>1790</v>
      </c>
      <c r="P6" s="5">
        <v>-7.0000000000000001E-3</v>
      </c>
      <c r="Q6" s="5">
        <v>0.4365</v>
      </c>
      <c r="R6" s="91">
        <f>((K6-D6)/D6)</f>
        <v>-3.7781144248437959E-3</v>
      </c>
      <c r="S6" s="91">
        <f t="shared" ref="S6:S21" si="1">((N6-G6)/G6)</f>
        <v>-9.0584929735211366E-3</v>
      </c>
      <c r="T6" s="92">
        <f t="shared" ref="T6:U11" si="2">P6-I6</f>
        <v>-6.3265184103314881E-3</v>
      </c>
      <c r="U6" s="93">
        <f t="shared" si="2"/>
        <v>-1.0199558565545774E-2</v>
      </c>
    </row>
    <row r="7" spans="1:21" x14ac:dyDescent="0.25">
      <c r="A7" s="84">
        <v>2</v>
      </c>
      <c r="B7" s="65" t="s">
        <v>19</v>
      </c>
      <c r="C7" s="66" t="s">
        <v>20</v>
      </c>
      <c r="D7" s="4">
        <v>500203459.44</v>
      </c>
      <c r="E7" s="3">
        <f t="shared" si="0"/>
        <v>2.211592750832082E-2</v>
      </c>
      <c r="F7" s="4">
        <v>182.97190000000001</v>
      </c>
      <c r="G7" s="4">
        <v>185.44909999999999</v>
      </c>
      <c r="H7" s="63">
        <v>0</v>
      </c>
      <c r="I7" s="5">
        <v>-9.9799999999999993E-3</v>
      </c>
      <c r="J7" s="5">
        <v>0.26229999999999998</v>
      </c>
      <c r="K7" s="4">
        <v>497569770.35000002</v>
      </c>
      <c r="L7" s="3">
        <f t="shared" ref="L7:L21" si="3">(K7/$K$22)</f>
        <v>2.226532060489431E-2</v>
      </c>
      <c r="M7" s="4">
        <v>182.4657</v>
      </c>
      <c r="N7" s="4">
        <v>184.923</v>
      </c>
      <c r="O7" s="63">
        <v>362</v>
      </c>
      <c r="P7" s="5">
        <v>8.4159999999999999E-3</v>
      </c>
      <c r="Q7" s="5">
        <v>0.25879999999999997</v>
      </c>
      <c r="R7" s="92">
        <v>5.6480000000000002E-3</v>
      </c>
      <c r="S7" s="92">
        <f t="shared" si="1"/>
        <v>-2.8368970245743193E-3</v>
      </c>
      <c r="T7" s="92">
        <f t="shared" si="2"/>
        <v>1.8395999999999999E-2</v>
      </c>
      <c r="U7" s="93">
        <f t="shared" si="2"/>
        <v>-3.5000000000000031E-3</v>
      </c>
    </row>
    <row r="8" spans="1:21" x14ac:dyDescent="0.25">
      <c r="A8" s="84">
        <v>3</v>
      </c>
      <c r="B8" s="65" t="s">
        <v>21</v>
      </c>
      <c r="C8" s="66" t="s">
        <v>22</v>
      </c>
      <c r="D8" s="4">
        <v>3263035357.75</v>
      </c>
      <c r="E8" s="3">
        <f t="shared" si="0"/>
        <v>0.14427140010162801</v>
      </c>
      <c r="F8" s="4">
        <v>29.2943</v>
      </c>
      <c r="G8" s="4">
        <v>30.177499999999998</v>
      </c>
      <c r="H8" s="63">
        <v>0</v>
      </c>
      <c r="I8" s="6">
        <v>-0.10349999999999999</v>
      </c>
      <c r="J8" s="6">
        <v>0.44309999999999999</v>
      </c>
      <c r="K8" s="4">
        <v>3232077153.3400002</v>
      </c>
      <c r="L8" s="3">
        <f t="shared" si="3"/>
        <v>0.14462943355310542</v>
      </c>
      <c r="M8" s="4">
        <v>29.007899999999999</v>
      </c>
      <c r="N8" s="4">
        <v>29.8825</v>
      </c>
      <c r="O8" s="67">
        <v>0</v>
      </c>
      <c r="P8" s="6">
        <v>-0.50970000000000004</v>
      </c>
      <c r="Q8" s="6">
        <v>0.41439999999999999</v>
      </c>
      <c r="R8" s="92">
        <f t="shared" ref="R8:R22" si="4">((K8-D8)/D8)</f>
        <v>-9.4875479471809437E-3</v>
      </c>
      <c r="S8" s="92">
        <f t="shared" si="1"/>
        <v>-9.7754949879876787E-3</v>
      </c>
      <c r="T8" s="92">
        <f t="shared" si="2"/>
        <v>-0.40620000000000006</v>
      </c>
      <c r="U8" s="93">
        <f t="shared" si="2"/>
        <v>-2.8700000000000003E-2</v>
      </c>
    </row>
    <row r="9" spans="1:21" x14ac:dyDescent="0.25">
      <c r="A9" s="84">
        <v>4</v>
      </c>
      <c r="B9" s="65" t="s">
        <v>23</v>
      </c>
      <c r="C9" s="66" t="s">
        <v>24</v>
      </c>
      <c r="D9" s="4">
        <v>407475617.75999999</v>
      </c>
      <c r="E9" s="3">
        <f t="shared" si="0"/>
        <v>1.8016071367993745E-2</v>
      </c>
      <c r="F9" s="4">
        <v>183.85</v>
      </c>
      <c r="G9" s="4">
        <v>183.85</v>
      </c>
      <c r="H9" s="63">
        <v>0</v>
      </c>
      <c r="I9" s="5">
        <v>1.3899999999999999E-2</v>
      </c>
      <c r="J9" s="5">
        <v>0.3463</v>
      </c>
      <c r="K9" s="4">
        <v>404477133.60000002</v>
      </c>
      <c r="L9" s="3">
        <f t="shared" si="3"/>
        <v>1.8099598475642541E-2</v>
      </c>
      <c r="M9" s="4">
        <v>179.95</v>
      </c>
      <c r="N9" s="4">
        <v>179.95</v>
      </c>
      <c r="O9" s="63">
        <v>1630</v>
      </c>
      <c r="P9" s="5">
        <v>-2.12E-2</v>
      </c>
      <c r="Q9" s="5">
        <v>0.31780000000000003</v>
      </c>
      <c r="R9" s="92">
        <f t="shared" si="4"/>
        <v>-7.3586836348231537E-3</v>
      </c>
      <c r="S9" s="92">
        <f t="shared" si="1"/>
        <v>-2.1212945335871668E-2</v>
      </c>
      <c r="T9" s="92">
        <f t="shared" si="2"/>
        <v>-3.5099999999999999E-2</v>
      </c>
      <c r="U9" s="93">
        <f t="shared" si="2"/>
        <v>-2.849999999999997E-2</v>
      </c>
    </row>
    <row r="10" spans="1:21" x14ac:dyDescent="0.25">
      <c r="A10" s="84">
        <v>5</v>
      </c>
      <c r="B10" s="65" t="s">
        <v>25</v>
      </c>
      <c r="C10" s="66" t="s">
        <v>26</v>
      </c>
      <c r="D10" s="7">
        <v>123852080.36</v>
      </c>
      <c r="E10" s="3">
        <f t="shared" si="0"/>
        <v>5.4759789827584027E-3</v>
      </c>
      <c r="F10" s="4">
        <v>129.50139999999999</v>
      </c>
      <c r="G10" s="4">
        <v>129.8289</v>
      </c>
      <c r="H10" s="63">
        <v>0</v>
      </c>
      <c r="I10" s="5">
        <v>0.17902999999999999</v>
      </c>
      <c r="J10" s="5">
        <v>0.2326</v>
      </c>
      <c r="K10" s="7">
        <v>122610873.79000001</v>
      </c>
      <c r="L10" s="3">
        <f t="shared" si="3"/>
        <v>5.4866082653298445E-3</v>
      </c>
      <c r="M10" s="4">
        <v>127.9221</v>
      </c>
      <c r="N10" s="4">
        <v>128.51669999999999</v>
      </c>
      <c r="O10" s="67">
        <v>48</v>
      </c>
      <c r="P10" s="6">
        <v>-2.4840000000000001E-3</v>
      </c>
      <c r="Q10" s="6">
        <v>0.2175</v>
      </c>
      <c r="R10" s="92">
        <f t="shared" si="4"/>
        <v>-1.0021685274822887E-2</v>
      </c>
      <c r="S10" s="92">
        <f t="shared" si="1"/>
        <v>-1.0107148716503171E-2</v>
      </c>
      <c r="T10" s="92">
        <f t="shared" si="2"/>
        <v>-0.18151400000000001</v>
      </c>
      <c r="U10" s="93">
        <f t="shared" si="2"/>
        <v>-1.5100000000000002E-2</v>
      </c>
    </row>
    <row r="11" spans="1:21" x14ac:dyDescent="0.25">
      <c r="A11" s="84">
        <v>6</v>
      </c>
      <c r="B11" s="65" t="s">
        <v>27</v>
      </c>
      <c r="C11" s="66" t="s">
        <v>28</v>
      </c>
      <c r="D11" s="4">
        <v>687699632.98000002</v>
      </c>
      <c r="E11" s="3">
        <f t="shared" si="0"/>
        <v>3.0405857743390649E-2</v>
      </c>
      <c r="F11" s="4">
        <v>250.48</v>
      </c>
      <c r="G11" s="4">
        <v>253.86</v>
      </c>
      <c r="H11" s="63">
        <v>0</v>
      </c>
      <c r="I11" s="6">
        <v>2.0000000000000001E-4</v>
      </c>
      <c r="J11" s="6">
        <v>0.51249999999999996</v>
      </c>
      <c r="K11" s="4">
        <v>680244424.25</v>
      </c>
      <c r="L11" s="3">
        <f t="shared" si="3"/>
        <v>3.0439671174082993E-2</v>
      </c>
      <c r="M11" s="4">
        <v>247.98</v>
      </c>
      <c r="N11" s="4">
        <v>251.31</v>
      </c>
      <c r="O11" s="67">
        <v>1553</v>
      </c>
      <c r="P11" s="6">
        <v>-0.01</v>
      </c>
      <c r="Q11" s="6">
        <v>0.49740000000000001</v>
      </c>
      <c r="R11" s="92">
        <f t="shared" si="4"/>
        <v>-1.0840792073269632E-2</v>
      </c>
      <c r="S11" s="92">
        <f t="shared" si="1"/>
        <v>-1.0044906641455964E-2</v>
      </c>
      <c r="T11" s="92">
        <f t="shared" si="2"/>
        <v>-1.0200000000000001E-2</v>
      </c>
      <c r="U11" s="93">
        <f t="shared" si="2"/>
        <v>-1.5099999999999947E-2</v>
      </c>
    </row>
    <row r="12" spans="1:21" x14ac:dyDescent="0.25">
      <c r="A12" s="84">
        <v>7</v>
      </c>
      <c r="B12" s="65" t="s">
        <v>29</v>
      </c>
      <c r="C12" s="66" t="s">
        <v>30</v>
      </c>
      <c r="D12" s="2">
        <v>320982722.70999998</v>
      </c>
      <c r="E12" s="3">
        <f t="shared" si="0"/>
        <v>1.4191886307274363E-2</v>
      </c>
      <c r="F12" s="4">
        <v>161.46</v>
      </c>
      <c r="G12" s="4">
        <v>165.68</v>
      </c>
      <c r="H12" s="63">
        <v>0</v>
      </c>
      <c r="I12" s="5">
        <v>1.349E-2</v>
      </c>
      <c r="J12" s="5">
        <v>0.28438000000000002</v>
      </c>
      <c r="K12" s="2">
        <v>315717889.75</v>
      </c>
      <c r="L12" s="3">
        <f t="shared" si="3"/>
        <v>1.4127787608639687E-2</v>
      </c>
      <c r="M12" s="4">
        <v>158.81</v>
      </c>
      <c r="N12" s="4">
        <v>162.91</v>
      </c>
      <c r="O12" s="63">
        <v>0</v>
      </c>
      <c r="P12" s="5">
        <v>-1.6400000000000001E-2</v>
      </c>
      <c r="Q12" s="5">
        <v>0.26329999999999998</v>
      </c>
      <c r="R12" s="92">
        <f t="shared" si="4"/>
        <v>-1.64022316078259E-2</v>
      </c>
      <c r="S12" s="92">
        <f t="shared" si="1"/>
        <v>-1.6718976339932461E-2</v>
      </c>
      <c r="T12" s="92">
        <v>0</v>
      </c>
      <c r="U12" s="93">
        <f t="shared" ref="U12:U22" si="5">Q12-J12</f>
        <v>-2.1080000000000043E-2</v>
      </c>
    </row>
    <row r="13" spans="1:21" x14ac:dyDescent="0.25">
      <c r="A13" s="84">
        <v>8</v>
      </c>
      <c r="B13" s="65" t="s">
        <v>31</v>
      </c>
      <c r="C13" s="66" t="s">
        <v>32</v>
      </c>
      <c r="D13" s="7">
        <v>35868987.869999997</v>
      </c>
      <c r="E13" s="3">
        <f t="shared" si="0"/>
        <v>1.5859065357482062E-3</v>
      </c>
      <c r="F13" s="4">
        <v>139.03</v>
      </c>
      <c r="G13" s="4">
        <v>144.11000000000001</v>
      </c>
      <c r="H13" s="63">
        <v>0</v>
      </c>
      <c r="I13" s="5">
        <v>-1.1900000000000001E-2</v>
      </c>
      <c r="J13" s="5">
        <v>0.43</v>
      </c>
      <c r="K13" s="7">
        <v>34174907.740000002</v>
      </c>
      <c r="L13" s="3">
        <f t="shared" si="3"/>
        <v>1.5292634778405886E-3</v>
      </c>
      <c r="M13" s="4">
        <v>132.47999999999999</v>
      </c>
      <c r="N13" s="4">
        <v>137.29</v>
      </c>
      <c r="O13" s="63">
        <v>2</v>
      </c>
      <c r="P13" s="5">
        <v>-1.1900000000000001E-2</v>
      </c>
      <c r="Q13" s="5">
        <v>0.36709999999999998</v>
      </c>
      <c r="R13" s="92">
        <f t="shared" si="4"/>
        <v>-4.7229660790537253E-2</v>
      </c>
      <c r="S13" s="92">
        <f t="shared" si="1"/>
        <v>-4.7324960099923812E-2</v>
      </c>
      <c r="T13" s="92">
        <f t="shared" ref="T13:T22" si="6">P13-I13</f>
        <v>0</v>
      </c>
      <c r="U13" s="93">
        <f t="shared" si="5"/>
        <v>-6.2900000000000011E-2</v>
      </c>
    </row>
    <row r="14" spans="1:21" ht="12" customHeight="1" x14ac:dyDescent="0.25">
      <c r="A14" s="84">
        <v>9</v>
      </c>
      <c r="B14" s="65" t="s">
        <v>33</v>
      </c>
      <c r="C14" s="66" t="s">
        <v>34</v>
      </c>
      <c r="D14" s="2">
        <v>518532601.69999999</v>
      </c>
      <c r="E14" s="3">
        <f t="shared" si="0"/>
        <v>2.2926329703390973E-2</v>
      </c>
      <c r="F14" s="4">
        <v>1.67</v>
      </c>
      <c r="G14" s="4">
        <v>1.71</v>
      </c>
      <c r="H14" s="63">
        <v>0</v>
      </c>
      <c r="I14" s="5">
        <v>2.3599999999999999E-2</v>
      </c>
      <c r="J14" s="5">
        <v>0.34429999999999999</v>
      </c>
      <c r="K14" s="2">
        <v>514917259.23000002</v>
      </c>
      <c r="L14" s="3">
        <f t="shared" si="3"/>
        <v>2.3041588426251994E-2</v>
      </c>
      <c r="M14" s="4">
        <v>1.6526000000000001</v>
      </c>
      <c r="N14" s="4">
        <v>1.7037</v>
      </c>
      <c r="O14" s="63">
        <v>320</v>
      </c>
      <c r="P14" s="5">
        <v>-9.3513967150220534E-3</v>
      </c>
      <c r="Q14" s="5">
        <v>0.33177532436135082</v>
      </c>
      <c r="R14" s="92">
        <f t="shared" si="4"/>
        <v>-6.9722568227091842E-3</v>
      </c>
      <c r="S14" s="92">
        <f t="shared" si="1"/>
        <v>-3.6842105263157733E-3</v>
      </c>
      <c r="T14" s="92">
        <f t="shared" si="6"/>
        <v>-3.2951396715022049E-2</v>
      </c>
      <c r="U14" s="93">
        <f t="shared" si="5"/>
        <v>-1.2524675638649174E-2</v>
      </c>
    </row>
    <row r="15" spans="1:21" x14ac:dyDescent="0.25">
      <c r="A15" s="84">
        <v>10</v>
      </c>
      <c r="B15" s="65" t="s">
        <v>35</v>
      </c>
      <c r="C15" s="66" t="s">
        <v>36</v>
      </c>
      <c r="D15" s="2">
        <v>1300152875.5799999</v>
      </c>
      <c r="E15" s="3">
        <f t="shared" si="0"/>
        <v>5.748478184907721E-2</v>
      </c>
      <c r="F15" s="4">
        <v>2.6</v>
      </c>
      <c r="G15" s="4">
        <v>2.65</v>
      </c>
      <c r="H15" s="63">
        <v>0</v>
      </c>
      <c r="I15" s="5">
        <v>0.2213</v>
      </c>
      <c r="J15" s="5">
        <v>0.31309999999999999</v>
      </c>
      <c r="K15" s="2">
        <v>1261928926.47</v>
      </c>
      <c r="L15" s="3">
        <f t="shared" si="3"/>
        <v>5.6468969384294604E-2</v>
      </c>
      <c r="M15" s="4">
        <v>2.5388000000000002</v>
      </c>
      <c r="N15" s="4">
        <v>2.5916000000000001</v>
      </c>
      <c r="O15" s="63">
        <v>3674</v>
      </c>
      <c r="P15" s="5">
        <v>0.1938</v>
      </c>
      <c r="Q15" s="5">
        <v>0.28349999999999997</v>
      </c>
      <c r="R15" s="92">
        <f t="shared" si="4"/>
        <v>-2.9399580486216392E-2</v>
      </c>
      <c r="S15" s="92">
        <f t="shared" si="1"/>
        <v>-2.2037735849056522E-2</v>
      </c>
      <c r="T15" s="92">
        <f t="shared" si="6"/>
        <v>-2.7499999999999997E-2</v>
      </c>
      <c r="U15" s="93">
        <f t="shared" si="5"/>
        <v>-2.9600000000000015E-2</v>
      </c>
    </row>
    <row r="16" spans="1:21" x14ac:dyDescent="0.25">
      <c r="A16" s="84">
        <v>11</v>
      </c>
      <c r="B16" s="65" t="s">
        <v>37</v>
      </c>
      <c r="C16" s="66" t="s">
        <v>38</v>
      </c>
      <c r="D16" s="4">
        <v>427680140.57999998</v>
      </c>
      <c r="E16" s="3">
        <f t="shared" si="0"/>
        <v>1.8909391383268314E-2</v>
      </c>
      <c r="F16" s="4">
        <v>16.393802999999998</v>
      </c>
      <c r="G16" s="4">
        <v>16.494102000000002</v>
      </c>
      <c r="H16" s="63">
        <v>0</v>
      </c>
      <c r="I16" s="5">
        <v>3.8335458714300601E-2</v>
      </c>
      <c r="J16" s="5">
        <v>0.40649181679981899</v>
      </c>
      <c r="K16" s="4">
        <v>427053364.63</v>
      </c>
      <c r="L16" s="3">
        <f t="shared" si="3"/>
        <v>1.9109842770788379E-2</v>
      </c>
      <c r="M16" s="4">
        <v>16.174171999999999</v>
      </c>
      <c r="N16" s="4">
        <v>16.279575000000001</v>
      </c>
      <c r="O16" s="63">
        <v>238</v>
      </c>
      <c r="P16" s="5">
        <v>-1.3397196489429608E-2</v>
      </c>
      <c r="Q16" s="5">
        <v>0.38873208914189594</v>
      </c>
      <c r="R16" s="92">
        <f t="shared" si="4"/>
        <v>-1.4655250280033662E-3</v>
      </c>
      <c r="S16" s="92">
        <f t="shared" si="1"/>
        <v>-1.3006285519514814E-2</v>
      </c>
      <c r="T16" s="92">
        <f t="shared" si="6"/>
        <v>-5.1732655203730209E-2</v>
      </c>
      <c r="U16" s="93">
        <f t="shared" si="5"/>
        <v>-1.7759727657923052E-2</v>
      </c>
    </row>
    <row r="17" spans="1:21" x14ac:dyDescent="0.25">
      <c r="A17" s="84">
        <v>12</v>
      </c>
      <c r="B17" s="65" t="s">
        <v>39</v>
      </c>
      <c r="C17" s="66" t="s">
        <v>40</v>
      </c>
      <c r="D17" s="4">
        <v>347630849.52999997</v>
      </c>
      <c r="E17" s="3">
        <f t="shared" si="0"/>
        <v>1.5370102950644764E-2</v>
      </c>
      <c r="F17" s="4">
        <v>1.9278109999999999</v>
      </c>
      <c r="G17" s="4">
        <v>1.9507490000000001</v>
      </c>
      <c r="H17" s="63">
        <v>0</v>
      </c>
      <c r="I17" s="5">
        <v>1E-3</v>
      </c>
      <c r="J17" s="5">
        <v>0.35610000000000003</v>
      </c>
      <c r="K17" s="4">
        <v>324900830.47000003</v>
      </c>
      <c r="L17" s="3">
        <f t="shared" si="3"/>
        <v>1.4538707104578353E-2</v>
      </c>
      <c r="M17" s="4">
        <v>1.7992649999999999</v>
      </c>
      <c r="N17" s="4">
        <v>1.8228439999999999</v>
      </c>
      <c r="O17" s="63">
        <v>17</v>
      </c>
      <c r="P17" s="5">
        <v>7.3005939266213298E-4</v>
      </c>
      <c r="Q17" s="5">
        <v>0.26647167832167801</v>
      </c>
      <c r="R17" s="92">
        <f t="shared" si="4"/>
        <v>-6.5385506179129763E-2</v>
      </c>
      <c r="S17" s="92">
        <f t="shared" si="1"/>
        <v>-6.5567123192168827E-2</v>
      </c>
      <c r="T17" s="92">
        <f t="shared" si="6"/>
        <v>-2.6994060733786704E-4</v>
      </c>
      <c r="U17" s="93">
        <f t="shared" si="5"/>
        <v>-8.962832167832202E-2</v>
      </c>
    </row>
    <row r="18" spans="1:21" x14ac:dyDescent="0.25">
      <c r="A18" s="84">
        <v>13</v>
      </c>
      <c r="B18" s="65" t="s">
        <v>41</v>
      </c>
      <c r="C18" s="66" t="s">
        <v>42</v>
      </c>
      <c r="D18" s="2">
        <v>1012383543.1900001</v>
      </c>
      <c r="E18" s="3">
        <f t="shared" si="0"/>
        <v>4.4761387849802957E-2</v>
      </c>
      <c r="F18" s="4">
        <v>24.27</v>
      </c>
      <c r="G18" s="4">
        <v>24.27</v>
      </c>
      <c r="H18" s="63">
        <v>0</v>
      </c>
      <c r="I18" s="5">
        <v>8.0000000000000004E-4</v>
      </c>
      <c r="J18" s="5">
        <v>0.40579999999999999</v>
      </c>
      <c r="K18" s="2">
        <v>991628395.82000005</v>
      </c>
      <c r="L18" s="3">
        <f t="shared" si="3"/>
        <v>4.4373524015171986E-2</v>
      </c>
      <c r="M18" s="4">
        <v>23.79</v>
      </c>
      <c r="N18" s="4">
        <v>24.27</v>
      </c>
      <c r="O18" s="63">
        <v>8863</v>
      </c>
      <c r="P18" s="5">
        <v>-1.03E-2</v>
      </c>
      <c r="Q18" s="5">
        <v>0.38850000000000001</v>
      </c>
      <c r="R18" s="92">
        <f t="shared" si="4"/>
        <v>-2.0501269019645416E-2</v>
      </c>
      <c r="S18" s="92">
        <f t="shared" si="1"/>
        <v>0</v>
      </c>
      <c r="T18" s="92">
        <f t="shared" si="6"/>
        <v>-1.11E-2</v>
      </c>
      <c r="U18" s="93">
        <f t="shared" si="5"/>
        <v>-1.7299999999999982E-2</v>
      </c>
    </row>
    <row r="19" spans="1:21" ht="12.75" customHeight="1" x14ac:dyDescent="0.25">
      <c r="A19" s="84">
        <v>14</v>
      </c>
      <c r="B19" s="65" t="s">
        <v>43</v>
      </c>
      <c r="C19" s="66" t="s">
        <v>44</v>
      </c>
      <c r="D19" s="2">
        <v>501034542.52999997</v>
      </c>
      <c r="E19" s="3">
        <f t="shared" si="0"/>
        <v>2.2152672902669771E-2</v>
      </c>
      <c r="F19" s="4">
        <v>4889.7</v>
      </c>
      <c r="G19" s="4">
        <v>4950.68</v>
      </c>
      <c r="H19" s="63">
        <v>0</v>
      </c>
      <c r="I19" s="5">
        <v>-7.1999999999999998E-3</v>
      </c>
      <c r="J19" s="5">
        <v>0.51200000000000001</v>
      </c>
      <c r="K19" s="2">
        <v>496730926.04000002</v>
      </c>
      <c r="L19" s="3">
        <f t="shared" si="3"/>
        <v>2.2227783884191596E-2</v>
      </c>
      <c r="M19" s="4">
        <v>4847.87</v>
      </c>
      <c r="N19" s="4">
        <v>4908.04</v>
      </c>
      <c r="O19" s="63">
        <v>1136</v>
      </c>
      <c r="P19" s="5">
        <v>-8.6999999999999994E-3</v>
      </c>
      <c r="Q19" s="5">
        <v>0.49890000000000001</v>
      </c>
      <c r="R19" s="92">
        <f t="shared" si="4"/>
        <v>-8.5894606552845924E-3</v>
      </c>
      <c r="S19" s="92">
        <f t="shared" si="1"/>
        <v>-8.6129582198809715E-3</v>
      </c>
      <c r="T19" s="92">
        <f t="shared" si="6"/>
        <v>-1.4999999999999996E-3</v>
      </c>
      <c r="U19" s="93">
        <f t="shared" si="5"/>
        <v>-1.3100000000000001E-2</v>
      </c>
    </row>
    <row r="20" spans="1:21" x14ac:dyDescent="0.25">
      <c r="A20" s="84">
        <v>15</v>
      </c>
      <c r="B20" s="65" t="s">
        <v>45</v>
      </c>
      <c r="C20" s="66" t="s">
        <v>44</v>
      </c>
      <c r="D20" s="2">
        <v>9947556245.6700001</v>
      </c>
      <c r="E20" s="3">
        <f t="shared" si="0"/>
        <v>0.43981989460944731</v>
      </c>
      <c r="F20" s="4">
        <v>16963.13</v>
      </c>
      <c r="G20" s="4">
        <v>17167.810000000001</v>
      </c>
      <c r="H20" s="63">
        <v>0</v>
      </c>
      <c r="I20" s="5">
        <v>4.1999999999999997E-3</v>
      </c>
      <c r="J20" s="5">
        <v>0.3876</v>
      </c>
      <c r="K20" s="4">
        <v>9869848772.1200008</v>
      </c>
      <c r="L20" s="3">
        <f t="shared" si="3"/>
        <v>0.44165735205033491</v>
      </c>
      <c r="M20" s="4">
        <v>16844.89</v>
      </c>
      <c r="N20" s="4">
        <v>17052.39</v>
      </c>
      <c r="O20" s="63">
        <v>29700</v>
      </c>
      <c r="P20" s="5">
        <v>4.1999999999999997E-3</v>
      </c>
      <c r="Q20" s="5">
        <v>0.37830000000000003</v>
      </c>
      <c r="R20" s="92">
        <f t="shared" si="4"/>
        <v>-7.8117149208202733E-3</v>
      </c>
      <c r="S20" s="92">
        <f t="shared" si="1"/>
        <v>-6.7230473776213676E-3</v>
      </c>
      <c r="T20" s="92">
        <f t="shared" si="6"/>
        <v>0</v>
      </c>
      <c r="U20" s="93">
        <f t="shared" si="5"/>
        <v>-9.299999999999975E-3</v>
      </c>
    </row>
    <row r="21" spans="1:21" x14ac:dyDescent="0.25">
      <c r="A21" s="84">
        <v>16</v>
      </c>
      <c r="B21" s="66" t="s">
        <v>46</v>
      </c>
      <c r="C21" s="66" t="s">
        <v>47</v>
      </c>
      <c r="D21" s="4">
        <v>2541125245.2600002</v>
      </c>
      <c r="E21" s="3">
        <f t="shared" si="0"/>
        <v>0.11235296488483265</v>
      </c>
      <c r="F21" s="4">
        <v>1.2573000000000001</v>
      </c>
      <c r="G21" s="8">
        <v>1.2712000000000001</v>
      </c>
      <c r="H21" s="63">
        <v>0</v>
      </c>
      <c r="I21" s="5">
        <v>7.4000000000000003E-3</v>
      </c>
      <c r="J21" s="5">
        <v>0.37709999999999999</v>
      </c>
      <c r="K21" s="4">
        <v>2493868791.1500001</v>
      </c>
      <c r="L21" s="3">
        <f t="shared" si="3"/>
        <v>0.11159598410175997</v>
      </c>
      <c r="M21" s="4">
        <v>1.234</v>
      </c>
      <c r="N21" s="8">
        <v>1.2459</v>
      </c>
      <c r="O21" s="63">
        <v>3394</v>
      </c>
      <c r="P21" s="5">
        <v>-1.8499999999999999E-2</v>
      </c>
      <c r="Q21" s="5">
        <v>0.35260000000000002</v>
      </c>
      <c r="R21" s="92">
        <f t="shared" si="4"/>
        <v>-1.8596664685516118E-2</v>
      </c>
      <c r="S21" s="92">
        <f t="shared" si="1"/>
        <v>-1.9902454373820089E-2</v>
      </c>
      <c r="T21" s="92">
        <f t="shared" si="6"/>
        <v>-2.5899999999999999E-2</v>
      </c>
      <c r="U21" s="93">
        <f t="shared" si="5"/>
        <v>-2.4499999999999966E-2</v>
      </c>
    </row>
    <row r="22" spans="1:21" x14ac:dyDescent="0.25">
      <c r="A22" s="84"/>
      <c r="B22" s="19"/>
      <c r="C22" s="80" t="s">
        <v>48</v>
      </c>
      <c r="D22" s="61">
        <f>SUM(D6:D21)</f>
        <v>22617340342.240005</v>
      </c>
      <c r="E22" s="122">
        <f>(D22/$D$170)</f>
        <v>1.1733507398823765E-2</v>
      </c>
      <c r="F22" s="31"/>
      <c r="G22" s="32"/>
      <c r="H22" s="63">
        <v>0</v>
      </c>
      <c r="I22" s="29"/>
      <c r="J22" s="29"/>
      <c r="K22" s="61">
        <f>SUM(K6:K21)</f>
        <v>22347298706.340004</v>
      </c>
      <c r="L22" s="122">
        <f>(K22/$K$170)</f>
        <v>1.1530774712859149E-2</v>
      </c>
      <c r="M22" s="31"/>
      <c r="N22" s="32"/>
      <c r="O22" s="72">
        <f>SUM(O6:O21)</f>
        <v>52727</v>
      </c>
      <c r="P22" s="29"/>
      <c r="Q22" s="29"/>
      <c r="R22" s="92">
        <f t="shared" si="4"/>
        <v>-1.1939584045418171E-2</v>
      </c>
      <c r="S22" s="92"/>
      <c r="T22" s="92">
        <f t="shared" si="6"/>
        <v>0</v>
      </c>
      <c r="U22" s="93">
        <f t="shared" si="5"/>
        <v>0</v>
      </c>
    </row>
    <row r="23" spans="1:21" ht="9" customHeight="1" x14ac:dyDescent="0.2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</row>
    <row r="24" spans="1:21" ht="15" customHeight="1" x14ac:dyDescent="0.25">
      <c r="A24" s="131" t="s">
        <v>49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</row>
    <row r="25" spans="1:21" x14ac:dyDescent="0.25">
      <c r="A25" s="84">
        <v>17</v>
      </c>
      <c r="B25" s="65" t="s">
        <v>50</v>
      </c>
      <c r="C25" s="66" t="s">
        <v>18</v>
      </c>
      <c r="D25" s="9">
        <v>792650215.75</v>
      </c>
      <c r="E25" s="3">
        <f>(D25/$D$54)</f>
        <v>9.3288353094948199E-4</v>
      </c>
      <c r="F25" s="8">
        <v>100</v>
      </c>
      <c r="G25" s="8">
        <v>100</v>
      </c>
      <c r="H25" s="5"/>
      <c r="I25" s="5">
        <v>0.1048</v>
      </c>
      <c r="J25" s="5">
        <v>0.1048</v>
      </c>
      <c r="K25" s="9">
        <v>825514511.78999996</v>
      </c>
      <c r="L25" s="3">
        <f t="shared" ref="L25:L53" si="7">(K25/$K$54)</f>
        <v>9.6820361868642582E-4</v>
      </c>
      <c r="M25" s="8">
        <v>100</v>
      </c>
      <c r="N25" s="8">
        <v>100</v>
      </c>
      <c r="O25" s="63">
        <v>947</v>
      </c>
      <c r="P25" s="5">
        <v>0.10539999999999999</v>
      </c>
      <c r="Q25" s="5">
        <v>0.10539999999999999</v>
      </c>
      <c r="R25" s="91">
        <f t="shared" ref="R25:R54" si="8">((K25-D25)/D25)</f>
        <v>4.146128441900946E-2</v>
      </c>
      <c r="S25" s="91">
        <f t="shared" ref="S25:S53" si="9">((N25-G25)/G25)</f>
        <v>0</v>
      </c>
      <c r="T25" s="92">
        <f t="shared" ref="T25:T54" si="10">P25-I25</f>
        <v>5.9999999999998943E-4</v>
      </c>
      <c r="U25" s="93">
        <f t="shared" ref="U25:U54" si="11">Q25-J25</f>
        <v>5.9999999999998943E-4</v>
      </c>
    </row>
    <row r="26" spans="1:21" x14ac:dyDescent="0.25">
      <c r="A26" s="84">
        <v>18</v>
      </c>
      <c r="B26" s="65" t="s">
        <v>51</v>
      </c>
      <c r="C26" s="66" t="s">
        <v>52</v>
      </c>
      <c r="D26" s="9">
        <v>3683946875.2199998</v>
      </c>
      <c r="E26" s="3">
        <f t="shared" ref="E26:E53" si="12">(D26/$D$54)</f>
        <v>4.335699783458419E-3</v>
      </c>
      <c r="F26" s="8">
        <v>100</v>
      </c>
      <c r="G26" s="8">
        <v>100</v>
      </c>
      <c r="H26" s="5"/>
      <c r="I26" s="5">
        <v>0.116385</v>
      </c>
      <c r="J26" s="5">
        <v>0.116385</v>
      </c>
      <c r="K26" s="9">
        <v>3693312357.5799999</v>
      </c>
      <c r="L26" s="3">
        <f t="shared" si="7"/>
        <v>4.3316965825282872E-3</v>
      </c>
      <c r="M26" s="8">
        <v>100</v>
      </c>
      <c r="N26" s="8">
        <v>100</v>
      </c>
      <c r="O26" s="63">
        <v>1058</v>
      </c>
      <c r="P26" s="5">
        <v>0.1166</v>
      </c>
      <c r="Q26" s="5">
        <v>0.1166</v>
      </c>
      <c r="R26" s="92">
        <f t="shared" si="8"/>
        <v>2.5422414267146131E-3</v>
      </c>
      <c r="S26" s="92">
        <f t="shared" si="9"/>
        <v>0</v>
      </c>
      <c r="T26" s="92">
        <f t="shared" si="10"/>
        <v>2.1499999999999297E-4</v>
      </c>
      <c r="U26" s="93">
        <f t="shared" si="11"/>
        <v>2.1499999999999297E-4</v>
      </c>
    </row>
    <row r="27" spans="1:21" x14ac:dyDescent="0.25">
      <c r="A27" s="84">
        <v>19</v>
      </c>
      <c r="B27" s="65" t="s">
        <v>53</v>
      </c>
      <c r="C27" s="66" t="s">
        <v>20</v>
      </c>
      <c r="D27" s="9">
        <v>342215172.24000001</v>
      </c>
      <c r="E27" s="3">
        <f t="shared" si="12"/>
        <v>4.0275886119789573E-4</v>
      </c>
      <c r="F27" s="8">
        <v>100</v>
      </c>
      <c r="G27" s="8">
        <v>100</v>
      </c>
      <c r="H27" s="5"/>
      <c r="I27" s="5">
        <v>9.5200000000000007E-2</v>
      </c>
      <c r="J27" s="5">
        <v>9.5200000000000007E-2</v>
      </c>
      <c r="K27" s="9">
        <v>362340919.49000001</v>
      </c>
      <c r="L27" s="3">
        <f t="shared" si="7"/>
        <v>4.2497107493323969E-4</v>
      </c>
      <c r="M27" s="8">
        <v>100</v>
      </c>
      <c r="N27" s="8">
        <v>100</v>
      </c>
      <c r="O27" s="63">
        <v>1295</v>
      </c>
      <c r="P27" s="5">
        <v>9.3899999999999997E-2</v>
      </c>
      <c r="Q27" s="5">
        <v>9.3899999999999997E-2</v>
      </c>
      <c r="R27" s="92">
        <f t="shared" si="8"/>
        <v>5.8810213230071365E-2</v>
      </c>
      <c r="S27" s="92">
        <f t="shared" si="9"/>
        <v>0</v>
      </c>
      <c r="T27" s="92">
        <f t="shared" si="10"/>
        <v>-1.3000000000000095E-3</v>
      </c>
      <c r="U27" s="93">
        <f t="shared" si="11"/>
        <v>-1.3000000000000095E-3</v>
      </c>
    </row>
    <row r="28" spans="1:21" x14ac:dyDescent="0.25">
      <c r="A28" s="84">
        <v>20</v>
      </c>
      <c r="B28" s="65" t="s">
        <v>54</v>
      </c>
      <c r="C28" s="66" t="s">
        <v>22</v>
      </c>
      <c r="D28" s="9">
        <v>78568540017.229996</v>
      </c>
      <c r="E28" s="3">
        <f t="shared" si="12"/>
        <v>9.2468652094502626E-2</v>
      </c>
      <c r="F28" s="8">
        <v>1</v>
      </c>
      <c r="G28" s="8">
        <v>1</v>
      </c>
      <c r="H28" s="5"/>
      <c r="I28" s="5">
        <v>8.6499999999999994E-2</v>
      </c>
      <c r="J28" s="5">
        <v>8.6499999999999994E-2</v>
      </c>
      <c r="K28" s="9">
        <v>80071215065.25</v>
      </c>
      <c r="L28" s="3">
        <f t="shared" si="7"/>
        <v>9.3911420176845423E-2</v>
      </c>
      <c r="M28" s="8">
        <v>1</v>
      </c>
      <c r="N28" s="8">
        <v>1</v>
      </c>
      <c r="O28" s="63">
        <v>0</v>
      </c>
      <c r="P28" s="5">
        <v>8.9899999999999994E-2</v>
      </c>
      <c r="Q28" s="5">
        <v>8.9899999999999994E-2</v>
      </c>
      <c r="R28" s="92">
        <f t="shared" si="8"/>
        <v>1.9125658281170417E-2</v>
      </c>
      <c r="S28" s="92">
        <f t="shared" si="9"/>
        <v>0</v>
      </c>
      <c r="T28" s="92">
        <f t="shared" si="10"/>
        <v>3.4000000000000002E-3</v>
      </c>
      <c r="U28" s="93">
        <f t="shared" si="11"/>
        <v>3.4000000000000002E-3</v>
      </c>
    </row>
    <row r="29" spans="1:21" x14ac:dyDescent="0.25">
      <c r="A29" s="84">
        <v>21</v>
      </c>
      <c r="B29" s="65" t="s">
        <v>55</v>
      </c>
      <c r="C29" s="66" t="s">
        <v>24</v>
      </c>
      <c r="D29" s="9">
        <v>41317233755.529999</v>
      </c>
      <c r="E29" s="3">
        <f t="shared" si="12"/>
        <v>4.8626955684928107E-2</v>
      </c>
      <c r="F29" s="8">
        <v>1</v>
      </c>
      <c r="G29" s="8">
        <v>1</v>
      </c>
      <c r="H29" s="5"/>
      <c r="I29" s="5">
        <v>8.4500000000000006E-2</v>
      </c>
      <c r="J29" s="5">
        <v>8.4500000000000006E-2</v>
      </c>
      <c r="K29" s="9">
        <v>41423972888.860001</v>
      </c>
      <c r="L29" s="3">
        <f t="shared" si="7"/>
        <v>4.8584052586061986E-2</v>
      </c>
      <c r="M29" s="8">
        <v>1</v>
      </c>
      <c r="N29" s="8">
        <v>1</v>
      </c>
      <c r="O29" s="63">
        <v>24855</v>
      </c>
      <c r="P29" s="5">
        <v>9.3100000000000002E-2</v>
      </c>
      <c r="Q29" s="5">
        <v>9.3100000000000002E-2</v>
      </c>
      <c r="R29" s="92">
        <f t="shared" si="8"/>
        <v>2.5834046384026282E-3</v>
      </c>
      <c r="S29" s="92">
        <f t="shared" si="9"/>
        <v>0</v>
      </c>
      <c r="T29" s="92">
        <f t="shared" si="10"/>
        <v>8.5999999999999965E-3</v>
      </c>
      <c r="U29" s="93">
        <f t="shared" si="11"/>
        <v>8.5999999999999965E-3</v>
      </c>
    </row>
    <row r="30" spans="1:21" ht="15" customHeight="1" x14ac:dyDescent="0.25">
      <c r="A30" s="84">
        <v>22</v>
      </c>
      <c r="B30" s="65" t="s">
        <v>56</v>
      </c>
      <c r="C30" s="66" t="s">
        <v>42</v>
      </c>
      <c r="D30" s="9">
        <v>6714028324.8000002</v>
      </c>
      <c r="E30" s="3">
        <f t="shared" si="12"/>
        <v>7.9018542177622057E-3</v>
      </c>
      <c r="F30" s="8">
        <v>100</v>
      </c>
      <c r="G30" s="8">
        <v>100</v>
      </c>
      <c r="H30" s="5"/>
      <c r="I30" s="5">
        <v>9.1300000000000006E-2</v>
      </c>
      <c r="J30" s="5">
        <v>9.1300000000000006E-2</v>
      </c>
      <c r="K30" s="9">
        <v>6557020770.8800001</v>
      </c>
      <c r="L30" s="3">
        <f t="shared" si="7"/>
        <v>7.6903932608068503E-3</v>
      </c>
      <c r="M30" s="8">
        <v>100</v>
      </c>
      <c r="N30" s="8">
        <v>100</v>
      </c>
      <c r="O30" s="63">
        <v>2705</v>
      </c>
      <c r="P30" s="5">
        <v>9.4700000000000006E-2</v>
      </c>
      <c r="Q30" s="5">
        <v>9.4700000000000006E-2</v>
      </c>
      <c r="R30" s="92">
        <f t="shared" si="8"/>
        <v>-2.338500023004849E-2</v>
      </c>
      <c r="S30" s="92">
        <f t="shared" si="9"/>
        <v>0</v>
      </c>
      <c r="T30" s="92">
        <f t="shared" si="10"/>
        <v>3.4000000000000002E-3</v>
      </c>
      <c r="U30" s="93">
        <f t="shared" si="11"/>
        <v>3.4000000000000002E-3</v>
      </c>
    </row>
    <row r="31" spans="1:21" x14ac:dyDescent="0.25">
      <c r="A31" s="84">
        <v>23</v>
      </c>
      <c r="B31" s="65" t="s">
        <v>57</v>
      </c>
      <c r="C31" s="66" t="s">
        <v>58</v>
      </c>
      <c r="D31" s="9">
        <v>12651789489.790001</v>
      </c>
      <c r="E31" s="3">
        <f t="shared" si="12"/>
        <v>1.4890106401973614E-2</v>
      </c>
      <c r="F31" s="8">
        <v>100</v>
      </c>
      <c r="G31" s="8">
        <v>100</v>
      </c>
      <c r="H31" s="5"/>
      <c r="I31" s="5">
        <v>0.1095</v>
      </c>
      <c r="J31" s="5">
        <v>0.1095</v>
      </c>
      <c r="K31" s="9">
        <v>12648199331.07</v>
      </c>
      <c r="L31" s="3">
        <f t="shared" si="7"/>
        <v>1.4834424092261668E-2</v>
      </c>
      <c r="M31" s="8">
        <v>100</v>
      </c>
      <c r="N31" s="8">
        <v>100</v>
      </c>
      <c r="O31" s="63">
        <v>1681</v>
      </c>
      <c r="P31" s="5">
        <v>0.1023</v>
      </c>
      <c r="Q31" s="5">
        <v>0.1023</v>
      </c>
      <c r="R31" s="92">
        <f t="shared" si="8"/>
        <v>-2.8376687131085134E-4</v>
      </c>
      <c r="S31" s="92">
        <f t="shared" si="9"/>
        <v>0</v>
      </c>
      <c r="T31" s="92">
        <f t="shared" si="10"/>
        <v>-7.1999999999999981E-3</v>
      </c>
      <c r="U31" s="93">
        <f t="shared" si="11"/>
        <v>-7.1999999999999981E-3</v>
      </c>
    </row>
    <row r="32" spans="1:21" x14ac:dyDescent="0.25">
      <c r="A32" s="84">
        <v>24</v>
      </c>
      <c r="B32" s="65" t="s">
        <v>59</v>
      </c>
      <c r="C32" s="66" t="s">
        <v>60</v>
      </c>
      <c r="D32" s="9">
        <v>6480590642.1199999</v>
      </c>
      <c r="E32" s="3">
        <f t="shared" si="12"/>
        <v>7.6271174355749573E-3</v>
      </c>
      <c r="F32" s="8">
        <v>100</v>
      </c>
      <c r="G32" s="8">
        <v>100</v>
      </c>
      <c r="H32" s="5"/>
      <c r="I32" s="5">
        <v>9.1899999999999996E-2</v>
      </c>
      <c r="J32" s="5">
        <v>9.1899999999999996E-2</v>
      </c>
      <c r="K32" s="9">
        <v>6634638932.9200001</v>
      </c>
      <c r="L32" s="3">
        <f t="shared" si="7"/>
        <v>7.7814276209417993E-3</v>
      </c>
      <c r="M32" s="8">
        <v>100</v>
      </c>
      <c r="N32" s="8">
        <v>100</v>
      </c>
      <c r="O32" s="63">
        <v>5623</v>
      </c>
      <c r="P32" s="5">
        <v>9.5699999999999993E-2</v>
      </c>
      <c r="Q32" s="5">
        <v>9.5699999999999993E-2</v>
      </c>
      <c r="R32" s="92">
        <f t="shared" si="8"/>
        <v>2.3770717718039087E-2</v>
      </c>
      <c r="S32" s="92">
        <f t="shared" si="9"/>
        <v>0</v>
      </c>
      <c r="T32" s="92">
        <f t="shared" si="10"/>
        <v>3.7999999999999978E-3</v>
      </c>
      <c r="U32" s="93">
        <f t="shared" si="11"/>
        <v>3.7999999999999978E-3</v>
      </c>
    </row>
    <row r="33" spans="1:21" x14ac:dyDescent="0.25">
      <c r="A33" s="84">
        <v>25</v>
      </c>
      <c r="B33" s="65" t="s">
        <v>61</v>
      </c>
      <c r="C33" s="66" t="s">
        <v>62</v>
      </c>
      <c r="D33" s="9">
        <v>44514190.369999997</v>
      </c>
      <c r="E33" s="3">
        <f t="shared" si="12"/>
        <v>5.2389508341243424E-5</v>
      </c>
      <c r="F33" s="8">
        <v>100</v>
      </c>
      <c r="G33" s="8">
        <v>100</v>
      </c>
      <c r="H33" s="5"/>
      <c r="I33" s="5">
        <v>0</v>
      </c>
      <c r="J33" s="5">
        <v>0</v>
      </c>
      <c r="K33" s="9">
        <v>44514190.369999997</v>
      </c>
      <c r="L33" s="3">
        <f t="shared" si="7"/>
        <v>5.2208410129190089E-5</v>
      </c>
      <c r="M33" s="8">
        <v>100</v>
      </c>
      <c r="N33" s="8">
        <v>100</v>
      </c>
      <c r="O33" s="63">
        <v>0</v>
      </c>
      <c r="P33" s="5">
        <v>0</v>
      </c>
      <c r="Q33" s="5">
        <v>0</v>
      </c>
      <c r="R33" s="92">
        <f t="shared" si="8"/>
        <v>0</v>
      </c>
      <c r="S33" s="92">
        <f t="shared" si="9"/>
        <v>0</v>
      </c>
      <c r="T33" s="92">
        <f t="shared" si="10"/>
        <v>0</v>
      </c>
      <c r="U33" s="93">
        <f t="shared" si="11"/>
        <v>0</v>
      </c>
    </row>
    <row r="34" spans="1:21" x14ac:dyDescent="0.25">
      <c r="A34" s="84">
        <v>26</v>
      </c>
      <c r="B34" s="65" t="s">
        <v>63</v>
      </c>
      <c r="C34" s="66" t="s">
        <v>64</v>
      </c>
      <c r="D34" s="9">
        <v>5018064961.79</v>
      </c>
      <c r="E34" s="3">
        <f t="shared" si="12"/>
        <v>5.9058460681287372E-3</v>
      </c>
      <c r="F34" s="8">
        <v>1</v>
      </c>
      <c r="G34" s="8">
        <v>1</v>
      </c>
      <c r="H34" s="5"/>
      <c r="I34" s="5">
        <v>0.10440000000000001</v>
      </c>
      <c r="J34" s="5">
        <v>0.10440000000000001</v>
      </c>
      <c r="K34" s="9">
        <v>5036165797.8199997</v>
      </c>
      <c r="L34" s="3">
        <f t="shared" si="7"/>
        <v>5.9066604888401196E-3</v>
      </c>
      <c r="M34" s="8">
        <v>1</v>
      </c>
      <c r="N34" s="8">
        <v>1</v>
      </c>
      <c r="O34" s="63">
        <v>0</v>
      </c>
      <c r="P34" s="5">
        <v>0.1004</v>
      </c>
      <c r="Q34" s="5">
        <v>0.1004</v>
      </c>
      <c r="R34" s="92">
        <f t="shared" si="8"/>
        <v>3.6071346560533489E-3</v>
      </c>
      <c r="S34" s="92">
        <f t="shared" si="9"/>
        <v>0</v>
      </c>
      <c r="T34" s="92">
        <f t="shared" si="10"/>
        <v>-4.0000000000000036E-3</v>
      </c>
      <c r="U34" s="93">
        <f t="shared" si="11"/>
        <v>-4.0000000000000036E-3</v>
      </c>
    </row>
    <row r="35" spans="1:21" x14ac:dyDescent="0.25">
      <c r="A35" s="84">
        <v>27</v>
      </c>
      <c r="B35" s="65" t="s">
        <v>65</v>
      </c>
      <c r="C35" s="66" t="s">
        <v>66</v>
      </c>
      <c r="D35" s="9">
        <v>14227020793.049999</v>
      </c>
      <c r="E35" s="3">
        <f t="shared" si="12"/>
        <v>1.6744022935456047E-2</v>
      </c>
      <c r="F35" s="11">
        <v>100</v>
      </c>
      <c r="G35" s="11">
        <v>100</v>
      </c>
      <c r="H35" s="5"/>
      <c r="I35" s="5">
        <v>9.5799999999999996E-2</v>
      </c>
      <c r="J35" s="5">
        <v>9.5799999999999996E-2</v>
      </c>
      <c r="K35" s="9">
        <v>13858459687.26</v>
      </c>
      <c r="L35" s="3">
        <f t="shared" si="7"/>
        <v>1.6253876372846126E-2</v>
      </c>
      <c r="M35" s="11">
        <v>100</v>
      </c>
      <c r="N35" s="11">
        <v>100</v>
      </c>
      <c r="O35" s="63">
        <v>2531</v>
      </c>
      <c r="P35" s="5">
        <v>9.2200000000000004E-2</v>
      </c>
      <c r="Q35" s="5">
        <v>9.2200000000000004E-2</v>
      </c>
      <c r="R35" s="92">
        <f t="shared" si="8"/>
        <v>-2.5905712176230441E-2</v>
      </c>
      <c r="S35" s="92">
        <f t="shared" si="9"/>
        <v>0</v>
      </c>
      <c r="T35" s="92">
        <f t="shared" si="10"/>
        <v>-3.5999999999999921E-3</v>
      </c>
      <c r="U35" s="93">
        <f t="shared" si="11"/>
        <v>-3.5999999999999921E-3</v>
      </c>
    </row>
    <row r="36" spans="1:21" x14ac:dyDescent="0.25">
      <c r="A36" s="84">
        <v>28</v>
      </c>
      <c r="B36" s="65" t="s">
        <v>67</v>
      </c>
      <c r="C36" s="66" t="s">
        <v>66</v>
      </c>
      <c r="D36" s="9">
        <v>1232438547.01</v>
      </c>
      <c r="E36" s="3">
        <f t="shared" si="12"/>
        <v>1.450477903831868E-3</v>
      </c>
      <c r="F36" s="11">
        <v>1000000</v>
      </c>
      <c r="G36" s="11">
        <v>1000000</v>
      </c>
      <c r="H36" s="5"/>
      <c r="I36" s="5">
        <v>9.11E-2</v>
      </c>
      <c r="J36" s="5">
        <v>9.11E-2</v>
      </c>
      <c r="K36" s="9">
        <v>1234099672.8499999</v>
      </c>
      <c r="L36" s="3">
        <f t="shared" si="7"/>
        <v>1.447412192042798E-3</v>
      </c>
      <c r="M36" s="11">
        <v>1000000</v>
      </c>
      <c r="N36" s="11">
        <v>1000000</v>
      </c>
      <c r="O36" s="63">
        <v>9</v>
      </c>
      <c r="P36" s="5">
        <v>8.8499999999999995E-2</v>
      </c>
      <c r="Q36" s="5">
        <v>8.8499999999999995E-2</v>
      </c>
      <c r="R36" s="92">
        <f t="shared" si="8"/>
        <v>1.3478366479447968E-3</v>
      </c>
      <c r="S36" s="92">
        <f t="shared" si="9"/>
        <v>0</v>
      </c>
      <c r="T36" s="92">
        <f t="shared" si="10"/>
        <v>-2.6000000000000051E-3</v>
      </c>
      <c r="U36" s="93">
        <f t="shared" si="11"/>
        <v>-2.6000000000000051E-3</v>
      </c>
    </row>
    <row r="37" spans="1:21" x14ac:dyDescent="0.25">
      <c r="A37" s="84">
        <v>29</v>
      </c>
      <c r="B37" s="65" t="s">
        <v>68</v>
      </c>
      <c r="C37" s="66" t="s">
        <v>69</v>
      </c>
      <c r="D37" s="9">
        <v>2630334513.5300002</v>
      </c>
      <c r="E37" s="3">
        <f t="shared" si="12"/>
        <v>3.0956854610055084E-3</v>
      </c>
      <c r="F37" s="8">
        <v>1</v>
      </c>
      <c r="G37" s="8">
        <v>1</v>
      </c>
      <c r="H37" s="5"/>
      <c r="I37" s="5">
        <v>0.1231</v>
      </c>
      <c r="J37" s="5">
        <v>0.1231</v>
      </c>
      <c r="K37" s="9">
        <v>2684521869.8499999</v>
      </c>
      <c r="L37" s="3">
        <f t="shared" si="7"/>
        <v>3.1485379744515176E-3</v>
      </c>
      <c r="M37" s="8">
        <v>1</v>
      </c>
      <c r="N37" s="8">
        <v>1</v>
      </c>
      <c r="O37" s="63">
        <v>427</v>
      </c>
      <c r="P37" s="5">
        <v>0.1293</v>
      </c>
      <c r="Q37" s="5">
        <v>0.1293</v>
      </c>
      <c r="R37" s="92">
        <f t="shared" si="8"/>
        <v>2.0600937272909209E-2</v>
      </c>
      <c r="S37" s="92">
        <f t="shared" si="9"/>
        <v>0</v>
      </c>
      <c r="T37" s="92">
        <f t="shared" si="10"/>
        <v>6.1999999999999972E-3</v>
      </c>
      <c r="U37" s="93">
        <f t="shared" si="11"/>
        <v>6.1999999999999972E-3</v>
      </c>
    </row>
    <row r="38" spans="1:21" x14ac:dyDescent="0.25">
      <c r="A38" s="84">
        <v>30</v>
      </c>
      <c r="B38" s="65" t="s">
        <v>70</v>
      </c>
      <c r="C38" s="66" t="s">
        <v>28</v>
      </c>
      <c r="D38" s="9">
        <v>192471295990.45999</v>
      </c>
      <c r="E38" s="3">
        <f t="shared" si="12"/>
        <v>0.22652274438619957</v>
      </c>
      <c r="F38" s="8">
        <v>100</v>
      </c>
      <c r="G38" s="8">
        <v>100</v>
      </c>
      <c r="H38" s="5"/>
      <c r="I38" s="5">
        <v>0.104</v>
      </c>
      <c r="J38" s="5">
        <v>0.104</v>
      </c>
      <c r="K38" s="9">
        <v>194216892998.69</v>
      </c>
      <c r="L38" s="3">
        <f t="shared" si="7"/>
        <v>0.2277870296957315</v>
      </c>
      <c r="M38" s="8">
        <v>100</v>
      </c>
      <c r="N38" s="8">
        <v>100</v>
      </c>
      <c r="O38" s="63">
        <v>15208</v>
      </c>
      <c r="P38" s="5">
        <v>0.1022</v>
      </c>
      <c r="Q38" s="5">
        <v>0.1022</v>
      </c>
      <c r="R38" s="92">
        <f t="shared" si="8"/>
        <v>9.0693887587088989E-3</v>
      </c>
      <c r="S38" s="92">
        <f t="shared" si="9"/>
        <v>0</v>
      </c>
      <c r="T38" s="92">
        <f t="shared" si="10"/>
        <v>-1.799999999999996E-3</v>
      </c>
      <c r="U38" s="93">
        <f t="shared" si="11"/>
        <v>-1.799999999999996E-3</v>
      </c>
    </row>
    <row r="39" spans="1:21" x14ac:dyDescent="0.25">
      <c r="A39" s="84">
        <v>31</v>
      </c>
      <c r="B39" s="65" t="s">
        <v>71</v>
      </c>
      <c r="C39" s="66" t="s">
        <v>72</v>
      </c>
      <c r="D39" s="9">
        <v>282469840.45999998</v>
      </c>
      <c r="E39" s="3">
        <f t="shared" si="12"/>
        <v>3.3244356327554765E-4</v>
      </c>
      <c r="F39" s="8">
        <v>1</v>
      </c>
      <c r="G39" s="8">
        <v>1</v>
      </c>
      <c r="H39" s="12"/>
      <c r="I39" s="12">
        <v>7.3700000000000002E-2</v>
      </c>
      <c r="J39" s="12">
        <v>7.3700000000000002E-2</v>
      </c>
      <c r="K39" s="9">
        <v>283114453.48000002</v>
      </c>
      <c r="L39" s="3">
        <f t="shared" si="7"/>
        <v>3.3205041758429605E-4</v>
      </c>
      <c r="M39" s="8">
        <v>1</v>
      </c>
      <c r="N39" s="8">
        <v>1</v>
      </c>
      <c r="O39" s="64">
        <v>429</v>
      </c>
      <c r="P39" s="12">
        <v>6.0299999999999999E-2</v>
      </c>
      <c r="Q39" s="12">
        <v>6.0299999999999999E-2</v>
      </c>
      <c r="R39" s="92">
        <f t="shared" si="8"/>
        <v>2.2820596313938971E-3</v>
      </c>
      <c r="S39" s="92">
        <f t="shared" si="9"/>
        <v>0</v>
      </c>
      <c r="T39" s="92">
        <f t="shared" si="10"/>
        <v>-1.3400000000000002E-2</v>
      </c>
      <c r="U39" s="93">
        <f t="shared" si="11"/>
        <v>-1.3400000000000002E-2</v>
      </c>
    </row>
    <row r="40" spans="1:21" x14ac:dyDescent="0.25">
      <c r="A40" s="84">
        <v>32</v>
      </c>
      <c r="B40" s="65" t="s">
        <v>73</v>
      </c>
      <c r="C40" s="66" t="s">
        <v>74</v>
      </c>
      <c r="D40" s="9">
        <v>580975656.15999997</v>
      </c>
      <c r="E40" s="3">
        <f t="shared" si="12"/>
        <v>6.8376013876614273E-4</v>
      </c>
      <c r="F40" s="8">
        <v>10</v>
      </c>
      <c r="G40" s="8">
        <v>10</v>
      </c>
      <c r="H40" s="5"/>
      <c r="I40" s="5">
        <v>8.3799999999999999E-2</v>
      </c>
      <c r="J40" s="5">
        <v>8.3799999999999999E-2</v>
      </c>
      <c r="K40" s="9">
        <v>577702836.10000002</v>
      </c>
      <c r="L40" s="3">
        <f t="shared" si="7"/>
        <v>6.7755801799849926E-4</v>
      </c>
      <c r="M40" s="8">
        <v>10</v>
      </c>
      <c r="N40" s="8">
        <v>10</v>
      </c>
      <c r="O40" s="63">
        <v>289</v>
      </c>
      <c r="P40" s="5">
        <v>8.3099999999999993E-2</v>
      </c>
      <c r="Q40" s="5">
        <v>8.3099999999999993E-2</v>
      </c>
      <c r="R40" s="91">
        <f t="shared" si="8"/>
        <v>-5.633317033680689E-3</v>
      </c>
      <c r="S40" s="92">
        <f t="shared" si="9"/>
        <v>0</v>
      </c>
      <c r="T40" s="92">
        <f t="shared" si="10"/>
        <v>-7.0000000000000617E-4</v>
      </c>
      <c r="U40" s="93">
        <f t="shared" si="11"/>
        <v>-7.0000000000000617E-4</v>
      </c>
    </row>
    <row r="41" spans="1:21" x14ac:dyDescent="0.25">
      <c r="A41" s="84">
        <v>33</v>
      </c>
      <c r="B41" s="65" t="s">
        <v>75</v>
      </c>
      <c r="C41" s="66" t="s">
        <v>76</v>
      </c>
      <c r="D41" s="9">
        <v>3676866131.9580865</v>
      </c>
      <c r="E41" s="3">
        <f t="shared" si="12"/>
        <v>4.327366336189159E-3</v>
      </c>
      <c r="F41" s="8">
        <v>100</v>
      </c>
      <c r="G41" s="8">
        <v>100</v>
      </c>
      <c r="H41" s="5"/>
      <c r="I41" s="5">
        <v>9.2600000000000002E-2</v>
      </c>
      <c r="J41" s="5">
        <v>9.2600000000000002E-2</v>
      </c>
      <c r="K41" s="9">
        <v>3687150098.1295815</v>
      </c>
      <c r="L41" s="3">
        <f t="shared" si="7"/>
        <v>4.324469184567417E-3</v>
      </c>
      <c r="M41" s="8">
        <v>100</v>
      </c>
      <c r="N41" s="8">
        <v>100</v>
      </c>
      <c r="O41" s="63">
        <v>565</v>
      </c>
      <c r="P41" s="5">
        <v>9.4E-2</v>
      </c>
      <c r="Q41" s="5">
        <v>9.4E-2</v>
      </c>
      <c r="R41" s="92">
        <f t="shared" si="8"/>
        <v>2.7969378819941737E-3</v>
      </c>
      <c r="S41" s="92">
        <f t="shared" si="9"/>
        <v>0</v>
      </c>
      <c r="T41" s="92">
        <f t="shared" si="10"/>
        <v>1.3999999999999985E-3</v>
      </c>
      <c r="U41" s="93">
        <f t="shared" si="11"/>
        <v>1.3999999999999985E-3</v>
      </c>
    </row>
    <row r="42" spans="1:21" ht="15.75" customHeight="1" x14ac:dyDescent="0.25">
      <c r="A42" s="84">
        <v>34</v>
      </c>
      <c r="B42" s="65" t="s">
        <v>77</v>
      </c>
      <c r="C42" s="66" t="s">
        <v>34</v>
      </c>
      <c r="D42" s="9">
        <v>20819675331.599998</v>
      </c>
      <c r="E42" s="3">
        <f t="shared" si="12"/>
        <v>2.4503030278226267E-2</v>
      </c>
      <c r="F42" s="8">
        <v>100</v>
      </c>
      <c r="G42" s="8">
        <v>100</v>
      </c>
      <c r="H42" s="5"/>
      <c r="I42" s="5">
        <v>9.5000000000000001E-2</v>
      </c>
      <c r="J42" s="5">
        <v>9.9099999999999994E-2</v>
      </c>
      <c r="K42" s="9">
        <v>19747021424.25</v>
      </c>
      <c r="L42" s="3">
        <f t="shared" si="7"/>
        <v>2.3160268327422066E-2</v>
      </c>
      <c r="M42" s="8">
        <v>100</v>
      </c>
      <c r="N42" s="8">
        <v>100</v>
      </c>
      <c r="O42" s="63">
        <v>10576</v>
      </c>
      <c r="P42" s="5">
        <v>9.4700000000000006E-2</v>
      </c>
      <c r="Q42" s="5">
        <v>9.4700000000000006E-2</v>
      </c>
      <c r="R42" s="92">
        <f t="shared" si="8"/>
        <v>-5.1521164007871427E-2</v>
      </c>
      <c r="S42" s="92">
        <f t="shared" si="9"/>
        <v>0</v>
      </c>
      <c r="T42" s="92">
        <f t="shared" si="10"/>
        <v>-2.9999999999999472E-4</v>
      </c>
      <c r="U42" s="93">
        <f t="shared" si="11"/>
        <v>-4.3999999999999873E-3</v>
      </c>
    </row>
    <row r="43" spans="1:21" x14ac:dyDescent="0.25">
      <c r="A43" s="84">
        <v>35</v>
      </c>
      <c r="B43" s="65" t="s">
        <v>78</v>
      </c>
      <c r="C43" s="66" t="s">
        <v>36</v>
      </c>
      <c r="D43" s="9">
        <v>3120959746.6900001</v>
      </c>
      <c r="E43" s="3">
        <f t="shared" si="12"/>
        <v>3.673110649050332E-3</v>
      </c>
      <c r="F43" s="8">
        <v>1</v>
      </c>
      <c r="G43" s="8">
        <v>1</v>
      </c>
      <c r="H43" s="5"/>
      <c r="I43" s="5">
        <v>8.0799999999999997E-2</v>
      </c>
      <c r="J43" s="5">
        <v>8.0799999999999997E-2</v>
      </c>
      <c r="K43" s="9">
        <v>3008949322.1100001</v>
      </c>
      <c r="L43" s="3">
        <f t="shared" si="7"/>
        <v>3.5290422887830093E-3</v>
      </c>
      <c r="M43" s="8">
        <v>1</v>
      </c>
      <c r="N43" s="8">
        <v>1</v>
      </c>
      <c r="O43" s="63">
        <v>808</v>
      </c>
      <c r="P43" s="5">
        <v>7.5399999999999995E-2</v>
      </c>
      <c r="Q43" s="5">
        <v>7.5399999999999995E-2</v>
      </c>
      <c r="R43" s="91">
        <f t="shared" si="8"/>
        <v>-3.5889737026821619E-2</v>
      </c>
      <c r="S43" s="91">
        <f t="shared" si="9"/>
        <v>0</v>
      </c>
      <c r="T43" s="92">
        <f t="shared" si="10"/>
        <v>-5.400000000000002E-3</v>
      </c>
      <c r="U43" s="93">
        <f t="shared" si="11"/>
        <v>-5.400000000000002E-3</v>
      </c>
    </row>
    <row r="44" spans="1:21" x14ac:dyDescent="0.25">
      <c r="A44" s="84">
        <v>36</v>
      </c>
      <c r="B44" s="65" t="s">
        <v>79</v>
      </c>
      <c r="C44" s="66" t="s">
        <v>38</v>
      </c>
      <c r="D44" s="13">
        <v>3358708338.1300001</v>
      </c>
      <c r="E44" s="3">
        <f t="shared" si="12"/>
        <v>3.952921013135019E-3</v>
      </c>
      <c r="F44" s="8">
        <v>10</v>
      </c>
      <c r="G44" s="8">
        <v>10</v>
      </c>
      <c r="H44" s="5"/>
      <c r="I44" s="5">
        <v>0.1125</v>
      </c>
      <c r="J44" s="5">
        <v>0.1125</v>
      </c>
      <c r="K44" s="13">
        <v>3227006334.1900001</v>
      </c>
      <c r="L44" s="3">
        <f t="shared" si="7"/>
        <v>3.7847901710558684E-3</v>
      </c>
      <c r="M44" s="8">
        <v>10</v>
      </c>
      <c r="N44" s="8">
        <v>10</v>
      </c>
      <c r="O44" s="63">
        <v>1869</v>
      </c>
      <c r="P44" s="5">
        <v>0.113</v>
      </c>
      <c r="Q44" s="5">
        <v>0.113</v>
      </c>
      <c r="R44" s="92">
        <f t="shared" si="8"/>
        <v>-3.9212099021770579E-2</v>
      </c>
      <c r="S44" s="92">
        <f t="shared" si="9"/>
        <v>0</v>
      </c>
      <c r="T44" s="92">
        <f t="shared" si="10"/>
        <v>5.0000000000000044E-4</v>
      </c>
      <c r="U44" s="93">
        <f t="shared" si="11"/>
        <v>5.0000000000000044E-4</v>
      </c>
    </row>
    <row r="45" spans="1:21" x14ac:dyDescent="0.25">
      <c r="A45" s="84">
        <v>37</v>
      </c>
      <c r="B45" s="65" t="s">
        <v>80</v>
      </c>
      <c r="C45" s="66" t="s">
        <v>81</v>
      </c>
      <c r="D45" s="9">
        <v>5218311559.0299997</v>
      </c>
      <c r="E45" s="3">
        <f t="shared" si="12"/>
        <v>6.1415196969021989E-3</v>
      </c>
      <c r="F45" s="8">
        <v>100</v>
      </c>
      <c r="G45" s="8">
        <v>100</v>
      </c>
      <c r="H45" s="5"/>
      <c r="I45" s="5">
        <v>0.124</v>
      </c>
      <c r="J45" s="5">
        <v>0.124</v>
      </c>
      <c r="K45" s="9">
        <v>5439650345</v>
      </c>
      <c r="L45" s="3">
        <f t="shared" si="7"/>
        <v>6.3798868138585079E-3</v>
      </c>
      <c r="M45" s="8">
        <v>100</v>
      </c>
      <c r="N45" s="8">
        <v>100</v>
      </c>
      <c r="O45" s="63">
        <v>1781</v>
      </c>
      <c r="P45" s="5">
        <v>0.1186</v>
      </c>
      <c r="Q45" s="5">
        <v>0.1186</v>
      </c>
      <c r="R45" s="92">
        <f t="shared" si="8"/>
        <v>4.2415785923511168E-2</v>
      </c>
      <c r="S45" s="92">
        <f t="shared" si="9"/>
        <v>0</v>
      </c>
      <c r="T45" s="92">
        <f t="shared" si="10"/>
        <v>-5.400000000000002E-3</v>
      </c>
      <c r="U45" s="93">
        <f t="shared" si="11"/>
        <v>-5.400000000000002E-3</v>
      </c>
    </row>
    <row r="46" spans="1:21" x14ac:dyDescent="0.25">
      <c r="A46" s="84">
        <v>38</v>
      </c>
      <c r="B46" s="65" t="s">
        <v>82</v>
      </c>
      <c r="C46" s="66" t="s">
        <v>83</v>
      </c>
      <c r="D46" s="9">
        <v>160591347.16999999</v>
      </c>
      <c r="E46" s="3">
        <f t="shared" si="12"/>
        <v>1.8900268997735863E-4</v>
      </c>
      <c r="F46" s="8">
        <v>1</v>
      </c>
      <c r="G46" s="8">
        <v>1</v>
      </c>
      <c r="H46" s="5"/>
      <c r="I46" s="5">
        <v>7.9514000000000001E-2</v>
      </c>
      <c r="J46" s="5">
        <v>7.9514000000000001E-2</v>
      </c>
      <c r="K46" s="9">
        <v>160591347</v>
      </c>
      <c r="L46" s="3">
        <f t="shared" si="7"/>
        <v>1.8834935191869875E-4</v>
      </c>
      <c r="M46" s="8">
        <v>1</v>
      </c>
      <c r="N46" s="8">
        <v>1</v>
      </c>
      <c r="O46" s="63">
        <v>60</v>
      </c>
      <c r="P46" s="5">
        <v>9.2799999999999994E-2</v>
      </c>
      <c r="Q46" s="5">
        <v>9.2799999999999994E-2</v>
      </c>
      <c r="R46" s="92">
        <f t="shared" si="8"/>
        <v>-1.0585874636633958E-9</v>
      </c>
      <c r="S46" s="92">
        <f t="shared" si="9"/>
        <v>0</v>
      </c>
      <c r="T46" s="92">
        <f t="shared" si="10"/>
        <v>1.3285999999999992E-2</v>
      </c>
      <c r="U46" s="93">
        <f t="shared" si="11"/>
        <v>1.3285999999999992E-2</v>
      </c>
    </row>
    <row r="47" spans="1:21" x14ac:dyDescent="0.25">
      <c r="A47" s="84">
        <v>39</v>
      </c>
      <c r="B47" s="65" t="s">
        <v>84</v>
      </c>
      <c r="C47" s="66" t="s">
        <v>40</v>
      </c>
      <c r="D47" s="13">
        <v>379388552.99000001</v>
      </c>
      <c r="E47" s="3">
        <f t="shared" si="12"/>
        <v>4.4650884574634755E-4</v>
      </c>
      <c r="F47" s="8">
        <v>10</v>
      </c>
      <c r="G47" s="8">
        <v>10</v>
      </c>
      <c r="H47" s="5"/>
      <c r="I47" s="5">
        <v>3.7999999999999999E-2</v>
      </c>
      <c r="J47" s="5">
        <v>3.7999999999999999E-2</v>
      </c>
      <c r="K47" s="13">
        <v>354178583.04000002</v>
      </c>
      <c r="L47" s="3">
        <f t="shared" si="7"/>
        <v>4.1539788927149999E-4</v>
      </c>
      <c r="M47" s="8">
        <v>10</v>
      </c>
      <c r="N47" s="8">
        <v>10</v>
      </c>
      <c r="O47" s="63">
        <v>597</v>
      </c>
      <c r="P47" s="5">
        <v>3.6600000000000001E-2</v>
      </c>
      <c r="Q47" s="5">
        <v>3.6600000000000001E-2</v>
      </c>
      <c r="R47" s="92">
        <f t="shared" si="8"/>
        <v>-6.644894726347865E-2</v>
      </c>
      <c r="S47" s="92">
        <f t="shared" si="9"/>
        <v>0</v>
      </c>
      <c r="T47" s="92">
        <f t="shared" si="10"/>
        <v>-1.3999999999999985E-3</v>
      </c>
      <c r="U47" s="93">
        <f t="shared" si="11"/>
        <v>-1.3999999999999985E-3</v>
      </c>
    </row>
    <row r="48" spans="1:21" x14ac:dyDescent="0.25">
      <c r="A48" s="84">
        <v>40</v>
      </c>
      <c r="B48" s="65" t="s">
        <v>85</v>
      </c>
      <c r="C48" s="66" t="s">
        <v>44</v>
      </c>
      <c r="D48" s="9">
        <v>368495914199.96002</v>
      </c>
      <c r="E48" s="3">
        <f t="shared" si="12"/>
        <v>0.43368911374615504</v>
      </c>
      <c r="F48" s="8">
        <v>100</v>
      </c>
      <c r="G48" s="8">
        <v>100</v>
      </c>
      <c r="H48" s="5"/>
      <c r="I48" s="5">
        <v>9.5500000000000002E-2</v>
      </c>
      <c r="J48" s="5">
        <v>9.5500000000000002E-2</v>
      </c>
      <c r="K48" s="9">
        <v>369951382704.98999</v>
      </c>
      <c r="L48" s="3">
        <f t="shared" si="7"/>
        <v>0.43389699679093768</v>
      </c>
      <c r="M48" s="8">
        <v>100</v>
      </c>
      <c r="N48" s="8">
        <v>100</v>
      </c>
      <c r="O48" s="63">
        <v>136997</v>
      </c>
      <c r="P48" s="5">
        <v>9.6699999999999994E-2</v>
      </c>
      <c r="Q48" s="5">
        <v>9.6699999999999994E-2</v>
      </c>
      <c r="R48" s="92">
        <f t="shared" si="8"/>
        <v>3.9497547976615425E-3</v>
      </c>
      <c r="S48" s="92">
        <f t="shared" si="9"/>
        <v>0</v>
      </c>
      <c r="T48" s="92">
        <f t="shared" si="10"/>
        <v>1.1999999999999927E-3</v>
      </c>
      <c r="U48" s="93">
        <f t="shared" si="11"/>
        <v>1.1999999999999927E-3</v>
      </c>
    </row>
    <row r="49" spans="1:21" x14ac:dyDescent="0.25">
      <c r="A49" s="84">
        <v>41</v>
      </c>
      <c r="B49" s="65" t="s">
        <v>86</v>
      </c>
      <c r="C49" s="66" t="s">
        <v>87</v>
      </c>
      <c r="D49" s="9">
        <v>2501180309.77</v>
      </c>
      <c r="E49" s="3">
        <f t="shared" si="12"/>
        <v>2.9436816802122429E-3</v>
      </c>
      <c r="F49" s="8">
        <v>1</v>
      </c>
      <c r="G49" s="8">
        <v>1</v>
      </c>
      <c r="H49" s="5"/>
      <c r="I49" s="5">
        <v>0.13062504020782476</v>
      </c>
      <c r="J49" s="5">
        <v>0.13062504020782476</v>
      </c>
      <c r="K49" s="9">
        <v>2549714783.0100002</v>
      </c>
      <c r="L49" s="3">
        <f t="shared" si="7"/>
        <v>2.990429658438939E-3</v>
      </c>
      <c r="M49" s="8">
        <v>1</v>
      </c>
      <c r="N49" s="8">
        <v>1</v>
      </c>
      <c r="O49" s="63">
        <v>296</v>
      </c>
      <c r="P49" s="5">
        <v>0.1316044468</v>
      </c>
      <c r="Q49" s="5">
        <v>0.1316044468</v>
      </c>
      <c r="R49" s="92">
        <f t="shared" si="8"/>
        <v>1.9404627907239246E-2</v>
      </c>
      <c r="S49" s="92">
        <f t="shared" si="9"/>
        <v>0</v>
      </c>
      <c r="T49" s="92">
        <f t="shared" si="10"/>
        <v>9.7940659217524151E-4</v>
      </c>
      <c r="U49" s="93">
        <f t="shared" si="11"/>
        <v>9.7940659217524151E-4</v>
      </c>
    </row>
    <row r="50" spans="1:21" x14ac:dyDescent="0.25">
      <c r="A50" s="84">
        <v>42</v>
      </c>
      <c r="B50" s="65" t="s">
        <v>88</v>
      </c>
      <c r="C50" s="66" t="s">
        <v>47</v>
      </c>
      <c r="D50" s="9">
        <v>44998669499.120003</v>
      </c>
      <c r="E50" s="3">
        <f t="shared" si="12"/>
        <v>5.2959700074828156E-2</v>
      </c>
      <c r="F50" s="8">
        <v>1</v>
      </c>
      <c r="G50" s="8">
        <v>1</v>
      </c>
      <c r="H50" s="5"/>
      <c r="I50" s="5">
        <v>9.5600000000000004E-2</v>
      </c>
      <c r="J50" s="5">
        <v>9.5600000000000004E-2</v>
      </c>
      <c r="K50" s="9">
        <v>44489570875.519997</v>
      </c>
      <c r="L50" s="3">
        <f t="shared" si="7"/>
        <v>5.2179535187192906E-2</v>
      </c>
      <c r="M50" s="8">
        <v>1</v>
      </c>
      <c r="N50" s="8">
        <v>1</v>
      </c>
      <c r="O50" s="63">
        <v>18226</v>
      </c>
      <c r="P50" s="5">
        <v>9.9599999999999994E-2</v>
      </c>
      <c r="Q50" s="5">
        <v>9.9599999999999994E-2</v>
      </c>
      <c r="R50" s="92">
        <f t="shared" si="8"/>
        <v>-1.1313637253429506E-2</v>
      </c>
      <c r="S50" s="92">
        <f t="shared" si="9"/>
        <v>0</v>
      </c>
      <c r="T50" s="92">
        <f t="shared" si="10"/>
        <v>3.9999999999999897E-3</v>
      </c>
      <c r="U50" s="93">
        <f t="shared" si="11"/>
        <v>3.9999999999999897E-3</v>
      </c>
    </row>
    <row r="51" spans="1:21" x14ac:dyDescent="0.25">
      <c r="A51" s="84">
        <v>43</v>
      </c>
      <c r="B51" s="65" t="s">
        <v>89</v>
      </c>
      <c r="C51" s="66" t="s">
        <v>90</v>
      </c>
      <c r="D51" s="9">
        <v>1979283363.6099999</v>
      </c>
      <c r="E51" s="3">
        <f t="shared" si="12"/>
        <v>2.3294522808487159E-3</v>
      </c>
      <c r="F51" s="8">
        <v>1</v>
      </c>
      <c r="G51" s="8">
        <v>1</v>
      </c>
      <c r="H51" s="5"/>
      <c r="I51" s="5">
        <v>7.3400000000000007E-2</v>
      </c>
      <c r="J51" s="5">
        <v>7.3400000000000007E-2</v>
      </c>
      <c r="K51" s="9">
        <v>1973595740.8499999</v>
      </c>
      <c r="L51" s="3">
        <f t="shared" si="7"/>
        <v>2.3147291910977095E-3</v>
      </c>
      <c r="M51" s="8">
        <v>1</v>
      </c>
      <c r="N51" s="8">
        <v>1</v>
      </c>
      <c r="O51" s="63">
        <v>0</v>
      </c>
      <c r="P51" s="5">
        <v>7.2700000000000001E-2</v>
      </c>
      <c r="Q51" s="5">
        <v>7.2700000000000001E-2</v>
      </c>
      <c r="R51" s="92">
        <f t="shared" si="8"/>
        <v>-2.8735768028820183E-3</v>
      </c>
      <c r="S51" s="92">
        <f t="shared" si="9"/>
        <v>0</v>
      </c>
      <c r="T51" s="92">
        <f t="shared" si="10"/>
        <v>-7.0000000000000617E-4</v>
      </c>
      <c r="U51" s="93">
        <f t="shared" si="11"/>
        <v>-7.0000000000000617E-4</v>
      </c>
    </row>
    <row r="52" spans="1:21" x14ac:dyDescent="0.25">
      <c r="A52" s="84">
        <v>44</v>
      </c>
      <c r="B52" s="65" t="s">
        <v>91</v>
      </c>
      <c r="C52" s="66" t="s">
        <v>92</v>
      </c>
      <c r="D52" s="9">
        <v>1004353231.09</v>
      </c>
      <c r="E52" s="3">
        <f t="shared" si="12"/>
        <v>1.1820404131893537E-3</v>
      </c>
      <c r="F52" s="8">
        <v>1</v>
      </c>
      <c r="G52" s="8">
        <v>1</v>
      </c>
      <c r="H52" s="5"/>
      <c r="I52" s="5">
        <v>9.7500000000000003E-2</v>
      </c>
      <c r="J52" s="5">
        <v>9.7500000000000003E-2</v>
      </c>
      <c r="K52" s="9">
        <v>1027474408.14</v>
      </c>
      <c r="L52" s="3">
        <f t="shared" si="7"/>
        <v>1.2050720197659065E-3</v>
      </c>
      <c r="M52" s="8">
        <v>1</v>
      </c>
      <c r="N52" s="8">
        <v>1</v>
      </c>
      <c r="O52" s="63">
        <v>191</v>
      </c>
      <c r="P52" s="5">
        <v>0.1075</v>
      </c>
      <c r="Q52" s="5">
        <v>0.1075</v>
      </c>
      <c r="R52" s="92">
        <f t="shared" si="8"/>
        <v>2.3020961484742877E-2</v>
      </c>
      <c r="S52" s="92">
        <f t="shared" si="9"/>
        <v>0</v>
      </c>
      <c r="T52" s="92">
        <f t="shared" si="10"/>
        <v>9.999999999999995E-3</v>
      </c>
      <c r="U52" s="93">
        <f t="shared" si="11"/>
        <v>9.999999999999995E-3</v>
      </c>
    </row>
    <row r="53" spans="1:21" x14ac:dyDescent="0.25">
      <c r="A53" s="84">
        <v>45</v>
      </c>
      <c r="B53" s="65" t="s">
        <v>93</v>
      </c>
      <c r="C53" s="66" t="s">
        <v>94</v>
      </c>
      <c r="D53" s="9">
        <v>26925563776.720001</v>
      </c>
      <c r="E53" s="3">
        <f t="shared" si="12"/>
        <v>3.168915432018795E-2</v>
      </c>
      <c r="F53" s="8">
        <v>1</v>
      </c>
      <c r="G53" s="8">
        <v>1</v>
      </c>
      <c r="H53" s="5"/>
      <c r="I53" s="5">
        <v>9.8299999999999998E-2</v>
      </c>
      <c r="J53" s="5">
        <v>9.8299999999999998E-2</v>
      </c>
      <c r="K53" s="9">
        <v>26856925919.16</v>
      </c>
      <c r="L53" s="3">
        <f t="shared" si="7"/>
        <v>3.1499110543000107E-2</v>
      </c>
      <c r="M53" s="8">
        <v>1</v>
      </c>
      <c r="N53" s="8">
        <v>1</v>
      </c>
      <c r="O53" s="63">
        <v>0</v>
      </c>
      <c r="P53" s="5">
        <v>0.1014</v>
      </c>
      <c r="Q53" s="5">
        <v>0.1014</v>
      </c>
      <c r="R53" s="92">
        <f t="shared" si="8"/>
        <v>-2.5491706739803185E-3</v>
      </c>
      <c r="S53" s="92">
        <f t="shared" si="9"/>
        <v>0</v>
      </c>
      <c r="T53" s="92">
        <f t="shared" si="10"/>
        <v>3.1000000000000055E-3</v>
      </c>
      <c r="U53" s="93">
        <f t="shared" si="11"/>
        <v>3.1000000000000055E-3</v>
      </c>
    </row>
    <row r="54" spans="1:21" x14ac:dyDescent="0.25">
      <c r="A54" s="84"/>
      <c r="B54" s="19"/>
      <c r="C54" s="80" t="s">
        <v>48</v>
      </c>
      <c r="D54" s="62">
        <f>SUM(D25:D53)</f>
        <v>849677574373.34802</v>
      </c>
      <c r="E54" s="122">
        <f>(D54/$D$170)</f>
        <v>0.44079887178002808</v>
      </c>
      <c r="F54" s="31"/>
      <c r="G54" s="11"/>
      <c r="H54" s="33"/>
      <c r="I54" s="33"/>
      <c r="J54" s="33"/>
      <c r="K54" s="62">
        <f>SUM(K25:K53)</f>
        <v>852624898169.64954</v>
      </c>
      <c r="L54" s="122">
        <f>(K54/$K$170)</f>
        <v>0.43993798734070233</v>
      </c>
      <c r="M54" s="31"/>
      <c r="N54" s="11"/>
      <c r="O54" s="72">
        <f>SUM(O25:O53)</f>
        <v>229023</v>
      </c>
      <c r="P54" s="33"/>
      <c r="Q54" s="33"/>
      <c r="R54" s="92">
        <f t="shared" si="8"/>
        <v>3.4687555435074491E-3</v>
      </c>
      <c r="S54" s="92"/>
      <c r="T54" s="92">
        <f t="shared" si="10"/>
        <v>0</v>
      </c>
      <c r="U54" s="93">
        <f t="shared" si="11"/>
        <v>0</v>
      </c>
    </row>
    <row r="55" spans="1:21" ht="9.75" customHeight="1" x14ac:dyDescent="0.25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</row>
    <row r="56" spans="1:21" ht="15" customHeight="1" x14ac:dyDescent="0.25">
      <c r="A56" s="131" t="s">
        <v>95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</row>
    <row r="57" spans="1:21" x14ac:dyDescent="0.25">
      <c r="A57" s="84">
        <v>46</v>
      </c>
      <c r="B57" s="65" t="s">
        <v>96</v>
      </c>
      <c r="C57" s="66" t="s">
        <v>20</v>
      </c>
      <c r="D57" s="2">
        <v>459244336.80000001</v>
      </c>
      <c r="E57" s="3">
        <f>(D57/$D$86)</f>
        <v>1.532763938836101E-3</v>
      </c>
      <c r="F57" s="14">
        <v>1.2742</v>
      </c>
      <c r="G57" s="14">
        <v>1.2742</v>
      </c>
      <c r="H57" s="5"/>
      <c r="I57" s="5">
        <v>5.6080000000000001E-3</v>
      </c>
      <c r="J57" s="5">
        <v>3.49E-2</v>
      </c>
      <c r="K57" s="2">
        <v>461228978.18000001</v>
      </c>
      <c r="L57" s="3">
        <f t="shared" ref="L57:L85" si="13">(K57/$K$86)</f>
        <v>1.5366783188150697E-3</v>
      </c>
      <c r="M57" s="14">
        <v>1.2797000000000001</v>
      </c>
      <c r="N57" s="14">
        <v>1.2797000000000001</v>
      </c>
      <c r="O57" s="63">
        <v>387</v>
      </c>
      <c r="P57" s="5">
        <v>1.565E-3</v>
      </c>
      <c r="Q57" s="5">
        <v>3.9399999999999998E-2</v>
      </c>
      <c r="R57" s="92">
        <f t="shared" ref="R57:R86" si="14">((K57-D57)/D57)</f>
        <v>4.3215369705567053E-3</v>
      </c>
      <c r="S57" s="92">
        <f t="shared" ref="S57:S68" si="15">((N57-G57)/G57)</f>
        <v>4.3164338408413598E-3</v>
      </c>
      <c r="T57" s="92">
        <f t="shared" ref="T57:T86" si="16">P57-I57</f>
        <v>-4.0429999999999997E-3</v>
      </c>
      <c r="U57" s="93">
        <f t="shared" ref="U57:U86" si="17">Q57-J57</f>
        <v>4.4999999999999971E-3</v>
      </c>
    </row>
    <row r="58" spans="1:21" x14ac:dyDescent="0.25">
      <c r="A58" s="84">
        <v>47</v>
      </c>
      <c r="B58" s="65" t="s">
        <v>97</v>
      </c>
      <c r="C58" s="66" t="s">
        <v>22</v>
      </c>
      <c r="D58" s="2">
        <v>861863561.69000006</v>
      </c>
      <c r="E58" s="3">
        <f>(D58/$D$86)</f>
        <v>2.8765371321945836E-3</v>
      </c>
      <c r="F58" s="14">
        <v>1.1393</v>
      </c>
      <c r="G58" s="14">
        <v>1.1393</v>
      </c>
      <c r="H58" s="5"/>
      <c r="I58" s="5">
        <v>3.6600000000000001E-2</v>
      </c>
      <c r="J58" s="5">
        <v>3.9399999999999998E-2</v>
      </c>
      <c r="K58" s="2">
        <v>862384809.95000005</v>
      </c>
      <c r="L58" s="3">
        <f t="shared" si="13"/>
        <v>2.873210710122471E-3</v>
      </c>
      <c r="M58" s="14">
        <v>1.1405000000000001</v>
      </c>
      <c r="N58" s="14">
        <v>1.1405000000000001</v>
      </c>
      <c r="O58" s="63">
        <v>0</v>
      </c>
      <c r="P58" s="5">
        <v>5.4899999999999997E-2</v>
      </c>
      <c r="Q58" s="5">
        <v>3.9899999999999998E-2</v>
      </c>
      <c r="R58" s="92">
        <f t="shared" si="14"/>
        <v>6.0479208446623711E-4</v>
      </c>
      <c r="S58" s="92">
        <f t="shared" si="15"/>
        <v>1.0532783287984639E-3</v>
      </c>
      <c r="T58" s="92">
        <f t="shared" si="16"/>
        <v>1.8299999999999997E-2</v>
      </c>
      <c r="U58" s="93">
        <f t="shared" si="17"/>
        <v>5.0000000000000044E-4</v>
      </c>
    </row>
    <row r="59" spans="1:21" x14ac:dyDescent="0.25">
      <c r="A59" s="84">
        <v>48</v>
      </c>
      <c r="B59" s="65" t="s">
        <v>98</v>
      </c>
      <c r="C59" s="66" t="s">
        <v>22</v>
      </c>
      <c r="D59" s="2">
        <v>1006389302.11</v>
      </c>
      <c r="E59" s="3">
        <f>(D59/$D$86)</f>
        <v>3.3589031090794246E-3</v>
      </c>
      <c r="F59" s="14">
        <v>1.0452999999999999</v>
      </c>
      <c r="G59" s="14">
        <v>1.0452999999999999</v>
      </c>
      <c r="H59" s="5"/>
      <c r="I59" s="5">
        <v>6.9900000000000004E-2</v>
      </c>
      <c r="J59" s="5">
        <v>1.32E-2</v>
      </c>
      <c r="K59" s="2">
        <v>1007180551.74</v>
      </c>
      <c r="L59" s="3">
        <f t="shared" si="13"/>
        <v>3.3556272268457613E-3</v>
      </c>
      <c r="M59" s="14">
        <v>1.0466</v>
      </c>
      <c r="N59" s="14">
        <v>1.0466</v>
      </c>
      <c r="O59" s="63">
        <v>0</v>
      </c>
      <c r="P59" s="5">
        <v>6.4899999999999999E-2</v>
      </c>
      <c r="Q59" s="5">
        <v>1.49E-2</v>
      </c>
      <c r="R59" s="92">
        <f t="shared" si="14"/>
        <v>7.8622619332405263E-4</v>
      </c>
      <c r="S59" s="92">
        <f t="shared" si="15"/>
        <v>1.2436621065723514E-3</v>
      </c>
      <c r="T59" s="92">
        <f t="shared" si="16"/>
        <v>-5.0000000000000044E-3</v>
      </c>
      <c r="U59" s="93">
        <f t="shared" si="17"/>
        <v>1.7000000000000001E-3</v>
      </c>
    </row>
    <row r="60" spans="1:21" x14ac:dyDescent="0.25">
      <c r="A60" s="84">
        <v>49</v>
      </c>
      <c r="B60" s="65" t="s">
        <v>99</v>
      </c>
      <c r="C60" s="66" t="s">
        <v>100</v>
      </c>
      <c r="D60" s="2">
        <v>255214836.13999999</v>
      </c>
      <c r="E60" s="3">
        <f>(D60/$D$86)</f>
        <v>8.5179950223690265E-4</v>
      </c>
      <c r="F60" s="7">
        <v>1118.0899999999999</v>
      </c>
      <c r="G60" s="7">
        <v>1118.0899999999999</v>
      </c>
      <c r="H60" s="5"/>
      <c r="I60" s="5">
        <v>1.8E-3</v>
      </c>
      <c r="J60" s="5">
        <v>5.1999999999999998E-2</v>
      </c>
      <c r="K60" s="2">
        <v>258089634.18000001</v>
      </c>
      <c r="L60" s="3">
        <f t="shared" si="13"/>
        <v>8.5987820349080646E-4</v>
      </c>
      <c r="M60" s="7">
        <v>1130.24</v>
      </c>
      <c r="N60" s="7">
        <v>1130.24</v>
      </c>
      <c r="O60" s="63">
        <v>110</v>
      </c>
      <c r="P60" s="5">
        <v>1.0500000000000001E-2</v>
      </c>
      <c r="Q60" s="5">
        <v>5.1499999999999997E-2</v>
      </c>
      <c r="R60" s="92">
        <f t="shared" si="14"/>
        <v>1.1264227752116376E-2</v>
      </c>
      <c r="S60" s="92">
        <f t="shared" si="15"/>
        <v>1.0866745968571486E-2</v>
      </c>
      <c r="T60" s="92">
        <f t="shared" si="16"/>
        <v>8.7000000000000011E-3</v>
      </c>
      <c r="U60" s="93">
        <f t="shared" si="17"/>
        <v>-5.0000000000000044E-4</v>
      </c>
    </row>
    <row r="61" spans="1:21" ht="15" customHeight="1" x14ac:dyDescent="0.25">
      <c r="A61" s="84">
        <v>50</v>
      </c>
      <c r="B61" s="65" t="s">
        <v>101</v>
      </c>
      <c r="C61" s="66" t="s">
        <v>102</v>
      </c>
      <c r="D61" s="2">
        <v>1424626858.46</v>
      </c>
      <c r="E61" s="3">
        <f>(D61/$K$86)</f>
        <v>4.7464346547253346E-3</v>
      </c>
      <c r="F61" s="7">
        <v>1.0258</v>
      </c>
      <c r="G61" s="7">
        <v>1.0258</v>
      </c>
      <c r="H61" s="5"/>
      <c r="I61" s="5">
        <v>1.5E-3</v>
      </c>
      <c r="J61" s="5">
        <v>5.9200000000000003E-2</v>
      </c>
      <c r="K61" s="2">
        <v>1454046564.3399999</v>
      </c>
      <c r="L61" s="3">
        <f t="shared" si="13"/>
        <v>4.8444523992957301E-3</v>
      </c>
      <c r="M61" s="7">
        <v>1.0286</v>
      </c>
      <c r="N61" s="7">
        <v>1.0286</v>
      </c>
      <c r="O61" s="63">
        <v>769</v>
      </c>
      <c r="P61" s="5">
        <v>1.2999999999999999E-3</v>
      </c>
      <c r="Q61" s="5">
        <v>6.0400000000000002E-2</v>
      </c>
      <c r="R61" s="92">
        <f t="shared" si="14"/>
        <v>2.0650815127690441E-2</v>
      </c>
      <c r="S61" s="92">
        <f t="shared" si="15"/>
        <v>2.7295769155780011E-3</v>
      </c>
      <c r="T61" s="92">
        <f t="shared" si="16"/>
        <v>-2.0000000000000009E-4</v>
      </c>
      <c r="U61" s="93">
        <f t="shared" si="17"/>
        <v>1.1999999999999997E-3</v>
      </c>
    </row>
    <row r="62" spans="1:21" x14ac:dyDescent="0.25">
      <c r="A62" s="84">
        <v>51</v>
      </c>
      <c r="B62" s="65" t="s">
        <v>103</v>
      </c>
      <c r="C62" s="66" t="s">
        <v>104</v>
      </c>
      <c r="D62" s="2">
        <v>434950434.17000002</v>
      </c>
      <c r="E62" s="3">
        <f t="shared" ref="E62:E85" si="18">(D62/$D$86)</f>
        <v>1.4516811362819651E-3</v>
      </c>
      <c r="F62" s="7">
        <v>2.2578999999999998</v>
      </c>
      <c r="G62" s="7">
        <v>2.2578999999999998</v>
      </c>
      <c r="H62" s="5"/>
      <c r="I62" s="5">
        <v>-0.74213365765429551</v>
      </c>
      <c r="J62" s="5">
        <v>0.14498510427010919</v>
      </c>
      <c r="K62" s="2">
        <v>435817563.32999998</v>
      </c>
      <c r="L62" s="3">
        <f t="shared" si="13"/>
        <v>1.4520150125230463E-3</v>
      </c>
      <c r="M62" s="7">
        <v>2.2624</v>
      </c>
      <c r="N62" s="7">
        <v>2.2624</v>
      </c>
      <c r="O62" s="63">
        <v>1402</v>
      </c>
      <c r="P62" s="5">
        <v>0.10392083668137</v>
      </c>
      <c r="Q62" s="5">
        <v>0.112013419179271</v>
      </c>
      <c r="R62" s="91">
        <f t="shared" si="14"/>
        <v>1.9936275305821398E-3</v>
      </c>
      <c r="S62" s="91">
        <f t="shared" si="15"/>
        <v>1.9930023473139513E-3</v>
      </c>
      <c r="T62" s="92">
        <f t="shared" si="16"/>
        <v>0.84605449433566549</v>
      </c>
      <c r="U62" s="93">
        <f t="shared" si="17"/>
        <v>-3.2971685090838185E-2</v>
      </c>
    </row>
    <row r="63" spans="1:21" x14ac:dyDescent="0.25">
      <c r="A63" s="84">
        <v>52</v>
      </c>
      <c r="B63" s="65" t="s">
        <v>105</v>
      </c>
      <c r="C63" s="66" t="s">
        <v>58</v>
      </c>
      <c r="D63" s="2">
        <v>2349934232.31951</v>
      </c>
      <c r="E63" s="3">
        <f t="shared" si="18"/>
        <v>7.8430895305834965E-3</v>
      </c>
      <c r="F63" s="2">
        <v>3917.1594085253</v>
      </c>
      <c r="G63" s="2">
        <v>3917.1594085253</v>
      </c>
      <c r="H63" s="5"/>
      <c r="I63" s="5">
        <v>6.6023349360522163E-2</v>
      </c>
      <c r="J63" s="5">
        <v>7.6083302145611639E-2</v>
      </c>
      <c r="K63" s="2">
        <v>2354067920.19242</v>
      </c>
      <c r="L63" s="3">
        <f t="shared" si="13"/>
        <v>7.8430569307508368E-3</v>
      </c>
      <c r="M63" s="2">
        <v>3922.0823628107601</v>
      </c>
      <c r="N63" s="2">
        <v>3922.0823628107601</v>
      </c>
      <c r="O63" s="63">
        <v>1027</v>
      </c>
      <c r="P63" s="5">
        <v>6.5531390289832042E-2</v>
      </c>
      <c r="Q63" s="5">
        <v>7.5904903745942706E-2</v>
      </c>
      <c r="R63" s="92">
        <f t="shared" si="14"/>
        <v>1.7590653457692103E-3</v>
      </c>
      <c r="S63" s="92">
        <f t="shared" si="15"/>
        <v>1.2567663891200666E-3</v>
      </c>
      <c r="T63" s="92">
        <f t="shared" si="16"/>
        <v>-4.9195907069012057E-4</v>
      </c>
      <c r="U63" s="93">
        <f t="shared" si="17"/>
        <v>-1.7839839966893312E-4</v>
      </c>
    </row>
    <row r="64" spans="1:21" x14ac:dyDescent="0.25">
      <c r="A64" s="84">
        <v>53</v>
      </c>
      <c r="B64" s="65" t="s">
        <v>106</v>
      </c>
      <c r="C64" s="66" t="s">
        <v>60</v>
      </c>
      <c r="D64" s="2">
        <v>336593170</v>
      </c>
      <c r="E64" s="3">
        <f t="shared" si="18"/>
        <v>1.1234060644697956E-3</v>
      </c>
      <c r="F64" s="14">
        <v>108.48</v>
      </c>
      <c r="G64" s="14">
        <v>108.48</v>
      </c>
      <c r="H64" s="5"/>
      <c r="I64" s="5">
        <v>2E-3</v>
      </c>
      <c r="J64" s="5">
        <v>9.9400000000000002E-2</v>
      </c>
      <c r="K64" s="2">
        <v>337305498.72000003</v>
      </c>
      <c r="L64" s="3">
        <f t="shared" si="13"/>
        <v>1.1238019968854687E-3</v>
      </c>
      <c r="M64" s="14">
        <v>108.67</v>
      </c>
      <c r="N64" s="14">
        <v>108.67</v>
      </c>
      <c r="O64" s="63">
        <v>119</v>
      </c>
      <c r="P64" s="5">
        <v>1.8E-3</v>
      </c>
      <c r="Q64" s="5">
        <v>9.9400000000000002E-2</v>
      </c>
      <c r="R64" s="92">
        <f t="shared" si="14"/>
        <v>2.1162898819367861E-3</v>
      </c>
      <c r="S64" s="92">
        <f t="shared" si="15"/>
        <v>1.7514749262536663E-3</v>
      </c>
      <c r="T64" s="92">
        <f t="shared" si="16"/>
        <v>-2.0000000000000009E-4</v>
      </c>
      <c r="U64" s="93">
        <f t="shared" si="17"/>
        <v>0</v>
      </c>
    </row>
    <row r="65" spans="1:21" x14ac:dyDescent="0.25">
      <c r="A65" s="84">
        <v>54</v>
      </c>
      <c r="B65" s="65" t="s">
        <v>107</v>
      </c>
      <c r="C65" s="66" t="s">
        <v>108</v>
      </c>
      <c r="D65" s="2">
        <v>346516104.82999998</v>
      </c>
      <c r="E65" s="3">
        <f t="shared" si="18"/>
        <v>1.1565246365589457E-3</v>
      </c>
      <c r="F65" s="14">
        <v>1.3849</v>
      </c>
      <c r="G65" s="14">
        <v>1.3849</v>
      </c>
      <c r="H65" s="5"/>
      <c r="I65" s="5">
        <v>-4.3E-3</v>
      </c>
      <c r="J65" s="5">
        <v>2.2599999999999999E-2</v>
      </c>
      <c r="K65" s="2">
        <v>349017859.63999999</v>
      </c>
      <c r="L65" s="3">
        <f t="shared" si="13"/>
        <v>1.1628241137501139E-3</v>
      </c>
      <c r="M65" s="14">
        <v>1.3892</v>
      </c>
      <c r="N65" s="14">
        <v>1.3892</v>
      </c>
      <c r="O65" s="63">
        <v>0</v>
      </c>
      <c r="P65" s="5">
        <v>-7.4999999999999997E-3</v>
      </c>
      <c r="Q65" s="5">
        <v>2.9899999999999999E-2</v>
      </c>
      <c r="R65" s="92">
        <f t="shared" si="14"/>
        <v>7.2197360386102617E-3</v>
      </c>
      <c r="S65" s="92">
        <f t="shared" si="15"/>
        <v>3.1049173225503432E-3</v>
      </c>
      <c r="T65" s="92">
        <f t="shared" si="16"/>
        <v>-3.1999999999999997E-3</v>
      </c>
      <c r="U65" s="93">
        <f t="shared" si="17"/>
        <v>7.3000000000000009E-3</v>
      </c>
    </row>
    <row r="66" spans="1:21" x14ac:dyDescent="0.25">
      <c r="A66" s="84">
        <v>55</v>
      </c>
      <c r="B66" s="65" t="s">
        <v>109</v>
      </c>
      <c r="C66" s="66" t="s">
        <v>26</v>
      </c>
      <c r="D66" s="2">
        <v>72028275.75</v>
      </c>
      <c r="E66" s="3">
        <f t="shared" si="18"/>
        <v>2.4040001106039293E-4</v>
      </c>
      <c r="F66" s="7">
        <v>108.90130000000001</v>
      </c>
      <c r="G66" s="7">
        <v>108.90130000000001</v>
      </c>
      <c r="H66" s="5"/>
      <c r="I66" s="5">
        <v>5.0842999999999999E-2</v>
      </c>
      <c r="J66" s="5">
        <v>6.8316000000000002E-2</v>
      </c>
      <c r="K66" s="2">
        <v>72447193.010000005</v>
      </c>
      <c r="L66" s="3">
        <f t="shared" si="13"/>
        <v>2.4137258503742715E-4</v>
      </c>
      <c r="M66" s="7">
        <v>109.1267</v>
      </c>
      <c r="N66" s="7">
        <v>109.1267</v>
      </c>
      <c r="O66" s="63">
        <v>71</v>
      </c>
      <c r="P66" s="5">
        <v>2.9399999999999999E-4</v>
      </c>
      <c r="Q66" s="5">
        <v>7.0599999999999996E-2</v>
      </c>
      <c r="R66" s="92">
        <f t="shared" si="14"/>
        <v>5.8160112211211078E-3</v>
      </c>
      <c r="S66" s="92">
        <f t="shared" si="15"/>
        <v>2.0697640891338613E-3</v>
      </c>
      <c r="T66" s="92">
        <f t="shared" si="16"/>
        <v>-5.0548999999999997E-2</v>
      </c>
      <c r="U66" s="93">
        <f t="shared" si="17"/>
        <v>2.2839999999999944E-3</v>
      </c>
    </row>
    <row r="67" spans="1:21" x14ac:dyDescent="0.25">
      <c r="A67" s="84">
        <v>56</v>
      </c>
      <c r="B67" s="65" t="s">
        <v>110</v>
      </c>
      <c r="C67" s="66" t="s">
        <v>111</v>
      </c>
      <c r="D67" s="2">
        <v>847333711.23000002</v>
      </c>
      <c r="E67" s="3">
        <f t="shared" si="18"/>
        <v>2.8280426184092823E-3</v>
      </c>
      <c r="F67" s="7">
        <v>1000</v>
      </c>
      <c r="G67" s="7">
        <v>1000</v>
      </c>
      <c r="H67" s="5"/>
      <c r="I67" s="5">
        <v>1.05028804539242E-5</v>
      </c>
      <c r="J67" s="5">
        <v>0.15809999999999999</v>
      </c>
      <c r="K67" s="2">
        <v>865035677</v>
      </c>
      <c r="L67" s="3">
        <f t="shared" si="13"/>
        <v>2.8820426138286741E-3</v>
      </c>
      <c r="M67" s="7">
        <v>1000</v>
      </c>
      <c r="N67" s="7">
        <v>1000</v>
      </c>
      <c r="O67" s="63">
        <v>245</v>
      </c>
      <c r="P67" s="5">
        <v>2.08913743609984E-4</v>
      </c>
      <c r="Q67" s="5">
        <v>0.15959999999999999</v>
      </c>
      <c r="R67" s="92">
        <f t="shared" si="14"/>
        <v>2.0891374360998326E-2</v>
      </c>
      <c r="S67" s="92">
        <f t="shared" si="15"/>
        <v>0</v>
      </c>
      <c r="T67" s="92">
        <f t="shared" si="16"/>
        <v>1.984108631560598E-4</v>
      </c>
      <c r="U67" s="93">
        <f t="shared" si="17"/>
        <v>1.5000000000000013E-3</v>
      </c>
    </row>
    <row r="68" spans="1:21" x14ac:dyDescent="0.25">
      <c r="A68" s="84">
        <v>57</v>
      </c>
      <c r="B68" s="65" t="s">
        <v>112</v>
      </c>
      <c r="C68" s="66" t="s">
        <v>66</v>
      </c>
      <c r="D68" s="2">
        <v>238658192.91</v>
      </c>
      <c r="E68" s="3">
        <f t="shared" si="18"/>
        <v>7.9654040885766158E-4</v>
      </c>
      <c r="F68" s="7">
        <v>1100.25</v>
      </c>
      <c r="G68" s="7">
        <v>1107.9100000000001</v>
      </c>
      <c r="H68" s="5"/>
      <c r="I68" s="5">
        <v>2.2000000000000001E-3</v>
      </c>
      <c r="J68" s="5">
        <v>5.8500000000000003E-2</v>
      </c>
      <c r="K68" s="2">
        <v>239178748.09</v>
      </c>
      <c r="L68" s="3">
        <f t="shared" si="13"/>
        <v>7.9687273328215983E-4</v>
      </c>
      <c r="M68" s="7">
        <v>1102.6500000000001</v>
      </c>
      <c r="N68" s="7">
        <v>1110.92</v>
      </c>
      <c r="O68" s="63">
        <v>82</v>
      </c>
      <c r="P68" s="5">
        <v>2.3999999999999998E-3</v>
      </c>
      <c r="Q68" s="5">
        <v>6.0900000000000003E-2</v>
      </c>
      <c r="R68" s="92">
        <f t="shared" si="14"/>
        <v>2.1811745645636095E-3</v>
      </c>
      <c r="S68" s="92">
        <f t="shared" si="15"/>
        <v>2.7168271791029874E-3</v>
      </c>
      <c r="T68" s="92">
        <f t="shared" si="16"/>
        <v>1.9999999999999966E-4</v>
      </c>
      <c r="U68" s="93">
        <f t="shared" si="17"/>
        <v>2.3999999999999994E-3</v>
      </c>
    </row>
    <row r="69" spans="1:21" x14ac:dyDescent="0.25">
      <c r="A69" s="84">
        <v>58</v>
      </c>
      <c r="B69" s="65" t="s">
        <v>113</v>
      </c>
      <c r="C69" s="66" t="s">
        <v>69</v>
      </c>
      <c r="D69" s="2">
        <v>735367361.01999998</v>
      </c>
      <c r="E69" s="3">
        <f t="shared" si="18"/>
        <v>2.4543461561713138E-3</v>
      </c>
      <c r="F69" s="15">
        <v>1.0828</v>
      </c>
      <c r="G69" s="15">
        <v>1.0828</v>
      </c>
      <c r="H69" s="5"/>
      <c r="I69" s="5">
        <v>9.0999999999999998E-2</v>
      </c>
      <c r="J69" s="5">
        <v>0.10390000000000001</v>
      </c>
      <c r="K69" s="2">
        <v>736403444.26999998</v>
      </c>
      <c r="L69" s="3">
        <f t="shared" si="13"/>
        <v>2.4534781209450034E-3</v>
      </c>
      <c r="M69" s="15">
        <v>1.0848</v>
      </c>
      <c r="N69" s="15">
        <v>1.0848</v>
      </c>
      <c r="O69" s="63">
        <v>41</v>
      </c>
      <c r="P69" s="5">
        <v>9.0841214534599368E-2</v>
      </c>
      <c r="Q69" s="5">
        <v>0.10370746659319476</v>
      </c>
      <c r="R69" s="92">
        <f t="shared" si="14"/>
        <v>1.4089328748054422E-3</v>
      </c>
      <c r="S69" s="92">
        <f>(N69-G69)/G69</f>
        <v>1.8470631695604006E-3</v>
      </c>
      <c r="T69" s="92">
        <f t="shared" si="16"/>
        <v>-1.5878546540062932E-4</v>
      </c>
      <c r="U69" s="93">
        <f t="shared" si="17"/>
        <v>-1.9253340680525088E-4</v>
      </c>
    </row>
    <row r="70" spans="1:21" x14ac:dyDescent="0.25">
      <c r="A70" s="84">
        <v>59</v>
      </c>
      <c r="B70" s="65" t="s">
        <v>114</v>
      </c>
      <c r="C70" s="66" t="s">
        <v>28</v>
      </c>
      <c r="D70" s="2">
        <v>67861706466.300003</v>
      </c>
      <c r="E70" s="3">
        <f t="shared" si="18"/>
        <v>0.2264937597798273</v>
      </c>
      <c r="F70" s="15">
        <v>1598.07</v>
      </c>
      <c r="G70" s="2">
        <v>1598.07</v>
      </c>
      <c r="H70" s="5"/>
      <c r="I70" s="5">
        <v>2.2000000000000001E-3</v>
      </c>
      <c r="J70" s="5">
        <v>0.11749999999999999</v>
      </c>
      <c r="K70" s="2">
        <v>68361486560.720001</v>
      </c>
      <c r="L70" s="3">
        <f t="shared" si="13"/>
        <v>0.2277602215158939</v>
      </c>
      <c r="M70" s="15">
        <v>1601.62</v>
      </c>
      <c r="N70" s="2">
        <v>1601.62</v>
      </c>
      <c r="O70" s="63">
        <v>2454</v>
      </c>
      <c r="P70" s="5">
        <v>2.2000000000000001E-3</v>
      </c>
      <c r="Q70" s="5">
        <v>0.11749999999999999</v>
      </c>
      <c r="R70" s="92">
        <f t="shared" si="14"/>
        <v>7.3646850402765513E-3</v>
      </c>
      <c r="S70" s="92">
        <f t="shared" ref="S70:S85" si="19">((N70-G70)/G70)</f>
        <v>2.2214295994543135E-3</v>
      </c>
      <c r="T70" s="92">
        <f t="shared" si="16"/>
        <v>0</v>
      </c>
      <c r="U70" s="93">
        <f t="shared" si="17"/>
        <v>0</v>
      </c>
    </row>
    <row r="71" spans="1:21" x14ac:dyDescent="0.25">
      <c r="A71" s="84">
        <v>60</v>
      </c>
      <c r="B71" s="65" t="s">
        <v>115</v>
      </c>
      <c r="C71" s="66" t="s">
        <v>74</v>
      </c>
      <c r="D71" s="2">
        <v>24476051.5</v>
      </c>
      <c r="E71" s="3">
        <f t="shared" si="18"/>
        <v>8.1690738672371275E-5</v>
      </c>
      <c r="F71" s="2">
        <v>0.74550000000000005</v>
      </c>
      <c r="G71" s="2">
        <v>0.74550000000000005</v>
      </c>
      <c r="H71" s="5"/>
      <c r="I71" s="5">
        <v>2.3999999999999998E-3</v>
      </c>
      <c r="J71" s="5">
        <v>9.0999999999999998E-2</v>
      </c>
      <c r="K71" s="2">
        <v>24727421.190000001</v>
      </c>
      <c r="L71" s="3">
        <f t="shared" si="13"/>
        <v>8.2384442046163308E-5</v>
      </c>
      <c r="M71" s="2">
        <v>0.75309999999999999</v>
      </c>
      <c r="N71" s="2">
        <v>0.75309999999999999</v>
      </c>
      <c r="O71" s="63">
        <v>748</v>
      </c>
      <c r="P71" s="5">
        <v>1.0200000000000001E-2</v>
      </c>
      <c r="Q71" s="5">
        <v>0.1022</v>
      </c>
      <c r="R71" s="91">
        <f t="shared" si="14"/>
        <v>1.0270026192746053E-2</v>
      </c>
      <c r="S71" s="91">
        <f t="shared" si="19"/>
        <v>1.0194500335345325E-2</v>
      </c>
      <c r="T71" s="92">
        <f t="shared" si="16"/>
        <v>7.8000000000000014E-3</v>
      </c>
      <c r="U71" s="93">
        <f t="shared" si="17"/>
        <v>1.1200000000000002E-2</v>
      </c>
    </row>
    <row r="72" spans="1:21" x14ac:dyDescent="0.25">
      <c r="A72" s="84">
        <v>61</v>
      </c>
      <c r="B72" s="65" t="s">
        <v>116</v>
      </c>
      <c r="C72" s="66" t="s">
        <v>117</v>
      </c>
      <c r="D72" s="2">
        <v>1078924488.9400001</v>
      </c>
      <c r="E72" s="3">
        <f t="shared" si="18"/>
        <v>3.6009949755670058E-3</v>
      </c>
      <c r="F72" s="2">
        <v>208.07453899999999</v>
      </c>
      <c r="G72" s="2">
        <v>209.91264899999999</v>
      </c>
      <c r="H72" s="5"/>
      <c r="I72" s="5">
        <v>1.6000000000000001E-3</v>
      </c>
      <c r="J72" s="5">
        <v>5.2499999999999998E-2</v>
      </c>
      <c r="K72" s="2">
        <v>1078924488.9400001</v>
      </c>
      <c r="L72" s="3">
        <f t="shared" si="13"/>
        <v>3.5946567718598316E-3</v>
      </c>
      <c r="M72" s="2">
        <v>210.25992099999999</v>
      </c>
      <c r="N72" s="2">
        <v>212.18471600000001</v>
      </c>
      <c r="O72" s="63">
        <v>485</v>
      </c>
      <c r="P72" s="5">
        <v>9.5999999999999992E-3</v>
      </c>
      <c r="Q72" s="5">
        <v>6.3799999999999996E-2</v>
      </c>
      <c r="R72" s="92">
        <f t="shared" si="14"/>
        <v>0</v>
      </c>
      <c r="S72" s="92">
        <f t="shared" si="19"/>
        <v>1.0823868932262492E-2</v>
      </c>
      <c r="T72" s="92">
        <f t="shared" si="16"/>
        <v>7.9999999999999984E-3</v>
      </c>
      <c r="U72" s="93">
        <f t="shared" si="17"/>
        <v>1.1299999999999998E-2</v>
      </c>
    </row>
    <row r="73" spans="1:21" x14ac:dyDescent="0.25">
      <c r="A73" s="84">
        <v>62</v>
      </c>
      <c r="B73" s="65" t="s">
        <v>118</v>
      </c>
      <c r="C73" s="66" t="s">
        <v>36</v>
      </c>
      <c r="D73" s="2">
        <v>1241735100.0599999</v>
      </c>
      <c r="E73" s="3">
        <f t="shared" si="18"/>
        <v>4.144388140354757E-3</v>
      </c>
      <c r="F73" s="14">
        <v>3.54</v>
      </c>
      <c r="G73" s="14">
        <v>3.54</v>
      </c>
      <c r="H73" s="12"/>
      <c r="I73" s="12">
        <v>-1E-4</v>
      </c>
      <c r="J73" s="12">
        <v>-1.4200000000000001E-2</v>
      </c>
      <c r="K73" s="2">
        <v>1242069064.9100001</v>
      </c>
      <c r="L73" s="3">
        <f t="shared" si="13"/>
        <v>4.1382061683323534E-3</v>
      </c>
      <c r="M73" s="14">
        <v>3.5413999999999999</v>
      </c>
      <c r="N73" s="14">
        <v>3.5413999999999999</v>
      </c>
      <c r="O73" s="64">
        <v>785</v>
      </c>
      <c r="P73" s="12">
        <v>-1E-4</v>
      </c>
      <c r="Q73" s="12">
        <v>-1.4200000000000001E-2</v>
      </c>
      <c r="R73" s="92">
        <f t="shared" si="14"/>
        <v>2.6895015690867242E-4</v>
      </c>
      <c r="S73" s="92">
        <f t="shared" si="19"/>
        <v>3.9548022598865702E-4</v>
      </c>
      <c r="T73" s="92">
        <f t="shared" si="16"/>
        <v>0</v>
      </c>
      <c r="U73" s="93">
        <f t="shared" si="17"/>
        <v>0</v>
      </c>
    </row>
    <row r="74" spans="1:21" x14ac:dyDescent="0.25">
      <c r="A74" s="84">
        <v>63</v>
      </c>
      <c r="B74" s="66" t="s">
        <v>119</v>
      </c>
      <c r="C74" s="74" t="s">
        <v>42</v>
      </c>
      <c r="D74" s="2">
        <v>1902752887</v>
      </c>
      <c r="E74" s="3">
        <f t="shared" si="18"/>
        <v>6.3505867705016469E-3</v>
      </c>
      <c r="F74" s="14">
        <v>99.75</v>
      </c>
      <c r="G74" s="14">
        <v>99.75</v>
      </c>
      <c r="H74" s="5"/>
      <c r="I74" s="5">
        <v>1.8E-3</v>
      </c>
      <c r="J74" s="5">
        <v>9.7900000000000001E-2</v>
      </c>
      <c r="K74" s="2">
        <v>1905506730</v>
      </c>
      <c r="L74" s="3">
        <f t="shared" si="13"/>
        <v>6.3485839287497148E-3</v>
      </c>
      <c r="M74" s="14">
        <v>99.93</v>
      </c>
      <c r="N74" s="14">
        <v>99.93</v>
      </c>
      <c r="O74" s="63">
        <v>169</v>
      </c>
      <c r="P74" s="5">
        <v>1.9E-3</v>
      </c>
      <c r="Q74" s="5">
        <v>0.1022</v>
      </c>
      <c r="R74" s="92">
        <f t="shared" si="14"/>
        <v>1.4472940857506106E-3</v>
      </c>
      <c r="S74" s="92">
        <f t="shared" si="19"/>
        <v>1.804511278195557E-3</v>
      </c>
      <c r="T74" s="92">
        <f t="shared" si="16"/>
        <v>1.0000000000000005E-4</v>
      </c>
      <c r="U74" s="93">
        <f t="shared" si="17"/>
        <v>4.2999999999999983E-3</v>
      </c>
    </row>
    <row r="75" spans="1:21" x14ac:dyDescent="0.25">
      <c r="A75" s="84">
        <v>64</v>
      </c>
      <c r="B75" s="65" t="s">
        <v>120</v>
      </c>
      <c r="C75" s="66" t="s">
        <v>18</v>
      </c>
      <c r="D75" s="2">
        <v>1630476177.47</v>
      </c>
      <c r="E75" s="3">
        <f t="shared" si="18"/>
        <v>5.441841929660453E-3</v>
      </c>
      <c r="F75" s="14">
        <v>337.14120000000003</v>
      </c>
      <c r="G75" s="14">
        <v>337.14120000000003</v>
      </c>
      <c r="H75" s="5"/>
      <c r="I75" s="5">
        <v>2.0999999999999999E-3</v>
      </c>
      <c r="J75" s="5">
        <v>0.1246</v>
      </c>
      <c r="K75" s="2">
        <v>1633740516.1700001</v>
      </c>
      <c r="L75" s="3">
        <f t="shared" si="13"/>
        <v>5.4431394134746118E-3</v>
      </c>
      <c r="M75" s="14">
        <v>337.81619999999998</v>
      </c>
      <c r="N75" s="14">
        <v>337.81619999999998</v>
      </c>
      <c r="O75" s="63">
        <v>193</v>
      </c>
      <c r="P75" s="5">
        <v>2.0999999999999999E-3</v>
      </c>
      <c r="Q75" s="5">
        <v>0.1268</v>
      </c>
      <c r="R75" s="91">
        <f t="shared" si="14"/>
        <v>2.0020769055732555E-3</v>
      </c>
      <c r="S75" s="91">
        <f t="shared" si="19"/>
        <v>2.0021284850381812E-3</v>
      </c>
      <c r="T75" s="92">
        <f t="shared" si="16"/>
        <v>0</v>
      </c>
      <c r="U75" s="93">
        <f t="shared" si="17"/>
        <v>2.1999999999999936E-3</v>
      </c>
    </row>
    <row r="76" spans="1:21" x14ac:dyDescent="0.25">
      <c r="A76" s="84">
        <v>65</v>
      </c>
      <c r="B76" s="65" t="s">
        <v>121</v>
      </c>
      <c r="C76" s="66" t="s">
        <v>40</v>
      </c>
      <c r="D76" s="2">
        <v>54494158.990000002</v>
      </c>
      <c r="E76" s="3">
        <f t="shared" si="18"/>
        <v>1.8187852322596812E-4</v>
      </c>
      <c r="F76" s="14">
        <v>12.033991</v>
      </c>
      <c r="G76" s="2">
        <v>12.317397</v>
      </c>
      <c r="H76" s="5"/>
      <c r="I76" s="5">
        <v>2.0000000000000001E-4</v>
      </c>
      <c r="J76" s="5">
        <v>8.8099999999999998E-2</v>
      </c>
      <c r="K76" s="2">
        <v>54971654.630000003</v>
      </c>
      <c r="L76" s="3">
        <f t="shared" si="13"/>
        <v>1.8314926818484544E-4</v>
      </c>
      <c r="M76" s="14">
        <v>12.052794</v>
      </c>
      <c r="N76" s="2">
        <v>12.343901000000001</v>
      </c>
      <c r="O76" s="63">
        <v>53</v>
      </c>
      <c r="P76" s="5">
        <v>2.4688077662296401E-4</v>
      </c>
      <c r="Q76" s="5">
        <v>9.0111483467381695E-2</v>
      </c>
      <c r="R76" s="92">
        <f t="shared" si="14"/>
        <v>8.7623269878818362E-3</v>
      </c>
      <c r="S76" s="92">
        <f t="shared" si="19"/>
        <v>2.1517533290516633E-3</v>
      </c>
      <c r="T76" s="92">
        <f t="shared" si="16"/>
        <v>4.6880776622964003E-5</v>
      </c>
      <c r="U76" s="93">
        <f t="shared" si="17"/>
        <v>2.0114834673816973E-3</v>
      </c>
    </row>
    <row r="77" spans="1:21" x14ac:dyDescent="0.25">
      <c r="A77" s="84">
        <v>66</v>
      </c>
      <c r="B77" s="65" t="s">
        <v>122</v>
      </c>
      <c r="C77" s="66" t="s">
        <v>123</v>
      </c>
      <c r="D77" s="2">
        <v>6940211930.1499996</v>
      </c>
      <c r="E77" s="3">
        <f t="shared" si="18"/>
        <v>2.3163500825153806E-2</v>
      </c>
      <c r="F77" s="14">
        <v>1.08</v>
      </c>
      <c r="G77" s="14">
        <v>1.08</v>
      </c>
      <c r="H77" s="5"/>
      <c r="I77" s="5">
        <v>0</v>
      </c>
      <c r="J77" s="5">
        <v>0.1004</v>
      </c>
      <c r="K77" s="2">
        <v>6916181545.5799999</v>
      </c>
      <c r="L77" s="3">
        <f t="shared" si="13"/>
        <v>2.3042668030138394E-2</v>
      </c>
      <c r="M77" s="14">
        <v>1.08</v>
      </c>
      <c r="N77" s="14">
        <v>1.08</v>
      </c>
      <c r="O77" s="63">
        <v>3492</v>
      </c>
      <c r="P77" s="5">
        <v>0</v>
      </c>
      <c r="Q77" s="5">
        <v>0.1002</v>
      </c>
      <c r="R77" s="92">
        <f t="shared" si="14"/>
        <v>-3.4624857009921775E-3</v>
      </c>
      <c r="S77" s="92">
        <f t="shared" si="19"/>
        <v>0</v>
      </c>
      <c r="T77" s="92">
        <f t="shared" si="16"/>
        <v>0</v>
      </c>
      <c r="U77" s="93">
        <f t="shared" si="17"/>
        <v>-2.0000000000000573E-4</v>
      </c>
    </row>
    <row r="78" spans="1:21" ht="14.25" customHeight="1" x14ac:dyDescent="0.25">
      <c r="A78" s="84">
        <v>67</v>
      </c>
      <c r="B78" s="65" t="s">
        <v>124</v>
      </c>
      <c r="C78" s="66" t="s">
        <v>44</v>
      </c>
      <c r="D78" s="2">
        <v>23208204023.669998</v>
      </c>
      <c r="E78" s="3">
        <f t="shared" si="18"/>
        <v>7.7459198431278894E-2</v>
      </c>
      <c r="F78" s="2">
        <v>4876</v>
      </c>
      <c r="G78" s="2">
        <v>4876</v>
      </c>
      <c r="H78" s="5"/>
      <c r="I78" s="5">
        <v>1.8E-3</v>
      </c>
      <c r="J78" s="5">
        <v>6.6500000000000004E-2</v>
      </c>
      <c r="K78" s="2">
        <v>23134172112.360001</v>
      </c>
      <c r="L78" s="3">
        <f t="shared" si="13"/>
        <v>7.7076208110510608E-2</v>
      </c>
      <c r="M78" s="2">
        <v>4885.32</v>
      </c>
      <c r="N78" s="2">
        <v>4885.32</v>
      </c>
      <c r="O78" s="63">
        <v>1137</v>
      </c>
      <c r="P78" s="5">
        <v>1.6000000000000001E-3</v>
      </c>
      <c r="Q78" s="5">
        <v>6.83E-2</v>
      </c>
      <c r="R78" s="92">
        <f t="shared" si="14"/>
        <v>-3.1899026410872884E-3</v>
      </c>
      <c r="S78" s="92">
        <f t="shared" si="19"/>
        <v>1.9114027891713923E-3</v>
      </c>
      <c r="T78" s="92">
        <f t="shared" si="16"/>
        <v>-1.9999999999999987E-4</v>
      </c>
      <c r="U78" s="93">
        <f t="shared" si="17"/>
        <v>1.799999999999996E-3</v>
      </c>
    </row>
    <row r="79" spans="1:21" x14ac:dyDescent="0.25">
      <c r="A79" s="84">
        <v>68</v>
      </c>
      <c r="B79" s="65" t="s">
        <v>125</v>
      </c>
      <c r="C79" s="66" t="s">
        <v>44</v>
      </c>
      <c r="D79" s="2">
        <v>39018656370.849998</v>
      </c>
      <c r="E79" s="3">
        <f t="shared" si="18"/>
        <v>0.13022782130271959</v>
      </c>
      <c r="F79" s="14">
        <v>253.8</v>
      </c>
      <c r="G79" s="14">
        <v>253.8</v>
      </c>
      <c r="H79" s="5"/>
      <c r="I79" s="5">
        <v>6.9999999999999999E-4</v>
      </c>
      <c r="J79" s="5">
        <v>3.56E-2</v>
      </c>
      <c r="K79" s="2">
        <v>39108555672.959999</v>
      </c>
      <c r="L79" s="3">
        <f t="shared" si="13"/>
        <v>0.13029812181349124</v>
      </c>
      <c r="M79" s="14">
        <v>254.02</v>
      </c>
      <c r="N79" s="14">
        <v>254.02</v>
      </c>
      <c r="O79" s="63">
        <v>11931</v>
      </c>
      <c r="P79" s="5">
        <v>6.9999999999999999E-4</v>
      </c>
      <c r="Q79" s="5">
        <v>3.6299999999999999E-2</v>
      </c>
      <c r="R79" s="92">
        <f t="shared" si="14"/>
        <v>2.3040081456306232E-3</v>
      </c>
      <c r="S79" s="92">
        <f t="shared" si="19"/>
        <v>8.6682427107958573E-4</v>
      </c>
      <c r="T79" s="92">
        <f t="shared" si="16"/>
        <v>0</v>
      </c>
      <c r="U79" s="93">
        <f t="shared" si="17"/>
        <v>6.9999999999999923E-4</v>
      </c>
    </row>
    <row r="80" spans="1:21" ht="14.25" customHeight="1" x14ac:dyDescent="0.25">
      <c r="A80" s="84">
        <v>69</v>
      </c>
      <c r="B80" s="65" t="s">
        <v>126</v>
      </c>
      <c r="C80" s="66" t="s">
        <v>44</v>
      </c>
      <c r="D80" s="2">
        <v>267181736.63999999</v>
      </c>
      <c r="E80" s="3">
        <f t="shared" si="18"/>
        <v>8.9173996981860271E-4</v>
      </c>
      <c r="F80" s="2">
        <v>5083.57</v>
      </c>
      <c r="G80" s="7">
        <v>5109.29</v>
      </c>
      <c r="H80" s="5"/>
      <c r="I80" s="5">
        <v>-2.0999999999999999E-3</v>
      </c>
      <c r="J80" s="5">
        <v>0.19969999999999999</v>
      </c>
      <c r="K80" s="2">
        <v>266897677.49000001</v>
      </c>
      <c r="L80" s="3">
        <f t="shared" si="13"/>
        <v>8.8922399446662598E-4</v>
      </c>
      <c r="M80" s="2">
        <v>5078.3</v>
      </c>
      <c r="N80" s="7">
        <v>5103.7700000000004</v>
      </c>
      <c r="O80" s="63">
        <v>1132</v>
      </c>
      <c r="P80" s="5">
        <v>-1.2999999999999999E-3</v>
      </c>
      <c r="Q80" s="5">
        <v>0.1981</v>
      </c>
      <c r="R80" s="92">
        <f t="shared" si="14"/>
        <v>-1.0631682897649429E-3</v>
      </c>
      <c r="S80" s="92">
        <f t="shared" si="19"/>
        <v>-1.0803849458534409E-3</v>
      </c>
      <c r="T80" s="92">
        <f t="shared" si="16"/>
        <v>7.9999999999999993E-4</v>
      </c>
      <c r="U80" s="93">
        <f t="shared" si="17"/>
        <v>-1.5999999999999903E-3</v>
      </c>
    </row>
    <row r="81" spans="1:27" ht="13.5" customHeight="1" x14ac:dyDescent="0.25">
      <c r="A81" s="84">
        <v>70</v>
      </c>
      <c r="B81" s="65" t="s">
        <v>127</v>
      </c>
      <c r="C81" s="66" t="s">
        <v>44</v>
      </c>
      <c r="D81" s="2">
        <v>18987915481.41</v>
      </c>
      <c r="E81" s="3">
        <f t="shared" si="18"/>
        <v>6.3373654918357114E-2</v>
      </c>
      <c r="F81" s="14">
        <v>122.85</v>
      </c>
      <c r="G81" s="14">
        <v>122.85</v>
      </c>
      <c r="H81" s="5"/>
      <c r="I81" s="5">
        <v>1.8E-3</v>
      </c>
      <c r="J81" s="5">
        <v>6.83E-2</v>
      </c>
      <c r="K81" s="2">
        <v>18993145008.619999</v>
      </c>
      <c r="L81" s="3">
        <f t="shared" si="13"/>
        <v>6.3279532556748189E-2</v>
      </c>
      <c r="M81" s="14">
        <v>123.09</v>
      </c>
      <c r="N81" s="14">
        <v>123.09</v>
      </c>
      <c r="O81" s="63">
        <v>5951</v>
      </c>
      <c r="P81" s="5">
        <v>1.6999999999999999E-3</v>
      </c>
      <c r="Q81" s="5">
        <v>7.0099999999999996E-2</v>
      </c>
      <c r="R81" s="92">
        <f t="shared" si="14"/>
        <v>2.7541344467848621E-4</v>
      </c>
      <c r="S81" s="92">
        <f t="shared" si="19"/>
        <v>1.9536019536020278E-3</v>
      </c>
      <c r="T81" s="92">
        <f t="shared" si="16"/>
        <v>-1.0000000000000005E-4</v>
      </c>
      <c r="U81" s="93">
        <f t="shared" si="17"/>
        <v>1.799999999999996E-3</v>
      </c>
    </row>
    <row r="82" spans="1:27" ht="12.75" customHeight="1" x14ac:dyDescent="0.25">
      <c r="A82" s="84">
        <v>71</v>
      </c>
      <c r="B82" s="65" t="s">
        <v>128</v>
      </c>
      <c r="C82" s="66" t="s">
        <v>44</v>
      </c>
      <c r="D82" s="2">
        <v>14010626227.049999</v>
      </c>
      <c r="E82" s="3">
        <f t="shared" si="18"/>
        <v>4.6761562245863579E-2</v>
      </c>
      <c r="F82" s="14">
        <v>346.23</v>
      </c>
      <c r="G82" s="14">
        <v>346.35</v>
      </c>
      <c r="H82" s="5"/>
      <c r="I82" s="5">
        <v>1E-3</v>
      </c>
      <c r="J82" s="5">
        <v>4.1599999999999998E-2</v>
      </c>
      <c r="K82" s="2">
        <v>14025714512.610001</v>
      </c>
      <c r="L82" s="3">
        <f t="shared" si="13"/>
        <v>4.6729525717281242E-2</v>
      </c>
      <c r="M82" s="14">
        <v>346.58</v>
      </c>
      <c r="N82" s="14">
        <v>346.69</v>
      </c>
      <c r="O82" s="63">
        <v>17855</v>
      </c>
      <c r="P82" s="5">
        <v>8.0000000000000004E-4</v>
      </c>
      <c r="Q82" s="5">
        <v>4.24E-2</v>
      </c>
      <c r="R82" s="92">
        <f t="shared" si="14"/>
        <v>1.0769172851725045E-3</v>
      </c>
      <c r="S82" s="92">
        <f t="shared" si="19"/>
        <v>9.8166594485339957E-4</v>
      </c>
      <c r="T82" s="92">
        <f t="shared" si="16"/>
        <v>-1.9999999999999998E-4</v>
      </c>
      <c r="U82" s="93">
        <f t="shared" si="17"/>
        <v>8.000000000000021E-4</v>
      </c>
    </row>
    <row r="83" spans="1:27" x14ac:dyDescent="0.25">
      <c r="A83" s="84">
        <v>72</v>
      </c>
      <c r="B83" s="65" t="s">
        <v>129</v>
      </c>
      <c r="C83" s="66" t="s">
        <v>47</v>
      </c>
      <c r="D83" s="2">
        <v>102064240881.38</v>
      </c>
      <c r="E83" s="3">
        <f t="shared" si="18"/>
        <v>0.34064739689057966</v>
      </c>
      <c r="F83" s="2">
        <v>1.9103000000000001</v>
      </c>
      <c r="G83" s="2">
        <v>1.9103000000000001</v>
      </c>
      <c r="H83" s="5"/>
      <c r="I83" s="5">
        <v>5.8999999999999997E-2</v>
      </c>
      <c r="J83" s="5">
        <v>6.6900000000000001E-2</v>
      </c>
      <c r="K83" s="2">
        <v>102006304768.08</v>
      </c>
      <c r="L83" s="3">
        <f t="shared" si="13"/>
        <v>0.33985478869538188</v>
      </c>
      <c r="M83" s="2">
        <v>1.9124000000000001</v>
      </c>
      <c r="N83" s="2">
        <v>1.9124000000000001</v>
      </c>
      <c r="O83" s="63">
        <v>6077</v>
      </c>
      <c r="P83" s="5">
        <v>5.8999999999999997E-2</v>
      </c>
      <c r="Q83" s="5">
        <v>6.6600000000000006E-2</v>
      </c>
      <c r="R83" s="91">
        <f t="shared" si="14"/>
        <v>-5.676436017129342E-4</v>
      </c>
      <c r="S83" s="91">
        <f t="shared" si="19"/>
        <v>1.0993037742762868E-3</v>
      </c>
      <c r="T83" s="92">
        <f t="shared" si="16"/>
        <v>0</v>
      </c>
      <c r="U83" s="93">
        <f t="shared" si="17"/>
        <v>-2.9999999999999472E-4</v>
      </c>
    </row>
    <row r="84" spans="1:27" ht="15.75" customHeight="1" x14ac:dyDescent="0.25">
      <c r="A84" s="84">
        <v>73</v>
      </c>
      <c r="B84" s="65" t="s">
        <v>130</v>
      </c>
      <c r="C84" s="66" t="s">
        <v>34</v>
      </c>
      <c r="D84" s="2">
        <v>9386756657.3700008</v>
      </c>
      <c r="E84" s="3">
        <f t="shared" si="18"/>
        <v>3.1329035448317881E-2</v>
      </c>
      <c r="F84" s="14">
        <v>1</v>
      </c>
      <c r="G84" s="14">
        <v>1</v>
      </c>
      <c r="H84" s="5"/>
      <c r="I84" s="5">
        <v>0.06</v>
      </c>
      <c r="J84" s="5">
        <v>0.06</v>
      </c>
      <c r="K84" s="2">
        <v>9386747947.3500004</v>
      </c>
      <c r="L84" s="3">
        <f t="shared" si="13"/>
        <v>3.1273863389488309E-2</v>
      </c>
      <c r="M84" s="14">
        <v>1</v>
      </c>
      <c r="N84" s="14">
        <v>1</v>
      </c>
      <c r="O84" s="63">
        <v>5498</v>
      </c>
      <c r="P84" s="5">
        <v>0.06</v>
      </c>
      <c r="Q84" s="5">
        <v>0.06</v>
      </c>
      <c r="R84" s="92">
        <f t="shared" si="14"/>
        <v>-9.2790516664977162E-7</v>
      </c>
      <c r="S84" s="92">
        <f t="shared" si="19"/>
        <v>0</v>
      </c>
      <c r="T84" s="92">
        <f t="shared" si="16"/>
        <v>0</v>
      </c>
      <c r="U84" s="93">
        <f t="shared" si="17"/>
        <v>0</v>
      </c>
    </row>
    <row r="85" spans="1:27" x14ac:dyDescent="0.25">
      <c r="A85" s="84">
        <v>74</v>
      </c>
      <c r="B85" s="65" t="s">
        <v>131</v>
      </c>
      <c r="C85" s="66" t="s">
        <v>94</v>
      </c>
      <c r="D85" s="2">
        <v>2571358737.96</v>
      </c>
      <c r="E85" s="3">
        <f t="shared" si="18"/>
        <v>8.5821111585587563E-3</v>
      </c>
      <c r="F85" s="14">
        <v>24.8537</v>
      </c>
      <c r="G85" s="14">
        <v>24.8537</v>
      </c>
      <c r="H85" s="5"/>
      <c r="I85" s="5">
        <v>1.2999999999999999E-3</v>
      </c>
      <c r="J85" s="5">
        <v>5.5E-2</v>
      </c>
      <c r="K85" s="2">
        <v>2575383601.8099999</v>
      </c>
      <c r="L85" s="3">
        <f t="shared" si="13"/>
        <v>8.5804152183794804E-3</v>
      </c>
      <c r="M85" s="14">
        <v>24.893699999999999</v>
      </c>
      <c r="N85" s="14">
        <v>24.893699999999999</v>
      </c>
      <c r="O85" s="63">
        <v>0</v>
      </c>
      <c r="P85" s="5">
        <v>1.6000000000000001E-3</v>
      </c>
      <c r="Q85" s="5">
        <v>5.67E-2</v>
      </c>
      <c r="R85" s="92">
        <f t="shared" si="14"/>
        <v>1.5652673392406733E-3</v>
      </c>
      <c r="S85" s="92">
        <f t="shared" si="19"/>
        <v>1.6094183159851107E-3</v>
      </c>
      <c r="T85" s="92">
        <f t="shared" si="16"/>
        <v>3.0000000000000014E-4</v>
      </c>
      <c r="U85" s="93">
        <f t="shared" si="17"/>
        <v>1.7000000000000001E-3</v>
      </c>
    </row>
    <row r="86" spans="1:27" x14ac:dyDescent="0.25">
      <c r="A86" s="84"/>
      <c r="B86" s="19"/>
      <c r="C86" s="80" t="s">
        <v>48</v>
      </c>
      <c r="D86" s="62">
        <f>SUM(D57:D85)</f>
        <v>299618437754.16949</v>
      </c>
      <c r="E86" s="122">
        <f>(D86/$D$170)</f>
        <v>0.15543716029452406</v>
      </c>
      <c r="F86" s="14"/>
      <c r="G86" s="14"/>
      <c r="H86" s="5"/>
      <c r="I86" s="5"/>
      <c r="J86" s="5"/>
      <c r="K86" s="62">
        <f>SUM(K57:K85)</f>
        <v>300146733726.06244</v>
      </c>
      <c r="L86" s="122">
        <f>(K86/$K$170)</f>
        <v>0.154869920202654</v>
      </c>
      <c r="M86" s="31"/>
      <c r="N86" s="11"/>
      <c r="O86" s="72">
        <f>SUM(O57:O85)</f>
        <v>62213</v>
      </c>
      <c r="P86" s="12"/>
      <c r="Q86" s="12"/>
      <c r="R86" s="92">
        <f t="shared" si="14"/>
        <v>1.7632291785941419E-3</v>
      </c>
      <c r="S86" s="92"/>
      <c r="T86" s="92">
        <f t="shared" si="16"/>
        <v>0</v>
      </c>
      <c r="U86" s="93">
        <f t="shared" si="17"/>
        <v>0</v>
      </c>
    </row>
    <row r="87" spans="1:27" ht="8.25" customHeight="1" x14ac:dyDescent="0.25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</row>
    <row r="88" spans="1:27" ht="15" customHeight="1" x14ac:dyDescent="0.25">
      <c r="A88" s="131" t="s">
        <v>132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</row>
    <row r="89" spans="1:27" x14ac:dyDescent="0.25">
      <c r="A89" s="134" t="s">
        <v>239</v>
      </c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AA89" s="73"/>
    </row>
    <row r="90" spans="1:27" ht="15.75" x14ac:dyDescent="0.25">
      <c r="A90" s="84">
        <v>75</v>
      </c>
      <c r="B90" s="65" t="s">
        <v>133</v>
      </c>
      <c r="C90" s="66" t="s">
        <v>18</v>
      </c>
      <c r="D90" s="2">
        <v>1300471693.8599999</v>
      </c>
      <c r="E90" s="3">
        <f t="shared" ref="E90:E100" si="20">(D90/$D$112)</f>
        <v>2.2679526169800662E-3</v>
      </c>
      <c r="F90" s="2">
        <f>108.4975*756.955</f>
        <v>82127.725112500004</v>
      </c>
      <c r="G90" s="2">
        <f>108.4975*756.955</f>
        <v>82127.725112500004</v>
      </c>
      <c r="H90" s="5"/>
      <c r="I90" s="5">
        <v>1.1000000000000001E-3</v>
      </c>
      <c r="J90" s="5">
        <v>8.48E-2</v>
      </c>
      <c r="K90" s="2">
        <v>1323170463.6700001</v>
      </c>
      <c r="L90" s="3">
        <f t="shared" ref="L90:L100" si="21">(K90/$K$112)</f>
        <v>2.2790492577376745E-3</v>
      </c>
      <c r="M90" s="2">
        <f>108.621*766.97</f>
        <v>83309.048370000004</v>
      </c>
      <c r="N90" s="2">
        <f>108.621*766.97</f>
        <v>83309.048370000004</v>
      </c>
      <c r="O90" s="63">
        <v>262</v>
      </c>
      <c r="P90" s="5">
        <v>1.1000000000000001E-3</v>
      </c>
      <c r="Q90" s="5">
        <v>4.9799999999999997E-2</v>
      </c>
      <c r="R90" s="92">
        <f t="shared" ref="R90:R100" si="22">((K90-D90)/D90)</f>
        <v>1.7454259033217973E-2</v>
      </c>
      <c r="S90" s="92">
        <f t="shared" ref="S90:S100" si="23">((N90-G90)/G90)</f>
        <v>1.4383976371947509E-2</v>
      </c>
      <c r="T90" s="92">
        <f t="shared" ref="T90:T100" si="24">P90-I90</f>
        <v>0</v>
      </c>
      <c r="U90" s="93">
        <f t="shared" ref="U90:U100" si="25">Q90-J90</f>
        <v>-3.5000000000000003E-2</v>
      </c>
      <c r="Z90" s="123"/>
    </row>
    <row r="91" spans="1:27" x14ac:dyDescent="0.25">
      <c r="A91" s="84">
        <v>76</v>
      </c>
      <c r="B91" s="65" t="s">
        <v>134</v>
      </c>
      <c r="C91" s="66" t="s">
        <v>22</v>
      </c>
      <c r="D91" s="2">
        <f>10261799.6*756.95</f>
        <v>7767669207.2200003</v>
      </c>
      <c r="E91" s="3">
        <f t="shared" si="20"/>
        <v>1.3546396887779222E-2</v>
      </c>
      <c r="F91" s="2">
        <f>1.1535*756.95</f>
        <v>873.14182500000004</v>
      </c>
      <c r="G91" s="2">
        <f>1.1535*756.95</f>
        <v>873.14182500000004</v>
      </c>
      <c r="H91" s="5"/>
      <c r="I91" s="5">
        <v>4.9799999999999997E-2</v>
      </c>
      <c r="J91" s="5">
        <v>3.4500000000000003E-2</v>
      </c>
      <c r="K91" s="2">
        <f>10269711.25*768.76</f>
        <v>7894943220.5500002</v>
      </c>
      <c r="L91" s="3">
        <f t="shared" si="21"/>
        <v>1.3598372228450095E-2</v>
      </c>
      <c r="M91" s="2">
        <f>1.1543*768.76</f>
        <v>887.37966800000004</v>
      </c>
      <c r="N91" s="2">
        <f>1.1543*768.76</f>
        <v>887.37966800000004</v>
      </c>
      <c r="O91" s="63">
        <v>0</v>
      </c>
      <c r="P91" s="5">
        <v>3.6200000000000003E-2</v>
      </c>
      <c r="Q91" s="5">
        <v>3.4599999999999999E-2</v>
      </c>
      <c r="R91" s="92">
        <f t="shared" si="22"/>
        <v>1.6385096987871151E-2</v>
      </c>
      <c r="S91" s="92">
        <f t="shared" si="23"/>
        <v>1.630644941330121E-2</v>
      </c>
      <c r="T91" s="92">
        <f t="shared" si="24"/>
        <v>-1.3599999999999994E-2</v>
      </c>
      <c r="U91" s="93">
        <f t="shared" si="25"/>
        <v>9.9999999999995925E-5</v>
      </c>
    </row>
    <row r="92" spans="1:27" x14ac:dyDescent="0.25">
      <c r="A92" s="84">
        <v>77</v>
      </c>
      <c r="B92" s="65" t="s">
        <v>135</v>
      </c>
      <c r="C92" s="66" t="s">
        <v>69</v>
      </c>
      <c r="D92" s="2">
        <v>1908071645.80005</v>
      </c>
      <c r="E92" s="3">
        <f t="shared" si="20"/>
        <v>3.3275742201148949E-3</v>
      </c>
      <c r="F92" s="2">
        <v>80016.107035499997</v>
      </c>
      <c r="G92" s="2">
        <v>80016.107035499997</v>
      </c>
      <c r="H92" s="5"/>
      <c r="I92" s="5">
        <v>6.5100000000000005E-2</v>
      </c>
      <c r="J92" s="5">
        <v>5.57E-2</v>
      </c>
      <c r="K92" s="2">
        <v>1934028612.9437799</v>
      </c>
      <c r="L92" s="3">
        <f>(K92/$K$112)</f>
        <v>3.3312007755580027E-3</v>
      </c>
      <c r="M92" s="2">
        <v>81168.998347400004</v>
      </c>
      <c r="N92" s="2">
        <v>81168.998347400004</v>
      </c>
      <c r="O92" s="63">
        <v>39</v>
      </c>
      <c r="P92" s="5">
        <v>5.9241909159841732E-2</v>
      </c>
      <c r="Q92" s="5">
        <v>5.5879436458156038E-2</v>
      </c>
      <c r="R92" s="92">
        <f t="shared" si="22"/>
        <v>1.3603769649250372E-2</v>
      </c>
      <c r="S92" s="92">
        <f t="shared" si="23"/>
        <v>1.4408240473240141E-2</v>
      </c>
      <c r="T92" s="92">
        <f t="shared" si="24"/>
        <v>-5.8580908401582726E-3</v>
      </c>
      <c r="U92" s="93">
        <f t="shared" si="25"/>
        <v>1.7943645815603898E-4</v>
      </c>
      <c r="W92" s="70">
        <v>769.26</v>
      </c>
    </row>
    <row r="93" spans="1:27" x14ac:dyDescent="0.25">
      <c r="A93" s="84">
        <v>78</v>
      </c>
      <c r="B93" s="65" t="s">
        <v>136</v>
      </c>
      <c r="C93" s="66" t="s">
        <v>28</v>
      </c>
      <c r="D93" s="2">
        <v>21328829209.240002</v>
      </c>
      <c r="E93" s="3">
        <f t="shared" si="20"/>
        <v>3.7196329801411444E-2</v>
      </c>
      <c r="F93" s="2">
        <v>94277.58</v>
      </c>
      <c r="G93" s="2">
        <v>94277.58</v>
      </c>
      <c r="H93" s="5"/>
      <c r="I93" s="5">
        <v>1.4E-3</v>
      </c>
      <c r="J93" s="5">
        <v>7.3800000000000004E-2</v>
      </c>
      <c r="K93" s="2">
        <v>21543041666.93</v>
      </c>
      <c r="L93" s="3">
        <f t="shared" si="21"/>
        <v>3.7106067939462119E-2</v>
      </c>
      <c r="M93" s="2">
        <v>95360.39</v>
      </c>
      <c r="N93" s="2">
        <v>95360.39</v>
      </c>
      <c r="O93" s="63">
        <v>0</v>
      </c>
      <c r="P93" s="5">
        <v>1.4E-3</v>
      </c>
      <c r="Q93" s="5">
        <v>7.4399999999999994E-2</v>
      </c>
      <c r="R93" s="92">
        <f t="shared" si="22"/>
        <v>1.0043329410561281E-2</v>
      </c>
      <c r="S93" s="92">
        <f t="shared" si="23"/>
        <v>1.1485339356398389E-2</v>
      </c>
      <c r="T93" s="92">
        <f t="shared" si="24"/>
        <v>0</v>
      </c>
      <c r="U93" s="93">
        <f t="shared" si="25"/>
        <v>5.9999999999998943E-4</v>
      </c>
    </row>
    <row r="94" spans="1:27" x14ac:dyDescent="0.25">
      <c r="A94" s="84">
        <v>79</v>
      </c>
      <c r="B94" s="108" t="s">
        <v>137</v>
      </c>
      <c r="C94" s="108" t="s">
        <v>28</v>
      </c>
      <c r="D94" s="2">
        <v>17435582345.57</v>
      </c>
      <c r="E94" s="3">
        <f t="shared" si="20"/>
        <v>3.0406716882731215E-2</v>
      </c>
      <c r="F94" s="2">
        <v>83569.66</v>
      </c>
      <c r="G94" s="2">
        <v>83569.66</v>
      </c>
      <c r="H94" s="5"/>
      <c r="I94" s="5">
        <v>1.8E-3</v>
      </c>
      <c r="J94" s="5">
        <v>9.5600000000000004E-2</v>
      </c>
      <c r="K94" s="2">
        <v>17153777943.559999</v>
      </c>
      <c r="L94" s="3">
        <f t="shared" si="21"/>
        <v>2.9545932261239975E-2</v>
      </c>
      <c r="M94" s="2">
        <v>84597.79</v>
      </c>
      <c r="N94" s="2">
        <v>84597.79</v>
      </c>
      <c r="O94" s="63">
        <v>0</v>
      </c>
      <c r="P94" s="5">
        <v>2.2000000000000001E-3</v>
      </c>
      <c r="Q94" s="5">
        <v>9.5799999999999996E-2</v>
      </c>
      <c r="R94" s="92">
        <f t="shared" si="22"/>
        <v>-1.6162603371925835E-2</v>
      </c>
      <c r="S94" s="92">
        <f t="shared" si="23"/>
        <v>1.2302670610362542E-2</v>
      </c>
      <c r="T94" s="92">
        <f t="shared" si="24"/>
        <v>4.0000000000000018E-4</v>
      </c>
      <c r="U94" s="93">
        <f t="shared" si="25"/>
        <v>1.9999999999999185E-4</v>
      </c>
    </row>
    <row r="95" spans="1:27" x14ac:dyDescent="0.25">
      <c r="A95" s="84">
        <v>80</v>
      </c>
      <c r="B95" s="65" t="s">
        <v>138</v>
      </c>
      <c r="C95" s="66" t="s">
        <v>32</v>
      </c>
      <c r="D95" s="2">
        <f>88898.63*757.455</f>
        <v>67336711.786650002</v>
      </c>
      <c r="E95" s="3">
        <f t="shared" si="20"/>
        <v>1.1743159996207174E-4</v>
      </c>
      <c r="F95" s="2">
        <f>107.14*757.455</f>
        <v>81153.728700000007</v>
      </c>
      <c r="G95" s="2">
        <f>107.14*757.455</f>
        <v>81153.728700000007</v>
      </c>
      <c r="H95" s="5"/>
      <c r="I95" s="5">
        <v>1E-3</v>
      </c>
      <c r="J95" s="5">
        <v>9.0700000000000003E-2</v>
      </c>
      <c r="K95" s="2">
        <f>89058.62*769.26</f>
        <v>68509234.021200001</v>
      </c>
      <c r="L95" s="3">
        <f t="shared" si="21"/>
        <v>1.1800136356666207E-4</v>
      </c>
      <c r="M95" s="2">
        <f>107.33*769.26</f>
        <v>82564.675799999997</v>
      </c>
      <c r="N95" s="2">
        <f>107.33*769.26</f>
        <v>82564.675799999997</v>
      </c>
      <c r="O95" s="63">
        <v>2</v>
      </c>
      <c r="P95" s="5">
        <v>2E-3</v>
      </c>
      <c r="Q95" s="5">
        <v>9.2999999999999999E-2</v>
      </c>
      <c r="R95" s="92">
        <f t="shared" si="22"/>
        <v>1.7412822863477874E-2</v>
      </c>
      <c r="S95" s="92">
        <f t="shared" si="23"/>
        <v>1.7386103172360955E-2</v>
      </c>
      <c r="T95" s="92">
        <f t="shared" si="24"/>
        <v>1E-3</v>
      </c>
      <c r="U95" s="93">
        <f t="shared" si="25"/>
        <v>2.2999999999999965E-3</v>
      </c>
    </row>
    <row r="96" spans="1:27" x14ac:dyDescent="0.25">
      <c r="A96" s="84">
        <v>81</v>
      </c>
      <c r="B96" s="65" t="s">
        <v>139</v>
      </c>
      <c r="C96" s="66" t="s">
        <v>36</v>
      </c>
      <c r="D96" s="2">
        <v>9738034171.7600002</v>
      </c>
      <c r="E96" s="3">
        <f t="shared" si="20"/>
        <v>1.6982607301917921E-2</v>
      </c>
      <c r="F96" s="2">
        <v>756.95500000000004</v>
      </c>
      <c r="G96" s="2">
        <v>756.95500000000004</v>
      </c>
      <c r="H96" s="12"/>
      <c r="I96" s="12">
        <v>2.1899999999999999E-2</v>
      </c>
      <c r="J96" s="12">
        <v>5.3400000000000003E-2</v>
      </c>
      <c r="K96" s="2">
        <f>769.26*12907348.71</f>
        <v>9929107068.6546001</v>
      </c>
      <c r="L96" s="3">
        <f t="shared" si="21"/>
        <v>1.7102047480753651E-2</v>
      </c>
      <c r="M96" s="2">
        <f>769.26*1.3093</f>
        <v>1007.1921179999999</v>
      </c>
      <c r="N96" s="2">
        <f>769.26*1.3093</f>
        <v>1007.1921179999999</v>
      </c>
      <c r="O96" s="64">
        <v>118</v>
      </c>
      <c r="P96" s="12">
        <v>2.2800000000000001E-2</v>
      </c>
      <c r="Q96" s="12">
        <v>5.33E-2</v>
      </c>
      <c r="R96" s="92">
        <f t="shared" si="22"/>
        <v>1.9621300718856115E-2</v>
      </c>
      <c r="S96" s="92">
        <f t="shared" si="23"/>
        <v>0.33058387618814844</v>
      </c>
      <c r="T96" s="92">
        <f t="shared" si="24"/>
        <v>9.0000000000000149E-4</v>
      </c>
      <c r="U96" s="93">
        <f t="shared" si="25"/>
        <v>-1.0000000000000286E-4</v>
      </c>
    </row>
    <row r="97" spans="1:21" x14ac:dyDescent="0.25">
      <c r="A97" s="84">
        <v>82</v>
      </c>
      <c r="B97" s="65" t="s">
        <v>140</v>
      </c>
      <c r="C97" s="66" t="s">
        <v>81</v>
      </c>
      <c r="D97" s="2">
        <f>4699136.22*757.455</f>
        <v>3559384225.5201001</v>
      </c>
      <c r="E97" s="3">
        <f t="shared" si="20"/>
        <v>6.2073744528382711E-3</v>
      </c>
      <c r="F97" s="2">
        <f>103.38*757.455</f>
        <v>78305.697899999999</v>
      </c>
      <c r="G97" s="2">
        <f>103.38*757.455</f>
        <v>78305.697899999999</v>
      </c>
      <c r="H97" s="5"/>
      <c r="I97" s="5">
        <v>1.8E-3</v>
      </c>
      <c r="J97" s="5">
        <v>7.3499999999999996E-2</v>
      </c>
      <c r="K97" s="2">
        <f>4901645.05*769.26</f>
        <v>3770639471.1629996</v>
      </c>
      <c r="L97" s="3">
        <f t="shared" si="21"/>
        <v>6.4946077046756333E-3</v>
      </c>
      <c r="M97" s="2">
        <f>103.6*769.26</f>
        <v>79695.335999999996</v>
      </c>
      <c r="N97" s="2">
        <f>103.6*769.26</f>
        <v>79695.335999999996</v>
      </c>
      <c r="O97" s="63">
        <v>176</v>
      </c>
      <c r="P97" s="5">
        <v>2.2000000000000001E-3</v>
      </c>
      <c r="Q97" s="5">
        <v>7.5700000000000003E-2</v>
      </c>
      <c r="R97" s="92">
        <f t="shared" si="22"/>
        <v>5.9351627207942327E-2</v>
      </c>
      <c r="S97" s="92">
        <f t="shared" si="23"/>
        <v>1.7746321624955423E-2</v>
      </c>
      <c r="T97" s="92">
        <f t="shared" si="24"/>
        <v>4.0000000000000018E-4</v>
      </c>
      <c r="U97" s="93">
        <f t="shared" si="25"/>
        <v>2.2000000000000075E-3</v>
      </c>
    </row>
    <row r="98" spans="1:21" x14ac:dyDescent="0.25">
      <c r="A98" s="84">
        <v>83</v>
      </c>
      <c r="B98" s="65" t="s">
        <v>141</v>
      </c>
      <c r="C98" s="66" t="s">
        <v>40</v>
      </c>
      <c r="D98" s="2">
        <f>1756054.61*757.455</f>
        <v>1330132344.6175501</v>
      </c>
      <c r="E98" s="3">
        <f t="shared" si="20"/>
        <v>2.3196791949782795E-3</v>
      </c>
      <c r="F98" s="2">
        <f>128.72*757.455</f>
        <v>97499.607600000003</v>
      </c>
      <c r="G98" s="2">
        <f>132.84*757.455</f>
        <v>100620.32220000001</v>
      </c>
      <c r="H98" s="5"/>
      <c r="I98" s="5">
        <v>4.0000000000000002E-4</v>
      </c>
      <c r="J98" s="5">
        <v>0.16009999999999999</v>
      </c>
      <c r="K98" s="2">
        <f>1764292.35*769.26</f>
        <v>1357199533.161</v>
      </c>
      <c r="L98" s="3">
        <f t="shared" si="21"/>
        <v>2.3376614529871517E-3</v>
      </c>
      <c r="M98" s="2">
        <f>128.86*769.26</f>
        <v>99126.843600000007</v>
      </c>
      <c r="N98" s="2">
        <f>131.61*769.26</f>
        <v>101242.3086</v>
      </c>
      <c r="O98" s="63">
        <v>43</v>
      </c>
      <c r="P98" s="5">
        <v>4.0000000000000002E-4</v>
      </c>
      <c r="Q98" s="5">
        <v>0.15529999999999999</v>
      </c>
      <c r="R98" s="92">
        <f t="shared" si="22"/>
        <v>2.0349244684544864E-2</v>
      </c>
      <c r="S98" s="92">
        <f t="shared" si="23"/>
        <v>6.1815186674088612E-3</v>
      </c>
      <c r="T98" s="92">
        <f t="shared" si="24"/>
        <v>0</v>
      </c>
      <c r="U98" s="93">
        <f t="shared" si="25"/>
        <v>-4.7999999999999987E-3</v>
      </c>
    </row>
    <row r="99" spans="1:21" ht="16.5" customHeight="1" x14ac:dyDescent="0.25">
      <c r="A99" s="84">
        <v>84</v>
      </c>
      <c r="B99" s="65" t="s">
        <v>142</v>
      </c>
      <c r="C99" s="66" t="s">
        <v>47</v>
      </c>
      <c r="D99" s="2">
        <v>110093204550.44</v>
      </c>
      <c r="E99" s="3">
        <f t="shared" si="20"/>
        <v>0.19199662134189571</v>
      </c>
      <c r="F99" s="2">
        <v>91620.27</v>
      </c>
      <c r="G99" s="2">
        <v>91620.27</v>
      </c>
      <c r="H99" s="5"/>
      <c r="I99" s="5">
        <v>5.5100000000000003E-2</v>
      </c>
      <c r="J99" s="5">
        <v>5.6599999999999998E-2</v>
      </c>
      <c r="K99" s="2">
        <v>111815273351.25</v>
      </c>
      <c r="L99" s="3">
        <f t="shared" si="21"/>
        <v>0.19259235505309538</v>
      </c>
      <c r="M99" s="2">
        <v>92635.6</v>
      </c>
      <c r="N99" s="2">
        <v>92635.6</v>
      </c>
      <c r="O99" s="63">
        <v>2907</v>
      </c>
      <c r="P99" s="5">
        <v>5.5100000000000003E-2</v>
      </c>
      <c r="Q99" s="5">
        <v>5.6399999999999999E-2</v>
      </c>
      <c r="R99" s="92">
        <f t="shared" si="22"/>
        <v>1.5641917299455292E-2</v>
      </c>
      <c r="S99" s="92">
        <f t="shared" si="23"/>
        <v>1.108193634443559E-2</v>
      </c>
      <c r="T99" s="92">
        <f t="shared" si="24"/>
        <v>0</v>
      </c>
      <c r="U99" s="93">
        <f t="shared" si="25"/>
        <v>-1.9999999999999879E-4</v>
      </c>
    </row>
    <row r="100" spans="1:21" x14ac:dyDescent="0.25">
      <c r="A100" s="84">
        <v>85</v>
      </c>
      <c r="B100" s="65" t="s">
        <v>143</v>
      </c>
      <c r="C100" s="66" t="s">
        <v>66</v>
      </c>
      <c r="D100" s="2">
        <f>264586.72*757.455</f>
        <v>200412533.99759999</v>
      </c>
      <c r="E100" s="3">
        <f t="shared" si="20"/>
        <v>3.4950866912478499E-4</v>
      </c>
      <c r="F100" s="2">
        <f>100.74*757.455</f>
        <v>76306.016700000007</v>
      </c>
      <c r="G100" s="2">
        <f>101.05*757.455</f>
        <v>76540.827749999997</v>
      </c>
      <c r="H100" s="5"/>
      <c r="I100" s="5">
        <v>4.0000000000000002E-4</v>
      </c>
      <c r="J100" s="5">
        <v>8.8999999999999999E-3</v>
      </c>
      <c r="K100" s="2">
        <f>266575.1*769.26</f>
        <v>205065561.42599997</v>
      </c>
      <c r="L100" s="3">
        <f t="shared" si="21"/>
        <v>3.5320809252287194E-4</v>
      </c>
      <c r="M100" s="2">
        <f>100.74*769.26</f>
        <v>77495.252399999998</v>
      </c>
      <c r="N100" s="2">
        <f>101.09*769.26</f>
        <v>77764.493400000007</v>
      </c>
      <c r="O100" s="63">
        <v>28</v>
      </c>
      <c r="P100" s="5">
        <v>2.9999999999999997E-4</v>
      </c>
      <c r="Q100" s="5">
        <v>9.1999999999999998E-3</v>
      </c>
      <c r="R100" s="92">
        <f t="shared" si="22"/>
        <v>2.3217247622125778E-2</v>
      </c>
      <c r="S100" s="92">
        <f t="shared" si="23"/>
        <v>1.5987097160704667E-2</v>
      </c>
      <c r="T100" s="92">
        <f t="shared" si="24"/>
        <v>-1.0000000000000005E-4</v>
      </c>
      <c r="U100" s="93">
        <f t="shared" si="25"/>
        <v>2.9999999999999992E-4</v>
      </c>
    </row>
    <row r="101" spans="1:21" ht="6" customHeight="1" x14ac:dyDescent="0.25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</row>
    <row r="102" spans="1:21" x14ac:dyDescent="0.25">
      <c r="A102" s="134" t="s">
        <v>240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</row>
    <row r="103" spans="1:21" x14ac:dyDescent="0.25">
      <c r="A103" s="84">
        <v>86</v>
      </c>
      <c r="B103" s="65" t="s">
        <v>144</v>
      </c>
      <c r="C103" s="66" t="s">
        <v>100</v>
      </c>
      <c r="D103" s="4">
        <v>671692604.25</v>
      </c>
      <c r="E103" s="3">
        <f>(D103/$D$112)</f>
        <v>1.1713957380289886E-3</v>
      </c>
      <c r="F103" s="2">
        <v>74051.7</v>
      </c>
      <c r="G103" s="2">
        <v>74051.7</v>
      </c>
      <c r="H103" s="5"/>
      <c r="I103" s="5">
        <v>-6.1000000000000004E-3</v>
      </c>
      <c r="J103" s="5">
        <v>4.7800000000000002E-2</v>
      </c>
      <c r="K103" s="4">
        <v>674705878.94000006</v>
      </c>
      <c r="L103" s="3">
        <f t="shared" ref="L103:L111" si="26">(K103/$K$112)</f>
        <v>1.162123834237093E-3</v>
      </c>
      <c r="M103" s="2">
        <v>74379.78</v>
      </c>
      <c r="N103" s="2">
        <v>74379.78</v>
      </c>
      <c r="O103" s="63">
        <v>28</v>
      </c>
      <c r="P103" s="5">
        <v>-1.6899999999999998E-2</v>
      </c>
      <c r="Q103" s="5">
        <v>6.9000000000000006E-2</v>
      </c>
      <c r="R103" s="92">
        <f t="shared" ref="R103:R112" si="27">((K103-D103)/D103)</f>
        <v>4.4860918088634105E-3</v>
      </c>
      <c r="S103" s="92">
        <f t="shared" ref="S103:S111" si="28">((N103-G103)/G103)</f>
        <v>4.4304182078196957E-3</v>
      </c>
      <c r="T103" s="92">
        <f t="shared" ref="T103:T112" si="29">P103-I103</f>
        <v>-1.0799999999999997E-2</v>
      </c>
      <c r="U103" s="93">
        <f t="shared" ref="U103:U112" si="30">Q103-J103</f>
        <v>2.1200000000000004E-2</v>
      </c>
    </row>
    <row r="104" spans="1:21" x14ac:dyDescent="0.25">
      <c r="A104" s="84">
        <v>87</v>
      </c>
      <c r="B104" s="66" t="s">
        <v>145</v>
      </c>
      <c r="C104" s="66" t="s">
        <v>24</v>
      </c>
      <c r="D104" s="2">
        <f>6406582.48*757.455</f>
        <v>4852697932.388401</v>
      </c>
      <c r="E104" s="3">
        <f>(D104/$K$112)</f>
        <v>8.3583619227410397E-3</v>
      </c>
      <c r="F104" s="4">
        <f>127.9*757.455</f>
        <v>96878.494500000015</v>
      </c>
      <c r="G104" s="4">
        <f>128.8*757.455</f>
        <v>97560.204000000012</v>
      </c>
      <c r="H104" s="5"/>
      <c r="I104" s="5">
        <v>8.9999999999999998E-4</v>
      </c>
      <c r="J104" s="5">
        <v>3.2300000000000002E-2</v>
      </c>
      <c r="K104" s="2">
        <f xml:space="preserve"> 6154383.53*769.26</f>
        <v>4734321074.2877998</v>
      </c>
      <c r="L104" s="3">
        <f t="shared" si="26"/>
        <v>8.1544677926988652E-3</v>
      </c>
      <c r="M104" s="4">
        <f>128*769.26</f>
        <v>98465.279999999999</v>
      </c>
      <c r="N104" s="4">
        <f>128.9*769.26</f>
        <v>99157.614000000001</v>
      </c>
      <c r="O104" s="63">
        <v>299</v>
      </c>
      <c r="P104" s="5">
        <v>8.9999999999999998E-4</v>
      </c>
      <c r="Q104" s="5">
        <v>3.32E-2</v>
      </c>
      <c r="R104" s="92">
        <f t="shared" si="27"/>
        <v>-2.4394029826278196E-2</v>
      </c>
      <c r="S104" s="92">
        <f t="shared" si="28"/>
        <v>1.6373581998659913E-2</v>
      </c>
      <c r="T104" s="92">
        <f t="shared" si="29"/>
        <v>0</v>
      </c>
      <c r="U104" s="93">
        <f t="shared" si="30"/>
        <v>8.9999999999999802E-4</v>
      </c>
    </row>
    <row r="105" spans="1:21" x14ac:dyDescent="0.25">
      <c r="A105" s="84">
        <v>88</v>
      </c>
      <c r="B105" s="65" t="s">
        <v>146</v>
      </c>
      <c r="C105" s="66" t="s">
        <v>60</v>
      </c>
      <c r="D105" s="4">
        <v>7995860549.8199997</v>
      </c>
      <c r="E105" s="3">
        <f t="shared" ref="E105:E111" si="31">(D105/$D$112)</f>
        <v>1.3944350303501607E-2</v>
      </c>
      <c r="F105" s="4">
        <v>83711.34</v>
      </c>
      <c r="G105" s="4">
        <v>83711.34</v>
      </c>
      <c r="H105" s="5"/>
      <c r="I105" s="5">
        <v>1.5E-3</v>
      </c>
      <c r="J105" s="5">
        <v>7.22E-2</v>
      </c>
      <c r="K105" s="4">
        <v>8406079758.4700003</v>
      </c>
      <c r="L105" s="3">
        <f t="shared" si="26"/>
        <v>1.4478761701563144E-2</v>
      </c>
      <c r="M105" s="4">
        <v>88036.45</v>
      </c>
      <c r="N105" s="4">
        <v>88036.45</v>
      </c>
      <c r="O105" s="63">
        <v>543</v>
      </c>
      <c r="P105" s="5">
        <v>1.1000000000000001E-3</v>
      </c>
      <c r="Q105" s="5">
        <v>7.1900000000000006E-2</v>
      </c>
      <c r="R105" s="92">
        <f t="shared" si="27"/>
        <v>5.130394734801063E-2</v>
      </c>
      <c r="S105" s="92">
        <f t="shared" si="28"/>
        <v>5.1666954560756054E-2</v>
      </c>
      <c r="T105" s="92">
        <f t="shared" si="29"/>
        <v>-3.9999999999999996E-4</v>
      </c>
      <c r="U105" s="93">
        <f t="shared" si="30"/>
        <v>-2.9999999999999472E-4</v>
      </c>
    </row>
    <row r="106" spans="1:21" x14ac:dyDescent="0.25">
      <c r="A106" s="84">
        <v>89</v>
      </c>
      <c r="B106" s="65" t="s">
        <v>147</v>
      </c>
      <c r="C106" s="66" t="s">
        <v>58</v>
      </c>
      <c r="D106" s="4">
        <v>2775848924.9132667</v>
      </c>
      <c r="E106" s="3">
        <f t="shared" si="31"/>
        <v>4.8409310739492934E-3</v>
      </c>
      <c r="F106" s="4">
        <v>896.35175334017492</v>
      </c>
      <c r="G106" s="4">
        <v>896.35175334017492</v>
      </c>
      <c r="H106" s="5"/>
      <c r="I106" s="5">
        <v>5.1092616820812543E-2</v>
      </c>
      <c r="J106" s="5">
        <v>5.9394364468111173E-2</v>
      </c>
      <c r="K106" s="4">
        <v>2808299032.6112633</v>
      </c>
      <c r="L106" s="3">
        <f t="shared" si="26"/>
        <v>4.8370576592422776E-3</v>
      </c>
      <c r="M106" s="4">
        <v>917.41982457181405</v>
      </c>
      <c r="N106" s="4">
        <v>917.41982457181405</v>
      </c>
      <c r="O106" s="63">
        <v>150</v>
      </c>
      <c r="P106" s="5">
        <v>5.2117348004022283E-2</v>
      </c>
      <c r="Q106" s="5">
        <v>5.9264925833218199E-2</v>
      </c>
      <c r="R106" s="92">
        <f t="shared" si="27"/>
        <v>1.1690156264181611E-2</v>
      </c>
      <c r="S106" s="92">
        <f t="shared" si="28"/>
        <v>2.3504245016681045E-2</v>
      </c>
      <c r="T106" s="92">
        <f t="shared" si="29"/>
        <v>1.02473118320974E-3</v>
      </c>
      <c r="U106" s="93">
        <f t="shared" si="30"/>
        <v>-1.2943863489297408E-4</v>
      </c>
    </row>
    <row r="107" spans="1:21" x14ac:dyDescent="0.25">
      <c r="A107" s="84">
        <v>90</v>
      </c>
      <c r="B107" s="66" t="s">
        <v>148</v>
      </c>
      <c r="C107" s="74" t="s">
        <v>42</v>
      </c>
      <c r="D107" s="2">
        <v>7977974730.4899998</v>
      </c>
      <c r="E107" s="3">
        <f t="shared" si="31"/>
        <v>1.3913158397558691E-2</v>
      </c>
      <c r="F107" s="4">
        <f>1.0127*757.455</f>
        <v>767.0746785</v>
      </c>
      <c r="G107" s="4">
        <f>1.0127*757.455</f>
        <v>767.0746785</v>
      </c>
      <c r="H107" s="5"/>
      <c r="I107" s="5">
        <v>1.5E-3</v>
      </c>
      <c r="J107" s="5">
        <v>9.2200000000000004E-2</v>
      </c>
      <c r="K107" s="2">
        <v>8214887347.0699997</v>
      </c>
      <c r="L107" s="3">
        <f t="shared" si="26"/>
        <v>1.4149448937070451E-2</v>
      </c>
      <c r="M107" s="4">
        <f>1.0144*769.26</f>
        <v>780.33734399999992</v>
      </c>
      <c r="N107" s="4">
        <f>1.0144*769.26</f>
        <v>780.33734399999992</v>
      </c>
      <c r="O107" s="63">
        <v>372</v>
      </c>
      <c r="P107" s="5">
        <v>1.5E-3</v>
      </c>
      <c r="Q107" s="5">
        <v>9.1399999999999995E-2</v>
      </c>
      <c r="R107" s="92">
        <f t="shared" si="27"/>
        <v>2.9695834417044958E-2</v>
      </c>
      <c r="S107" s="92">
        <f t="shared" si="28"/>
        <v>1.7289927397857539E-2</v>
      </c>
      <c r="T107" s="92">
        <f t="shared" si="29"/>
        <v>0</v>
      </c>
      <c r="U107" s="93">
        <f t="shared" si="30"/>
        <v>-8.0000000000000904E-4</v>
      </c>
    </row>
    <row r="108" spans="1:21" x14ac:dyDescent="0.25">
      <c r="A108" s="84">
        <v>91</v>
      </c>
      <c r="B108" s="65" t="s">
        <v>149</v>
      </c>
      <c r="C108" s="66" t="s">
        <v>83</v>
      </c>
      <c r="D108" s="4">
        <v>180649783.06</v>
      </c>
      <c r="E108" s="3">
        <f t="shared" si="31"/>
        <v>3.1504349551180188E-4</v>
      </c>
      <c r="F108" s="4">
        <v>747.76</v>
      </c>
      <c r="G108" s="4">
        <v>747.76</v>
      </c>
      <c r="H108" s="5"/>
      <c r="I108" s="5">
        <v>9.7333000000000003E-2</v>
      </c>
      <c r="J108" s="5">
        <v>-7.195E-3</v>
      </c>
      <c r="K108" s="4">
        <v>179886699.5</v>
      </c>
      <c r="L108" s="3">
        <f t="shared" si="26"/>
        <v>3.0983963157342828E-4</v>
      </c>
      <c r="M108" s="4">
        <f>0.93*769.26</f>
        <v>715.41180000000008</v>
      </c>
      <c r="N108" s="4">
        <f>0.93*769.26</f>
        <v>715.41180000000008</v>
      </c>
      <c r="O108" s="63">
        <v>3</v>
      </c>
      <c r="P108" s="5">
        <v>-1.4121999999999999E-2</v>
      </c>
      <c r="Q108" s="5">
        <v>8.1836999999999993E-2</v>
      </c>
      <c r="R108" s="92">
        <f t="shared" si="27"/>
        <v>-4.2241044914322215E-3</v>
      </c>
      <c r="S108" s="92">
        <f t="shared" si="28"/>
        <v>-4.3260136942334312E-2</v>
      </c>
      <c r="T108" s="92">
        <f t="shared" si="29"/>
        <v>-0.111455</v>
      </c>
      <c r="U108" s="93">
        <f t="shared" si="30"/>
        <v>8.9032E-2</v>
      </c>
    </row>
    <row r="109" spans="1:21" x14ac:dyDescent="0.25">
      <c r="A109" s="84">
        <v>92</v>
      </c>
      <c r="B109" s="65" t="s">
        <v>150</v>
      </c>
      <c r="C109" s="66" t="s">
        <v>44</v>
      </c>
      <c r="D109" s="2">
        <v>343586475600.15002</v>
      </c>
      <c r="E109" s="3">
        <f t="shared" si="31"/>
        <v>0.59919631482590763</v>
      </c>
      <c r="F109" s="4">
        <v>1073.71</v>
      </c>
      <c r="G109" s="4">
        <v>1073.71</v>
      </c>
      <c r="H109" s="5"/>
      <c r="I109" s="5">
        <v>1.4E-3</v>
      </c>
      <c r="J109" s="5">
        <v>5.21E-2</v>
      </c>
      <c r="K109" s="2">
        <v>347513948613.26001</v>
      </c>
      <c r="L109" s="3">
        <f t="shared" si="26"/>
        <v>0.59856339631691213</v>
      </c>
      <c r="M109" s="4">
        <v>1086.3</v>
      </c>
      <c r="N109" s="4">
        <v>1086.3</v>
      </c>
      <c r="O109" s="63">
        <v>10663</v>
      </c>
      <c r="P109" s="5">
        <v>1.5E-3</v>
      </c>
      <c r="Q109" s="5">
        <v>5.3600000000000002E-2</v>
      </c>
      <c r="R109" s="92">
        <f t="shared" si="27"/>
        <v>1.1430813760203402E-2</v>
      </c>
      <c r="S109" s="92">
        <f t="shared" si="28"/>
        <v>1.1725698745471233E-2</v>
      </c>
      <c r="T109" s="92">
        <f t="shared" si="29"/>
        <v>1.0000000000000005E-4</v>
      </c>
      <c r="U109" s="93">
        <f t="shared" si="30"/>
        <v>1.5000000000000013E-3</v>
      </c>
    </row>
    <row r="110" spans="1:21" ht="16.5" customHeight="1" x14ac:dyDescent="0.25">
      <c r="A110" s="84">
        <v>93</v>
      </c>
      <c r="B110" s="65" t="s">
        <v>151</v>
      </c>
      <c r="C110" s="66" t="s">
        <v>47</v>
      </c>
      <c r="D110" s="2">
        <v>13269793347.030001</v>
      </c>
      <c r="E110" s="3">
        <f t="shared" si="31"/>
        <v>2.3141805154446689E-2</v>
      </c>
      <c r="F110" s="2">
        <v>791.28</v>
      </c>
      <c r="G110" s="2">
        <v>791.28</v>
      </c>
      <c r="H110" s="5"/>
      <c r="I110" s="5">
        <v>5.0500000000000003E-2</v>
      </c>
      <c r="J110" s="5">
        <v>8.2299999999999998E-2</v>
      </c>
      <c r="K110" s="2">
        <v>13053398190.969999</v>
      </c>
      <c r="L110" s="3">
        <f t="shared" si="26"/>
        <v>2.2483374799321394E-2</v>
      </c>
      <c r="M110" s="2">
        <v>801.79</v>
      </c>
      <c r="N110" s="2">
        <v>801.79</v>
      </c>
      <c r="O110" s="63">
        <v>102</v>
      </c>
      <c r="P110" s="5">
        <v>5.0500000000000003E-2</v>
      </c>
      <c r="Q110" s="5">
        <v>8.48E-2</v>
      </c>
      <c r="R110" s="92">
        <f t="shared" si="27"/>
        <v>-1.6307349361128837E-2</v>
      </c>
      <c r="S110" s="92">
        <f t="shared" si="28"/>
        <v>1.3282276817308654E-2</v>
      </c>
      <c r="T110" s="92">
        <f t="shared" si="29"/>
        <v>0</v>
      </c>
      <c r="U110" s="93">
        <f t="shared" si="30"/>
        <v>2.5000000000000022E-3</v>
      </c>
    </row>
    <row r="111" spans="1:21" x14ac:dyDescent="0.25">
      <c r="A111" s="84">
        <v>94</v>
      </c>
      <c r="B111" s="65" t="s">
        <v>152</v>
      </c>
      <c r="C111" s="66" t="s">
        <v>34</v>
      </c>
      <c r="D111" s="4">
        <v>17372075357.919998</v>
      </c>
      <c r="E111" s="3">
        <f t="shared" si="31"/>
        <v>3.029596411547195E-2</v>
      </c>
      <c r="F111" s="4">
        <f>762.71*1.1072</f>
        <v>844.47251200000005</v>
      </c>
      <c r="G111" s="4">
        <f>762.71*1.1072</f>
        <v>844.47251200000005</v>
      </c>
      <c r="H111" s="5"/>
      <c r="I111" s="5">
        <v>1E-3</v>
      </c>
      <c r="J111" s="5">
        <v>5.2900000000000003E-2</v>
      </c>
      <c r="K111" s="4">
        <v>17999737291.459999</v>
      </c>
      <c r="L111" s="3">
        <f t="shared" si="26"/>
        <v>3.1003025717331951E-2</v>
      </c>
      <c r="M111" s="4">
        <v>1.1084000000000001</v>
      </c>
      <c r="N111" s="4">
        <v>1.1084000000000001</v>
      </c>
      <c r="O111" s="63">
        <v>856</v>
      </c>
      <c r="P111" s="5">
        <v>1.0838150289018689E-3</v>
      </c>
      <c r="Q111" s="5">
        <v>5.4012932674020409E-2</v>
      </c>
      <c r="R111" s="92">
        <f t="shared" si="27"/>
        <v>3.6130509487678875E-2</v>
      </c>
      <c r="S111" s="92">
        <f t="shared" si="28"/>
        <v>-0.99868746467854252</v>
      </c>
      <c r="T111" s="92">
        <f t="shared" si="29"/>
        <v>8.381502890186885E-5</v>
      </c>
      <c r="U111" s="93">
        <f t="shared" si="30"/>
        <v>1.112932674020406E-3</v>
      </c>
    </row>
    <row r="112" spans="1:21" x14ac:dyDescent="0.25">
      <c r="A112" s="84"/>
      <c r="B112" s="19"/>
      <c r="C112" s="75" t="s">
        <v>48</v>
      </c>
      <c r="D112" s="62">
        <f>SUM(D90:D111)</f>
        <v>573412197469.83374</v>
      </c>
      <c r="E112" s="122">
        <f>(D112/$D$170)</f>
        <v>0.29747689868833349</v>
      </c>
      <c r="F112" s="31"/>
      <c r="G112" s="11"/>
      <c r="H112" s="34"/>
      <c r="I112" s="34"/>
      <c r="J112" s="34"/>
      <c r="K112" s="62">
        <f>SUM(K90:K111)</f>
        <v>580580020013.89868</v>
      </c>
      <c r="L112" s="122">
        <f>(K112/$K$170)</f>
        <v>0.29956808209970626</v>
      </c>
      <c r="M112" s="31"/>
      <c r="N112" s="11"/>
      <c r="O112" s="72">
        <f>SUM(O90:O111)</f>
        <v>16591</v>
      </c>
      <c r="P112" s="35"/>
      <c r="Q112" s="35"/>
      <c r="R112" s="92">
        <f t="shared" si="27"/>
        <v>1.2500296602850043E-2</v>
      </c>
      <c r="S112" s="92"/>
      <c r="T112" s="92">
        <f t="shared" si="29"/>
        <v>0</v>
      </c>
      <c r="U112" s="93">
        <f t="shared" si="30"/>
        <v>0</v>
      </c>
    </row>
    <row r="113" spans="1:21" ht="8.25" customHeight="1" x14ac:dyDescent="0.25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</row>
    <row r="114" spans="1:21" ht="15.75" x14ac:dyDescent="0.25">
      <c r="A114" s="131" t="s">
        <v>153</v>
      </c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</row>
    <row r="115" spans="1:21" x14ac:dyDescent="0.25">
      <c r="A115" s="84">
        <v>95</v>
      </c>
      <c r="B115" s="65" t="s">
        <v>154</v>
      </c>
      <c r="C115" s="66" t="s">
        <v>42</v>
      </c>
      <c r="D115" s="2">
        <v>54330953714</v>
      </c>
      <c r="E115" s="3">
        <f>(D115/$D$119)</f>
        <v>0.58464105481397954</v>
      </c>
      <c r="F115" s="14">
        <v>101.48</v>
      </c>
      <c r="G115" s="14">
        <v>101.48</v>
      </c>
      <c r="H115" s="5"/>
      <c r="I115" s="5">
        <v>0</v>
      </c>
      <c r="J115" s="5">
        <v>7.6999999999999999E-2</v>
      </c>
      <c r="K115" s="2">
        <v>54330953714</v>
      </c>
      <c r="L115" s="3">
        <f>(K115/$K$119)</f>
        <v>0.58449911039623492</v>
      </c>
      <c r="M115" s="14">
        <v>101.48</v>
      </c>
      <c r="N115" s="14">
        <v>101.48</v>
      </c>
      <c r="O115" s="63">
        <v>0</v>
      </c>
      <c r="P115" s="5">
        <v>0</v>
      </c>
      <c r="Q115" s="5">
        <v>7.6999999999999999E-2</v>
      </c>
      <c r="R115" s="92">
        <f>((K115-D115)/D115)</f>
        <v>0</v>
      </c>
      <c r="S115" s="92">
        <f>((N115-G115)/G115)</f>
        <v>0</v>
      </c>
      <c r="T115" s="92">
        <f t="shared" ref="T115:U119" si="32">P115-I115</f>
        <v>0</v>
      </c>
      <c r="U115" s="93">
        <f t="shared" si="32"/>
        <v>0</v>
      </c>
    </row>
    <row r="116" spans="1:21" ht="17.25" customHeight="1" x14ac:dyDescent="0.25">
      <c r="A116" s="84">
        <v>96</v>
      </c>
      <c r="B116" s="65" t="s">
        <v>155</v>
      </c>
      <c r="C116" s="66" t="s">
        <v>123</v>
      </c>
      <c r="D116" s="2">
        <v>2308270619.0300002</v>
      </c>
      <c r="E116" s="3">
        <f>(D116/$D$119)</f>
        <v>2.4838690971811066E-2</v>
      </c>
      <c r="F116" s="14">
        <v>92.15</v>
      </c>
      <c r="G116" s="14">
        <v>92.15</v>
      </c>
      <c r="H116" s="5"/>
      <c r="I116" s="5">
        <v>0.15759999999999999</v>
      </c>
      <c r="J116" s="5">
        <v>0.1217</v>
      </c>
      <c r="K116" s="2">
        <v>2315828148.5999999</v>
      </c>
      <c r="L116" s="3">
        <f>(K116/$K$119)</f>
        <v>2.49139652473736E-2</v>
      </c>
      <c r="M116" s="14">
        <v>92.15</v>
      </c>
      <c r="N116" s="14">
        <v>92.15</v>
      </c>
      <c r="O116" s="63">
        <v>2733</v>
      </c>
      <c r="P116" s="5">
        <v>0.16009999999999999</v>
      </c>
      <c r="Q116" s="5">
        <v>0.1234</v>
      </c>
      <c r="R116" s="92">
        <f>((K116-D116)/D116)</f>
        <v>3.2741089834499473E-3</v>
      </c>
      <c r="S116" s="92">
        <f>((N116-G116)/G116)</f>
        <v>0</v>
      </c>
      <c r="T116" s="92">
        <f t="shared" si="32"/>
        <v>2.5000000000000022E-3</v>
      </c>
      <c r="U116" s="93">
        <f t="shared" si="32"/>
        <v>1.6999999999999932E-3</v>
      </c>
    </row>
    <row r="117" spans="1:21" x14ac:dyDescent="0.25">
      <c r="A117" s="84">
        <v>97</v>
      </c>
      <c r="B117" s="65" t="s">
        <v>156</v>
      </c>
      <c r="C117" s="66" t="s">
        <v>123</v>
      </c>
      <c r="D117" s="2">
        <v>10006289289.290001</v>
      </c>
      <c r="E117" s="3">
        <f>(D117/$D$119)</f>
        <v>0.10767503835215911</v>
      </c>
      <c r="F117" s="14">
        <v>36.6</v>
      </c>
      <c r="G117" s="14">
        <v>36.6</v>
      </c>
      <c r="H117" s="5"/>
      <c r="I117" s="5">
        <v>5.6599999999999998E-2</v>
      </c>
      <c r="J117" s="5">
        <v>0.16109999999999999</v>
      </c>
      <c r="K117" s="2">
        <v>10011781012.24</v>
      </c>
      <c r="L117" s="3">
        <f>(K117/$K$119)</f>
        <v>0.10770797667091724</v>
      </c>
      <c r="M117" s="14">
        <v>36.6</v>
      </c>
      <c r="N117" s="14">
        <v>36.6</v>
      </c>
      <c r="O117" s="63">
        <v>5267</v>
      </c>
      <c r="P117" s="5">
        <v>2.8299999999999999E-2</v>
      </c>
      <c r="Q117" s="5">
        <v>0.159</v>
      </c>
      <c r="R117" s="92">
        <f>((K117-D117)/D117)</f>
        <v>5.4882712174599967E-4</v>
      </c>
      <c r="S117" s="92">
        <f>((N117-G117)/G117)</f>
        <v>0</v>
      </c>
      <c r="T117" s="92">
        <f t="shared" si="32"/>
        <v>-2.8299999999999999E-2</v>
      </c>
      <c r="U117" s="93">
        <f t="shared" si="32"/>
        <v>-2.0999999999999908E-3</v>
      </c>
    </row>
    <row r="118" spans="1:21" x14ac:dyDescent="0.25">
      <c r="A118" s="84">
        <v>98</v>
      </c>
      <c r="B118" s="65" t="s">
        <v>157</v>
      </c>
      <c r="C118" s="66" t="s">
        <v>44</v>
      </c>
      <c r="D118" s="2">
        <v>26284931933.349998</v>
      </c>
      <c r="E118" s="3">
        <f>(D118/$D$119)</f>
        <v>0.28284521586205036</v>
      </c>
      <c r="F118" s="14">
        <v>3.55</v>
      </c>
      <c r="G118" s="14">
        <v>3.55</v>
      </c>
      <c r="H118" s="5"/>
      <c r="I118" s="5">
        <v>4.41E-2</v>
      </c>
      <c r="J118" s="5">
        <v>0.18329999999999999</v>
      </c>
      <c r="K118" s="2">
        <v>26294450650.139999</v>
      </c>
      <c r="L118" s="3">
        <f>(K118/$K$119)</f>
        <v>0.28287894768547428</v>
      </c>
      <c r="M118" s="14">
        <v>3.9</v>
      </c>
      <c r="N118" s="14">
        <v>3.9</v>
      </c>
      <c r="O118" s="63">
        <v>208853</v>
      </c>
      <c r="P118" s="5">
        <v>9.8599999999999993E-2</v>
      </c>
      <c r="Q118" s="5">
        <v>0.3</v>
      </c>
      <c r="R118" s="92">
        <f>((K118-D118)/D118)</f>
        <v>3.6213587366850606E-4</v>
      </c>
      <c r="S118" s="92">
        <f>((N118-G118)/G118)</f>
        <v>9.8591549295774683E-2</v>
      </c>
      <c r="T118" s="92">
        <f t="shared" si="32"/>
        <v>5.4499999999999993E-2</v>
      </c>
      <c r="U118" s="93">
        <f t="shared" si="32"/>
        <v>0.1167</v>
      </c>
    </row>
    <row r="119" spans="1:21" x14ac:dyDescent="0.25">
      <c r="A119" s="84"/>
      <c r="B119" s="19"/>
      <c r="C119" s="80" t="s">
        <v>48</v>
      </c>
      <c r="D119" s="61">
        <f>SUM(D115:D118)</f>
        <v>92930445555.669998</v>
      </c>
      <c r="E119" s="122">
        <f>(D119/$D$170)</f>
        <v>4.8210799943927032E-2</v>
      </c>
      <c r="F119" s="36"/>
      <c r="G119" s="36"/>
      <c r="H119" s="37"/>
      <c r="I119" s="37"/>
      <c r="J119" s="37"/>
      <c r="K119" s="61">
        <f>SUM(K115:K118)</f>
        <v>92953013524.979996</v>
      </c>
      <c r="L119" s="122">
        <f>(K119/$K$170)</f>
        <v>4.7961960500121421E-2</v>
      </c>
      <c r="M119" s="31"/>
      <c r="N119" s="36"/>
      <c r="O119" s="72">
        <f>SUM(O115:O118)</f>
        <v>216853</v>
      </c>
      <c r="P119" s="38"/>
      <c r="Q119" s="38"/>
      <c r="R119" s="92">
        <f>((K119-D119)/D119)</f>
        <v>2.4284796198978959E-4</v>
      </c>
      <c r="S119" s="92"/>
      <c r="T119" s="92">
        <f t="shared" si="32"/>
        <v>0</v>
      </c>
      <c r="U119" s="93">
        <f t="shared" si="32"/>
        <v>0</v>
      </c>
    </row>
    <row r="120" spans="1:21" ht="7.5" customHeight="1" x14ac:dyDescent="0.25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</row>
    <row r="121" spans="1:21" ht="15" customHeight="1" x14ac:dyDescent="0.25">
      <c r="A121" s="131" t="s">
        <v>158</v>
      </c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</row>
    <row r="122" spans="1:21" x14ac:dyDescent="0.25">
      <c r="A122" s="84">
        <v>99</v>
      </c>
      <c r="B122" s="65" t="s">
        <v>159</v>
      </c>
      <c r="C122" s="66" t="s">
        <v>52</v>
      </c>
      <c r="D122" s="4">
        <v>204029615.66</v>
      </c>
      <c r="E122" s="3">
        <f t="shared" ref="E122:E145" si="33">(D122/$D$146)</f>
        <v>5.0984468319007683E-3</v>
      </c>
      <c r="F122" s="4">
        <v>4.59</v>
      </c>
      <c r="G122" s="4">
        <v>4.68</v>
      </c>
      <c r="H122" s="6"/>
      <c r="I122" s="6">
        <v>7.9330000000000008E-3</v>
      </c>
      <c r="J122" s="6">
        <v>0.221551</v>
      </c>
      <c r="K122" s="4">
        <v>201931775.75999999</v>
      </c>
      <c r="L122" s="16">
        <f t="shared" ref="L122:L136" si="34">(K122/$K$146)</f>
        <v>5.0691027655705252E-3</v>
      </c>
      <c r="M122" s="4">
        <v>4.54</v>
      </c>
      <c r="N122" s="4">
        <v>4.6399999999999997</v>
      </c>
      <c r="O122" s="67">
        <v>11809</v>
      </c>
      <c r="P122" s="6">
        <v>-1.2378E-2</v>
      </c>
      <c r="Q122" s="6">
        <v>0.20898700000000001</v>
      </c>
      <c r="R122" s="92">
        <f t="shared" ref="R122:R146" si="35">((K122-D122)/D122)</f>
        <v>-1.0282036228975201E-2</v>
      </c>
      <c r="S122" s="92">
        <f t="shared" ref="S122:S145" si="36">((N122-G122)/G122)</f>
        <v>-8.5470085470085548E-3</v>
      </c>
      <c r="T122" s="92">
        <f t="shared" ref="T122:T146" si="37">P122-I122</f>
        <v>-2.0311000000000003E-2</v>
      </c>
      <c r="U122" s="93">
        <f t="shared" ref="U122:U146" si="38">Q122-J122</f>
        <v>-1.2563999999999992E-2</v>
      </c>
    </row>
    <row r="123" spans="1:21" x14ac:dyDescent="0.25">
      <c r="A123" s="84">
        <v>100</v>
      </c>
      <c r="B123" s="65" t="s">
        <v>160</v>
      </c>
      <c r="C123" s="66" t="s">
        <v>22</v>
      </c>
      <c r="D123" s="4">
        <v>5974958018.5299997</v>
      </c>
      <c r="E123" s="3">
        <f t="shared" si="33"/>
        <v>0.14930678412431397</v>
      </c>
      <c r="F123" s="4">
        <v>639.21379999999999</v>
      </c>
      <c r="G123" s="4">
        <v>658.48649999999998</v>
      </c>
      <c r="H123" s="6"/>
      <c r="I123" s="6">
        <v>-0.14280000000000001</v>
      </c>
      <c r="J123" s="6">
        <v>0.29499999999999998</v>
      </c>
      <c r="K123" s="4">
        <v>5963320091.04</v>
      </c>
      <c r="L123" s="16">
        <f t="shared" si="34"/>
        <v>0.14969750180080893</v>
      </c>
      <c r="M123" s="4">
        <v>637.16160000000002</v>
      </c>
      <c r="N123" s="4">
        <v>656.37249999999995</v>
      </c>
      <c r="O123" s="67">
        <v>0</v>
      </c>
      <c r="P123" s="6">
        <v>-0.16739999999999999</v>
      </c>
      <c r="Q123" s="6">
        <v>0.28220000000000001</v>
      </c>
      <c r="R123" s="92">
        <f t="shared" si="35"/>
        <v>-1.9477839767086788E-3</v>
      </c>
      <c r="S123" s="92">
        <f t="shared" si="36"/>
        <v>-3.2103923163193668E-3</v>
      </c>
      <c r="T123" s="92">
        <f t="shared" si="37"/>
        <v>-2.4599999999999983E-2</v>
      </c>
      <c r="U123" s="93">
        <f t="shared" si="38"/>
        <v>-1.2799999999999978E-2</v>
      </c>
    </row>
    <row r="124" spans="1:21" x14ac:dyDescent="0.25">
      <c r="A124" s="84">
        <v>101</v>
      </c>
      <c r="B124" s="65" t="s">
        <v>161</v>
      </c>
      <c r="C124" s="66" t="s">
        <v>94</v>
      </c>
      <c r="D124" s="4">
        <v>3254629165.5700002</v>
      </c>
      <c r="E124" s="3">
        <f t="shared" si="33"/>
        <v>8.1329142852791123E-2</v>
      </c>
      <c r="F124" s="4">
        <v>18.133700000000001</v>
      </c>
      <c r="G124" s="4">
        <v>18.341899999999999</v>
      </c>
      <c r="H124" s="5"/>
      <c r="I124" s="5">
        <v>1.2999999999999999E-3</v>
      </c>
      <c r="J124" s="5">
        <v>0.30880000000000002</v>
      </c>
      <c r="K124" s="4">
        <v>3217159932.79</v>
      </c>
      <c r="L124" s="16">
        <f t="shared" si="34"/>
        <v>8.076051553159716E-2</v>
      </c>
      <c r="M124" s="4">
        <v>17.950099999999999</v>
      </c>
      <c r="N124" s="4">
        <v>18.1539</v>
      </c>
      <c r="O124" s="63">
        <v>0</v>
      </c>
      <c r="P124" s="5">
        <v>-5.1999999999999998E-3</v>
      </c>
      <c r="Q124" s="5">
        <v>0.29549999999999998</v>
      </c>
      <c r="R124" s="92">
        <f t="shared" si="35"/>
        <v>-1.1512596635087927E-2</v>
      </c>
      <c r="S124" s="92">
        <f t="shared" si="36"/>
        <v>-1.02497560230946E-2</v>
      </c>
      <c r="T124" s="92">
        <f t="shared" si="37"/>
        <v>-6.4999999999999997E-3</v>
      </c>
      <c r="U124" s="93">
        <f t="shared" si="38"/>
        <v>-1.3300000000000034E-2</v>
      </c>
    </row>
    <row r="125" spans="1:21" x14ac:dyDescent="0.25">
      <c r="A125" s="84">
        <v>102</v>
      </c>
      <c r="B125" s="65" t="s">
        <v>162</v>
      </c>
      <c r="C125" s="66" t="s">
        <v>104</v>
      </c>
      <c r="D125" s="2">
        <v>1212650456.8699999</v>
      </c>
      <c r="E125" s="3">
        <f t="shared" si="33"/>
        <v>3.0302629645368565E-2</v>
      </c>
      <c r="F125" s="4">
        <v>2.8332999999999999</v>
      </c>
      <c r="G125" s="4">
        <v>2.9024999999999999</v>
      </c>
      <c r="H125" s="5"/>
      <c r="I125" s="5">
        <v>-1.4292416024815637</v>
      </c>
      <c r="J125" s="5">
        <v>0.35026415414963691</v>
      </c>
      <c r="K125" s="2">
        <v>1205413264.6900001</v>
      </c>
      <c r="L125" s="16">
        <f t="shared" si="34"/>
        <v>3.0259545287997496E-2</v>
      </c>
      <c r="M125" s="4">
        <v>2.8193000000000001</v>
      </c>
      <c r="N125" s="4">
        <v>2.8875999999999999</v>
      </c>
      <c r="O125" s="63">
        <v>3441</v>
      </c>
      <c r="P125" s="5">
        <v>-0.267675649070996</v>
      </c>
      <c r="Q125" s="5">
        <v>0.30425179864205298</v>
      </c>
      <c r="R125" s="92">
        <f t="shared" si="35"/>
        <v>-5.9680777251178482E-3</v>
      </c>
      <c r="S125" s="92">
        <f t="shared" si="36"/>
        <v>-5.1335055986218483E-3</v>
      </c>
      <c r="T125" s="92">
        <f t="shared" si="37"/>
        <v>1.1615659534105678</v>
      </c>
      <c r="U125" s="93">
        <f t="shared" si="38"/>
        <v>-4.6012355507583924E-2</v>
      </c>
    </row>
    <row r="126" spans="1:21" x14ac:dyDescent="0.25">
      <c r="A126" s="84">
        <v>103</v>
      </c>
      <c r="B126" s="65" t="s">
        <v>163</v>
      </c>
      <c r="C126" s="66" t="s">
        <v>58</v>
      </c>
      <c r="D126" s="2">
        <v>2869224009.1135802</v>
      </c>
      <c r="E126" s="3">
        <f t="shared" si="33"/>
        <v>7.1698346399162921E-2</v>
      </c>
      <c r="F126" s="4">
        <v>5289.4023942991898</v>
      </c>
      <c r="G126" s="4">
        <v>5330.5719750109101</v>
      </c>
      <c r="H126" s="5"/>
      <c r="I126" s="5">
        <v>0.22549130144989965</v>
      </c>
      <c r="J126" s="5">
        <v>0.35398920104897652</v>
      </c>
      <c r="K126" s="2">
        <v>2846541251.4361501</v>
      </c>
      <c r="L126" s="16">
        <f t="shared" si="34"/>
        <v>7.1456857523578748E-2</v>
      </c>
      <c r="M126" s="4">
        <v>5254.9746566191598</v>
      </c>
      <c r="N126" s="4">
        <v>5295.2144322049498</v>
      </c>
      <c r="O126" s="63">
        <v>837</v>
      </c>
      <c r="P126" s="5">
        <v>-0.33938817162716828</v>
      </c>
      <c r="Q126" s="5">
        <v>0.33390017587565102</v>
      </c>
      <c r="R126" s="92">
        <f t="shared" si="35"/>
        <v>-7.905537387594138E-3</v>
      </c>
      <c r="S126" s="92">
        <f t="shared" si="36"/>
        <v>-6.6329735292408138E-3</v>
      </c>
      <c r="T126" s="92">
        <f t="shared" si="37"/>
        <v>-0.56487947307706787</v>
      </c>
      <c r="U126" s="93">
        <f t="shared" si="38"/>
        <v>-2.0089025173325503E-2</v>
      </c>
    </row>
    <row r="127" spans="1:21" x14ac:dyDescent="0.25">
      <c r="A127" s="84">
        <v>104</v>
      </c>
      <c r="B127" s="65" t="s">
        <v>164</v>
      </c>
      <c r="C127" s="66" t="s">
        <v>60</v>
      </c>
      <c r="D127" s="4">
        <v>431738448.56999999</v>
      </c>
      <c r="E127" s="3">
        <f t="shared" si="33"/>
        <v>1.0788607909694816E-2</v>
      </c>
      <c r="F127" s="4">
        <v>156.68</v>
      </c>
      <c r="G127" s="4">
        <v>157.46</v>
      </c>
      <c r="H127" s="5"/>
      <c r="I127" s="5">
        <v>5.3E-3</v>
      </c>
      <c r="J127" s="5">
        <v>0.2213</v>
      </c>
      <c r="K127" s="4">
        <v>413229806.55000001</v>
      </c>
      <c r="L127" s="16">
        <f t="shared" si="34"/>
        <v>1.0373327067100013E-2</v>
      </c>
      <c r="M127" s="4">
        <v>155.08000000000001</v>
      </c>
      <c r="N127" s="4">
        <v>156.05000000000001</v>
      </c>
      <c r="O127" s="63">
        <v>611</v>
      </c>
      <c r="P127" s="5">
        <v>-9.5999999999999992E-3</v>
      </c>
      <c r="Q127" s="5">
        <v>0.2104</v>
      </c>
      <c r="R127" s="92">
        <f t="shared" si="35"/>
        <v>-4.287003411742487E-2</v>
      </c>
      <c r="S127" s="92">
        <f t="shared" si="36"/>
        <v>-8.954655150514395E-3</v>
      </c>
      <c r="T127" s="92">
        <f t="shared" si="37"/>
        <v>-1.49E-2</v>
      </c>
      <c r="U127" s="93">
        <f t="shared" si="38"/>
        <v>-1.0899999999999993E-2</v>
      </c>
    </row>
    <row r="128" spans="1:21" x14ac:dyDescent="0.25">
      <c r="A128" s="84">
        <v>105</v>
      </c>
      <c r="B128" s="65" t="s">
        <v>165</v>
      </c>
      <c r="C128" s="66" t="s">
        <v>62</v>
      </c>
      <c r="D128" s="4">
        <v>3734808.11</v>
      </c>
      <c r="E128" s="3">
        <f t="shared" si="33"/>
        <v>9.3328218624488276E-5</v>
      </c>
      <c r="F128" s="4">
        <v>102.747</v>
      </c>
      <c r="G128" s="4">
        <v>102.99</v>
      </c>
      <c r="H128" s="5"/>
      <c r="I128" s="5">
        <v>0</v>
      </c>
      <c r="J128" s="5">
        <v>0</v>
      </c>
      <c r="K128" s="4">
        <v>3734808.11</v>
      </c>
      <c r="L128" s="16">
        <f t="shared" si="34"/>
        <v>9.375506181740036E-5</v>
      </c>
      <c r="M128" s="4">
        <v>102.747</v>
      </c>
      <c r="N128" s="4">
        <v>102.99</v>
      </c>
      <c r="O128" s="63">
        <v>0</v>
      </c>
      <c r="P128" s="5">
        <v>0</v>
      </c>
      <c r="Q128" s="5">
        <v>0</v>
      </c>
      <c r="R128" s="92">
        <f t="shared" si="35"/>
        <v>0</v>
      </c>
      <c r="S128" s="92">
        <f t="shared" si="36"/>
        <v>0</v>
      </c>
      <c r="T128" s="92">
        <f t="shared" si="37"/>
        <v>0</v>
      </c>
      <c r="U128" s="93">
        <f t="shared" si="38"/>
        <v>0</v>
      </c>
    </row>
    <row r="129" spans="1:21" x14ac:dyDescent="0.25">
      <c r="A129" s="84">
        <v>106</v>
      </c>
      <c r="B129" s="65" t="s">
        <v>166</v>
      </c>
      <c r="C129" s="66" t="s">
        <v>108</v>
      </c>
      <c r="D129" s="4">
        <v>162860881.53</v>
      </c>
      <c r="E129" s="3">
        <f t="shared" si="33"/>
        <v>4.0696912690405193E-3</v>
      </c>
      <c r="F129" s="4">
        <v>1.4459</v>
      </c>
      <c r="G129" s="4">
        <v>1.4594</v>
      </c>
      <c r="H129" s="5"/>
      <c r="I129" s="5">
        <v>-5.3E-3</v>
      </c>
      <c r="J129" s="5">
        <v>0.20369999999999999</v>
      </c>
      <c r="K129" s="4">
        <v>162061703.44</v>
      </c>
      <c r="L129" s="16">
        <f t="shared" si="34"/>
        <v>4.0682424844178684E-3</v>
      </c>
      <c r="M129" s="4">
        <v>1.4390000000000001</v>
      </c>
      <c r="N129" s="4">
        <v>1.4522999999999999</v>
      </c>
      <c r="O129" s="63">
        <v>0</v>
      </c>
      <c r="P129" s="5">
        <v>-4.7999999999999996E-3</v>
      </c>
      <c r="Q129" s="5">
        <v>0.19800000000000001</v>
      </c>
      <c r="R129" s="92">
        <f t="shared" si="35"/>
        <v>-4.90712123434497E-3</v>
      </c>
      <c r="S129" s="92">
        <f t="shared" si="36"/>
        <v>-4.8650130190489973E-3</v>
      </c>
      <c r="T129" s="92">
        <f t="shared" si="37"/>
        <v>5.0000000000000044E-4</v>
      </c>
      <c r="U129" s="93">
        <f t="shared" si="38"/>
        <v>-5.6999999999999829E-3</v>
      </c>
    </row>
    <row r="130" spans="1:21" x14ac:dyDescent="0.25">
      <c r="A130" s="84">
        <v>107</v>
      </c>
      <c r="B130" s="65" t="s">
        <v>167</v>
      </c>
      <c r="C130" s="66" t="s">
        <v>26</v>
      </c>
      <c r="D130" s="9">
        <v>112786583.75</v>
      </c>
      <c r="E130" s="3">
        <f t="shared" si="33"/>
        <v>2.8183967251075603E-3</v>
      </c>
      <c r="F130" s="4">
        <v>123.05289999999999</v>
      </c>
      <c r="G130" s="4">
        <v>123.3403</v>
      </c>
      <c r="H130" s="5"/>
      <c r="I130" s="5">
        <v>0.14690800000000001</v>
      </c>
      <c r="J130" s="5">
        <v>0.188</v>
      </c>
      <c r="K130" s="9">
        <v>113929542.69</v>
      </c>
      <c r="L130" s="16">
        <f t="shared" si="34"/>
        <v>2.8599786128581323E-3</v>
      </c>
      <c r="M130" s="4">
        <v>121.7072</v>
      </c>
      <c r="N130" s="4">
        <v>122.1455</v>
      </c>
      <c r="O130" s="63">
        <v>68</v>
      </c>
      <c r="P130" s="5">
        <v>-3.2420000000000001E-3</v>
      </c>
      <c r="Q130" s="5">
        <v>0.17549999999999999</v>
      </c>
      <c r="R130" s="92">
        <f t="shared" si="35"/>
        <v>1.0133820016514132E-2</v>
      </c>
      <c r="S130" s="92">
        <f t="shared" si="36"/>
        <v>-9.6870203818216812E-3</v>
      </c>
      <c r="T130" s="92">
        <f t="shared" si="37"/>
        <v>-0.15015000000000001</v>
      </c>
      <c r="U130" s="93">
        <f t="shared" si="38"/>
        <v>-1.2500000000000011E-2</v>
      </c>
    </row>
    <row r="131" spans="1:21" x14ac:dyDescent="0.25">
      <c r="A131" s="84">
        <v>108</v>
      </c>
      <c r="B131" s="65" t="s">
        <v>168</v>
      </c>
      <c r="C131" s="66" t="s">
        <v>66</v>
      </c>
      <c r="D131" s="9">
        <v>180465262.38</v>
      </c>
      <c r="E131" s="3">
        <f t="shared" si="33"/>
        <v>4.5096028940363091E-3</v>
      </c>
      <c r="F131" s="4">
        <v>113.45</v>
      </c>
      <c r="G131" s="4">
        <v>115.29</v>
      </c>
      <c r="H131" s="5"/>
      <c r="I131" s="5">
        <v>5.9999999999999995E-4</v>
      </c>
      <c r="J131" s="5">
        <v>9.9900000000000003E-2</v>
      </c>
      <c r="K131" s="9">
        <v>180334580.38</v>
      </c>
      <c r="L131" s="16">
        <f t="shared" si="34"/>
        <v>4.5269473647313718E-3</v>
      </c>
      <c r="M131" s="4">
        <v>113.3</v>
      </c>
      <c r="N131" s="4">
        <v>115.21</v>
      </c>
      <c r="O131" s="63">
        <v>30</v>
      </c>
      <c r="P131" s="5">
        <v>-1.1000000000000001E-3</v>
      </c>
      <c r="Q131" s="5">
        <v>9.8799999999999999E-2</v>
      </c>
      <c r="R131" s="92">
        <f t="shared" si="35"/>
        <v>-7.2413936220493808E-4</v>
      </c>
      <c r="S131" s="92">
        <f t="shared" si="36"/>
        <v>-6.9390233324670393E-4</v>
      </c>
      <c r="T131" s="92">
        <f t="shared" si="37"/>
        <v>-1.7000000000000001E-3</v>
      </c>
      <c r="U131" s="93">
        <f t="shared" si="38"/>
        <v>-1.1000000000000038E-3</v>
      </c>
    </row>
    <row r="132" spans="1:21" ht="15.75" customHeight="1" x14ac:dyDescent="0.25">
      <c r="A132" s="84">
        <v>109</v>
      </c>
      <c r="B132" s="65" t="s">
        <v>169</v>
      </c>
      <c r="C132" s="66" t="s">
        <v>69</v>
      </c>
      <c r="D132" s="2">
        <v>521727575.39999998</v>
      </c>
      <c r="E132" s="3">
        <f t="shared" si="33"/>
        <v>1.3037324485020299E-2</v>
      </c>
      <c r="F132" s="4">
        <v>1.2548999999999999</v>
      </c>
      <c r="G132" s="4">
        <v>1.2548999999999999</v>
      </c>
      <c r="H132" s="5"/>
      <c r="I132" s="5">
        <v>-0.35181476443940124</v>
      </c>
      <c r="J132" s="5">
        <v>0.3168781301292955</v>
      </c>
      <c r="K132" s="2">
        <v>526330546.60000002</v>
      </c>
      <c r="L132" s="16">
        <f t="shared" si="34"/>
        <v>1.3212500208710622E-2</v>
      </c>
      <c r="M132" s="4">
        <v>1.2656000000000001</v>
      </c>
      <c r="N132" s="4">
        <v>1.2656000000000001</v>
      </c>
      <c r="O132" s="63">
        <v>109</v>
      </c>
      <c r="P132" s="5">
        <v>0.42110994899885362</v>
      </c>
      <c r="Q132" s="5">
        <v>0.3220538401044199</v>
      </c>
      <c r="R132" s="92">
        <f t="shared" si="35"/>
        <v>8.8225568611569466E-3</v>
      </c>
      <c r="S132" s="92">
        <f t="shared" si="36"/>
        <v>8.5265758227748463E-3</v>
      </c>
      <c r="T132" s="92">
        <f t="shared" si="37"/>
        <v>0.77292471343825486</v>
      </c>
      <c r="U132" s="93">
        <f t="shared" si="38"/>
        <v>5.1757099751243985E-3</v>
      </c>
    </row>
    <row r="133" spans="1:21" x14ac:dyDescent="0.25">
      <c r="A133" s="84">
        <v>110</v>
      </c>
      <c r="B133" s="65" t="s">
        <v>170</v>
      </c>
      <c r="C133" s="66" t="s">
        <v>28</v>
      </c>
      <c r="D133" s="4">
        <v>6581243485.6899996</v>
      </c>
      <c r="E133" s="3">
        <f t="shared" si="33"/>
        <v>0.16445710536209196</v>
      </c>
      <c r="F133" s="4">
        <v>269.5</v>
      </c>
      <c r="G133" s="4">
        <v>271.94</v>
      </c>
      <c r="H133" s="5"/>
      <c r="I133" s="5">
        <v>3.5999999999999999E-3</v>
      </c>
      <c r="J133" s="5">
        <v>0.34960000000000002</v>
      </c>
      <c r="K133" s="4">
        <v>6622793526.3599997</v>
      </c>
      <c r="L133" s="16">
        <f t="shared" si="34"/>
        <v>0.16625229414203041</v>
      </c>
      <c r="M133" s="4">
        <v>271.13</v>
      </c>
      <c r="N133" s="4">
        <v>273.58999999999997</v>
      </c>
      <c r="O133" s="63">
        <v>5461</v>
      </c>
      <c r="P133" s="5">
        <v>6.0000000000000001E-3</v>
      </c>
      <c r="Q133" s="5">
        <v>0.35770000000000002</v>
      </c>
      <c r="R133" s="92">
        <f t="shared" si="35"/>
        <v>6.3134027422545409E-3</v>
      </c>
      <c r="S133" s="92">
        <f t="shared" si="36"/>
        <v>6.0675148929910175E-3</v>
      </c>
      <c r="T133" s="92">
        <f t="shared" si="37"/>
        <v>2.4000000000000002E-3</v>
      </c>
      <c r="U133" s="93">
        <f t="shared" si="38"/>
        <v>8.0999999999999961E-3</v>
      </c>
    </row>
    <row r="134" spans="1:21" x14ac:dyDescent="0.25">
      <c r="A134" s="84">
        <v>111</v>
      </c>
      <c r="B134" s="65" t="s">
        <v>171</v>
      </c>
      <c r="C134" s="66" t="s">
        <v>74</v>
      </c>
      <c r="D134" s="4">
        <v>2331885369.5300002</v>
      </c>
      <c r="E134" s="3">
        <f t="shared" si="33"/>
        <v>5.8270920798322218E-2</v>
      </c>
      <c r="F134" s="4">
        <v>1.6241000000000001</v>
      </c>
      <c r="G134" s="4">
        <v>1.6496</v>
      </c>
      <c r="H134" s="5"/>
      <c r="I134" s="5">
        <v>-1.1599999999999999E-2</v>
      </c>
      <c r="J134" s="5">
        <v>0.2611</v>
      </c>
      <c r="K134" s="4">
        <v>2303053327.4200001</v>
      </c>
      <c r="L134" s="16">
        <f t="shared" si="34"/>
        <v>5.7813654871021393E-2</v>
      </c>
      <c r="M134" s="4">
        <v>1.6043000000000001</v>
      </c>
      <c r="N134" s="4">
        <v>1.6289</v>
      </c>
      <c r="O134" s="63">
        <v>10318</v>
      </c>
      <c r="P134" s="5">
        <v>-1.23E-2</v>
      </c>
      <c r="Q134" s="5">
        <v>0.2455</v>
      </c>
      <c r="R134" s="92">
        <f t="shared" si="35"/>
        <v>-1.2364262191760882E-2</v>
      </c>
      <c r="S134" s="92">
        <f t="shared" si="36"/>
        <v>-1.2548496605237597E-2</v>
      </c>
      <c r="T134" s="92">
        <f t="shared" si="37"/>
        <v>-7.0000000000000097E-4</v>
      </c>
      <c r="U134" s="93">
        <f t="shared" si="38"/>
        <v>-1.5600000000000003E-2</v>
      </c>
    </row>
    <row r="135" spans="1:21" x14ac:dyDescent="0.25">
      <c r="A135" s="84">
        <v>112</v>
      </c>
      <c r="B135" s="65" t="s">
        <v>172</v>
      </c>
      <c r="C135" s="66" t="s">
        <v>76</v>
      </c>
      <c r="D135" s="4">
        <v>158737005.13365284</v>
      </c>
      <c r="E135" s="3">
        <f t="shared" si="33"/>
        <v>3.9666407168935033E-3</v>
      </c>
      <c r="F135" s="4">
        <v>103.69339273319588</v>
      </c>
      <c r="G135" s="4">
        <v>108.70547547996027</v>
      </c>
      <c r="H135" s="5"/>
      <c r="I135" s="5">
        <v>0.01</v>
      </c>
      <c r="J135" s="5">
        <v>3.1399999999999997E-2</v>
      </c>
      <c r="K135" s="4">
        <v>157299289.11834484</v>
      </c>
      <c r="L135" s="16">
        <f t="shared" si="34"/>
        <v>3.948691376040616E-3</v>
      </c>
      <c r="M135" s="4">
        <v>102.75421883805647</v>
      </c>
      <c r="N135" s="4">
        <v>107.80646326101662</v>
      </c>
      <c r="O135" s="63">
        <v>39</v>
      </c>
      <c r="P135" s="5">
        <v>-8.2701650029523011E-3</v>
      </c>
      <c r="Q135" s="5">
        <v>-8.0275876421322168E-2</v>
      </c>
      <c r="R135" s="92">
        <f t="shared" si="35"/>
        <v>-9.0572202373193928E-3</v>
      </c>
      <c r="S135" s="92">
        <f t="shared" si="36"/>
        <v>-8.2701650029522681E-3</v>
      </c>
      <c r="T135" s="92">
        <f t="shared" si="37"/>
        <v>-1.8270165002952303E-2</v>
      </c>
      <c r="U135" s="93">
        <f t="shared" si="38"/>
        <v>-0.11167587642132216</v>
      </c>
    </row>
    <row r="136" spans="1:21" ht="13.5" customHeight="1" x14ac:dyDescent="0.25">
      <c r="A136" s="84">
        <v>113</v>
      </c>
      <c r="B136" s="65" t="s">
        <v>173</v>
      </c>
      <c r="C136" s="66" t="s">
        <v>34</v>
      </c>
      <c r="D136" s="2">
        <v>2646507846.4299998</v>
      </c>
      <c r="E136" s="3">
        <f t="shared" si="33"/>
        <v>6.6132945952889308E-2</v>
      </c>
      <c r="F136" s="4">
        <v>3.65</v>
      </c>
      <c r="G136" s="4">
        <v>3.72</v>
      </c>
      <c r="H136" s="5"/>
      <c r="I136" s="5">
        <v>1.2699999999999999E-2</v>
      </c>
      <c r="J136" s="5">
        <v>0.184</v>
      </c>
      <c r="K136" s="2">
        <v>2628749446.0100002</v>
      </c>
      <c r="L136" s="16">
        <f t="shared" si="34"/>
        <v>6.5989619695113202E-2</v>
      </c>
      <c r="M136" s="4">
        <v>3.6292</v>
      </c>
      <c r="N136" s="4">
        <v>3.6987999999999999</v>
      </c>
      <c r="O136" s="63">
        <v>2236</v>
      </c>
      <c r="P136" s="5">
        <v>-6.5967755180248444E-3</v>
      </c>
      <c r="Q136" s="5">
        <v>0.17617319159968892</v>
      </c>
      <c r="R136" s="92">
        <f t="shared" si="35"/>
        <v>-6.7101257394550137E-3</v>
      </c>
      <c r="S136" s="92">
        <f t="shared" si="36"/>
        <v>-5.6989247311828844E-3</v>
      </c>
      <c r="T136" s="92">
        <f t="shared" si="37"/>
        <v>-1.9296775518024844E-2</v>
      </c>
      <c r="U136" s="93">
        <f t="shared" si="38"/>
        <v>-7.8268084003110805E-3</v>
      </c>
    </row>
    <row r="137" spans="1:21" x14ac:dyDescent="0.25">
      <c r="A137" s="84">
        <v>114</v>
      </c>
      <c r="B137" s="65" t="s">
        <v>174</v>
      </c>
      <c r="C137" s="66" t="s">
        <v>117</v>
      </c>
      <c r="D137" s="2">
        <v>155373183.38</v>
      </c>
      <c r="E137" s="3">
        <f t="shared" si="33"/>
        <v>3.8825829868060738E-3</v>
      </c>
      <c r="F137" s="4">
        <v>170.38040899999999</v>
      </c>
      <c r="G137" s="4">
        <v>175.28889699999999</v>
      </c>
      <c r="H137" s="5"/>
      <c r="I137" s="5">
        <v>-9.1000000000000004E-3</v>
      </c>
      <c r="J137" s="5">
        <v>0.1641</v>
      </c>
      <c r="K137" s="2">
        <v>185292630.46000001</v>
      </c>
      <c r="L137" s="16">
        <v>1.4052378000000001</v>
      </c>
      <c r="M137" s="4">
        <v>177.526363</v>
      </c>
      <c r="N137" s="4">
        <v>181.90943100000001</v>
      </c>
      <c r="O137" s="63">
        <v>138</v>
      </c>
      <c r="P137" s="5">
        <v>3.7400000000000003E-2</v>
      </c>
      <c r="Q137" s="5">
        <v>0.20799999999999999</v>
      </c>
      <c r="R137" s="92">
        <f t="shared" si="35"/>
        <v>0.19256506450553498</v>
      </c>
      <c r="S137" s="92">
        <f t="shared" si="36"/>
        <v>3.7769271832431124E-2</v>
      </c>
      <c r="T137" s="92">
        <f t="shared" si="37"/>
        <v>4.65E-2</v>
      </c>
      <c r="U137" s="93">
        <f t="shared" si="38"/>
        <v>4.3899999999999995E-2</v>
      </c>
    </row>
    <row r="138" spans="1:21" x14ac:dyDescent="0.25">
      <c r="A138" s="84">
        <v>115</v>
      </c>
      <c r="B138" s="65" t="s">
        <v>175</v>
      </c>
      <c r="C138" s="66" t="s">
        <v>30</v>
      </c>
      <c r="D138" s="2">
        <v>1602704381.1199999</v>
      </c>
      <c r="E138" s="3">
        <f t="shared" si="33"/>
        <v>4.0049593035609135E-2</v>
      </c>
      <c r="F138" s="4">
        <v>552.20000000000005</v>
      </c>
      <c r="G138" s="4">
        <v>552.20000000000005</v>
      </c>
      <c r="H138" s="5"/>
      <c r="I138" s="5">
        <v>1.83E-2</v>
      </c>
      <c r="J138" s="5">
        <v>0.39254</v>
      </c>
      <c r="K138" s="2">
        <v>1597581555.71</v>
      </c>
      <c r="L138" s="16">
        <f t="shared" ref="L138:L145" si="39">(K138/$K$146)</f>
        <v>4.0104164150465471E-2</v>
      </c>
      <c r="M138" s="4">
        <v>552.20000000000005</v>
      </c>
      <c r="N138" s="4">
        <v>552.20000000000005</v>
      </c>
      <c r="O138" s="63">
        <v>0</v>
      </c>
      <c r="P138" s="5">
        <v>-3.1900000000000001E-3</v>
      </c>
      <c r="Q138" s="5">
        <v>0.38808999999999999</v>
      </c>
      <c r="R138" s="92">
        <f t="shared" si="35"/>
        <v>-3.1963632659567083E-3</v>
      </c>
      <c r="S138" s="92">
        <f t="shared" si="36"/>
        <v>0</v>
      </c>
      <c r="T138" s="92">
        <f t="shared" si="37"/>
        <v>-2.1490000000000002E-2</v>
      </c>
      <c r="U138" s="93">
        <f t="shared" si="38"/>
        <v>-4.4500000000000095E-3</v>
      </c>
    </row>
    <row r="139" spans="1:21" x14ac:dyDescent="0.25">
      <c r="A139" s="84">
        <v>116</v>
      </c>
      <c r="B139" s="65" t="s">
        <v>176</v>
      </c>
      <c r="C139" s="66" t="s">
        <v>83</v>
      </c>
      <c r="D139" s="2">
        <v>24596523.690000001</v>
      </c>
      <c r="E139" s="3">
        <f t="shared" si="33"/>
        <v>6.1463659516973826E-4</v>
      </c>
      <c r="F139" s="4">
        <v>1.55</v>
      </c>
      <c r="G139" s="4">
        <v>1.55</v>
      </c>
      <c r="H139" s="5"/>
      <c r="I139" s="5">
        <v>-2.019E-3</v>
      </c>
      <c r="J139" s="5">
        <v>0.28207199999999999</v>
      </c>
      <c r="K139" s="2">
        <v>24298954.059999999</v>
      </c>
      <c r="L139" s="16">
        <f t="shared" si="39"/>
        <v>6.0997777473324364E-4</v>
      </c>
      <c r="M139" s="4">
        <v>1.53</v>
      </c>
      <c r="N139" s="4">
        <v>1.53</v>
      </c>
      <c r="O139" s="63">
        <v>7</v>
      </c>
      <c r="P139" s="5">
        <v>-1.1832000000000001E-2</v>
      </c>
      <c r="Q139" s="5">
        <v>0.266903</v>
      </c>
      <c r="R139" s="92">
        <f t="shared" si="35"/>
        <v>-1.2098036037547168E-2</v>
      </c>
      <c r="S139" s="92">
        <f t="shared" si="36"/>
        <v>-1.2903225806451623E-2</v>
      </c>
      <c r="T139" s="92">
        <f t="shared" si="37"/>
        <v>-9.8130000000000005E-3</v>
      </c>
      <c r="U139" s="93">
        <f t="shared" si="38"/>
        <v>-1.5168999999999988E-2</v>
      </c>
    </row>
    <row r="140" spans="1:21" x14ac:dyDescent="0.25">
      <c r="A140" s="84">
        <v>117</v>
      </c>
      <c r="B140" s="65" t="s">
        <v>177</v>
      </c>
      <c r="C140" s="66" t="s">
        <v>40</v>
      </c>
      <c r="D140" s="4">
        <v>199916738.36000001</v>
      </c>
      <c r="E140" s="3">
        <f t="shared" si="33"/>
        <v>4.9956711335182096E-3</v>
      </c>
      <c r="F140" s="4">
        <v>2.0317479999999999</v>
      </c>
      <c r="G140" s="4">
        <v>2.0944820000000002</v>
      </c>
      <c r="H140" s="5"/>
      <c r="I140" s="5">
        <v>8.0000000000000004E-4</v>
      </c>
      <c r="J140" s="5">
        <v>0.29759999999999998</v>
      </c>
      <c r="K140" s="4">
        <v>197780788.19</v>
      </c>
      <c r="L140" s="16">
        <f t="shared" si="39"/>
        <v>4.9649003313981819E-3</v>
      </c>
      <c r="M140" s="4">
        <v>2</v>
      </c>
      <c r="N140" s="4">
        <v>2.0499999999999998</v>
      </c>
      <c r="O140" s="63">
        <v>112</v>
      </c>
      <c r="P140" s="5">
        <v>7.5144912552769897E-4</v>
      </c>
      <c r="Q140" s="5">
        <v>0.27427893081761001</v>
      </c>
      <c r="R140" s="92">
        <f t="shared" si="35"/>
        <v>-1.0684198769558279E-2</v>
      </c>
      <c r="S140" s="92">
        <f t="shared" si="36"/>
        <v>-2.1237709371577485E-2</v>
      </c>
      <c r="T140" s="92">
        <f t="shared" si="37"/>
        <v>-4.8550874472301064E-5</v>
      </c>
      <c r="U140" s="93">
        <f t="shared" si="38"/>
        <v>-2.3321069182389964E-2</v>
      </c>
    </row>
    <row r="141" spans="1:21" x14ac:dyDescent="0.25">
      <c r="A141" s="84">
        <v>118</v>
      </c>
      <c r="B141" s="65" t="s">
        <v>178</v>
      </c>
      <c r="C141" s="66" t="s">
        <v>44</v>
      </c>
      <c r="D141" s="2">
        <v>2055842087.78</v>
      </c>
      <c r="E141" s="3">
        <f t="shared" si="33"/>
        <v>5.1372941841918686E-2</v>
      </c>
      <c r="F141" s="4">
        <v>4653.62</v>
      </c>
      <c r="G141" s="4">
        <v>4691.42</v>
      </c>
      <c r="H141" s="5"/>
      <c r="I141" s="5">
        <v>-7.4999999999999997E-3</v>
      </c>
      <c r="J141" s="5">
        <v>0.27579999999999999</v>
      </c>
      <c r="K141" s="2">
        <v>2041731802.8199999</v>
      </c>
      <c r="L141" s="3">
        <f t="shared" si="39"/>
        <v>5.1253688476097202E-2</v>
      </c>
      <c r="M141" s="4">
        <v>4623.49</v>
      </c>
      <c r="N141" s="4">
        <v>4660.6000000000004</v>
      </c>
      <c r="O141" s="63">
        <v>3957</v>
      </c>
      <c r="P141" s="5">
        <v>-6.7000000000000002E-3</v>
      </c>
      <c r="Q141" s="5">
        <v>0.26729999999999998</v>
      </c>
      <c r="R141" s="92">
        <f t="shared" si="35"/>
        <v>-6.8635062215488653E-3</v>
      </c>
      <c r="S141" s="92">
        <f t="shared" si="36"/>
        <v>-6.5694395300356203E-3</v>
      </c>
      <c r="T141" s="92">
        <f t="shared" si="37"/>
        <v>7.999999999999995E-4</v>
      </c>
      <c r="U141" s="93">
        <f t="shared" si="38"/>
        <v>-8.5000000000000075E-3</v>
      </c>
    </row>
    <row r="142" spans="1:21" x14ac:dyDescent="0.25">
      <c r="A142" s="84">
        <v>119</v>
      </c>
      <c r="B142" s="65" t="s">
        <v>179</v>
      </c>
      <c r="C142" s="66" t="s">
        <v>47</v>
      </c>
      <c r="D142" s="4">
        <v>1567842581.22</v>
      </c>
      <c r="E142" s="3">
        <f t="shared" si="33"/>
        <v>3.9178439930313363E-2</v>
      </c>
      <c r="F142" s="4">
        <v>1.7362</v>
      </c>
      <c r="G142" s="4">
        <v>1.7476</v>
      </c>
      <c r="H142" s="5"/>
      <c r="I142" s="5">
        <v>5.0000000000000001E-4</v>
      </c>
      <c r="J142" s="5">
        <v>0.33939999999999998</v>
      </c>
      <c r="K142" s="4">
        <v>1542397904.0899999</v>
      </c>
      <c r="L142" s="16">
        <f t="shared" si="39"/>
        <v>3.8718886375393113E-2</v>
      </c>
      <c r="M142" s="4">
        <v>1.7153</v>
      </c>
      <c r="N142" s="4">
        <v>1.7257</v>
      </c>
      <c r="O142" s="63">
        <v>1840</v>
      </c>
      <c r="P142" s="5">
        <v>-1.2E-2</v>
      </c>
      <c r="Q142" s="5">
        <v>0.32419999999999999</v>
      </c>
      <c r="R142" s="92">
        <f t="shared" si="35"/>
        <v>-1.622910197412843E-2</v>
      </c>
      <c r="S142" s="92">
        <f t="shared" si="36"/>
        <v>-1.2531471732661954E-2</v>
      </c>
      <c r="T142" s="92">
        <f t="shared" si="37"/>
        <v>-1.2500000000000001E-2</v>
      </c>
      <c r="U142" s="93">
        <f t="shared" si="38"/>
        <v>-1.5199999999999991E-2</v>
      </c>
    </row>
    <row r="143" spans="1:21" x14ac:dyDescent="0.25">
      <c r="A143" s="84">
        <v>120</v>
      </c>
      <c r="B143" s="65" t="s">
        <v>180</v>
      </c>
      <c r="C143" s="66" t="s">
        <v>47</v>
      </c>
      <c r="D143" s="4">
        <v>845622955.13</v>
      </c>
      <c r="E143" s="3">
        <f t="shared" si="33"/>
        <v>2.113106797078752E-2</v>
      </c>
      <c r="F143" s="4">
        <v>1.3415999999999999</v>
      </c>
      <c r="G143" s="4">
        <v>1.3529</v>
      </c>
      <c r="H143" s="5"/>
      <c r="I143" s="5">
        <v>-9.1000000000000004E-3</v>
      </c>
      <c r="J143" s="5">
        <v>0.2492</v>
      </c>
      <c r="K143" s="4">
        <v>817560785.12</v>
      </c>
      <c r="L143" s="16">
        <f t="shared" si="39"/>
        <v>2.0523266441233035E-2</v>
      </c>
      <c r="M143" s="4">
        <v>1.3228</v>
      </c>
      <c r="N143" s="4">
        <v>1.3339000000000001</v>
      </c>
      <c r="O143" s="63">
        <v>441</v>
      </c>
      <c r="P143" s="5">
        <v>-1.4E-2</v>
      </c>
      <c r="Q143" s="5">
        <v>0.23300000000000001</v>
      </c>
      <c r="R143" s="92">
        <f t="shared" si="35"/>
        <v>-3.3185203688901647E-2</v>
      </c>
      <c r="S143" s="92">
        <f t="shared" si="36"/>
        <v>-1.4043905684085967E-2</v>
      </c>
      <c r="T143" s="92">
        <f t="shared" si="37"/>
        <v>-4.8999999999999998E-3</v>
      </c>
      <c r="U143" s="93">
        <f t="shared" si="38"/>
        <v>-1.6199999999999992E-2</v>
      </c>
    </row>
    <row r="144" spans="1:21" x14ac:dyDescent="0.25">
      <c r="A144" s="84">
        <v>121</v>
      </c>
      <c r="B144" s="65" t="s">
        <v>181</v>
      </c>
      <c r="C144" s="66" t="s">
        <v>90</v>
      </c>
      <c r="D144" s="4">
        <v>6656001632.1099997</v>
      </c>
      <c r="E144" s="3">
        <f t="shared" si="33"/>
        <v>0.16632521864329808</v>
      </c>
      <c r="F144" s="4">
        <v>295</v>
      </c>
      <c r="G144" s="4">
        <v>298.33</v>
      </c>
      <c r="H144" s="5"/>
      <c r="I144" s="5">
        <v>-1.2999999999999999E-3</v>
      </c>
      <c r="J144" s="5">
        <v>0.56469999999999998</v>
      </c>
      <c r="K144" s="4">
        <v>6626202685.96</v>
      </c>
      <c r="L144" s="16">
        <f t="shared" si="39"/>
        <v>0.16633787443414438</v>
      </c>
      <c r="M144" s="4">
        <v>293.72000000000003</v>
      </c>
      <c r="N144" s="4">
        <v>296.97000000000003</v>
      </c>
      <c r="O144" s="63">
        <v>0</v>
      </c>
      <c r="P144" s="5">
        <v>-4.4999999999999997E-3</v>
      </c>
      <c r="Q144" s="5">
        <v>0.55800000000000005</v>
      </c>
      <c r="R144" s="92">
        <f t="shared" si="35"/>
        <v>-4.4770040329081386E-3</v>
      </c>
      <c r="S144" s="92">
        <f t="shared" si="36"/>
        <v>-4.5587101531859246E-3</v>
      </c>
      <c r="T144" s="92">
        <f t="shared" si="37"/>
        <v>-3.1999999999999997E-3</v>
      </c>
      <c r="U144" s="93">
        <f t="shared" si="38"/>
        <v>-6.6999999999999282E-3</v>
      </c>
    </row>
    <row r="145" spans="1:23" x14ac:dyDescent="0.25">
      <c r="A145" s="84">
        <v>122</v>
      </c>
      <c r="B145" s="65" t="s">
        <v>182</v>
      </c>
      <c r="C145" s="66" t="s">
        <v>42</v>
      </c>
      <c r="D145" s="2">
        <v>262915567.68000001</v>
      </c>
      <c r="E145" s="3">
        <f t="shared" si="33"/>
        <v>6.5699336773209702E-3</v>
      </c>
      <c r="F145" s="4">
        <v>189.31</v>
      </c>
      <c r="G145" s="4">
        <v>192.43</v>
      </c>
      <c r="H145" s="5"/>
      <c r="I145" s="5">
        <v>1.2200000000000001E-2</v>
      </c>
      <c r="J145" s="5">
        <v>0.33960000000000001</v>
      </c>
      <c r="K145" s="2">
        <v>257072331.25</v>
      </c>
      <c r="L145" s="16">
        <f t="shared" si="39"/>
        <v>6.4532986964856336E-3</v>
      </c>
      <c r="M145" s="4">
        <v>185.14</v>
      </c>
      <c r="N145" s="4">
        <v>188.16</v>
      </c>
      <c r="O145" s="63">
        <v>734</v>
      </c>
      <c r="P145" s="5">
        <v>-1.3299999999999999E-2</v>
      </c>
      <c r="Q145" s="5">
        <v>0.32190000000000002</v>
      </c>
      <c r="R145" s="92">
        <f t="shared" si="35"/>
        <v>-2.222476394821904E-2</v>
      </c>
      <c r="S145" s="92">
        <f t="shared" si="36"/>
        <v>-2.2189887231720679E-2</v>
      </c>
      <c r="T145" s="92">
        <f t="shared" si="37"/>
        <v>-2.5500000000000002E-2</v>
      </c>
      <c r="U145" s="93">
        <f t="shared" si="38"/>
        <v>-1.7699999999999994E-2</v>
      </c>
    </row>
    <row r="146" spans="1:23" x14ac:dyDescent="0.25">
      <c r="A146" s="94"/>
      <c r="B146" s="19"/>
      <c r="C146" s="80" t="s">
        <v>48</v>
      </c>
      <c r="D146" s="81">
        <f>SUM(D122:D145)</f>
        <v>40017994182.737228</v>
      </c>
      <c r="E146" s="122">
        <f>(D146/$D$170)</f>
        <v>2.0760682897462631E-2</v>
      </c>
      <c r="F146" s="31"/>
      <c r="G146" s="39"/>
      <c r="H146" s="40"/>
      <c r="I146" s="40"/>
      <c r="J146" s="40"/>
      <c r="K146" s="81">
        <f>SUM(K122:K145)</f>
        <v>39835802330.054489</v>
      </c>
      <c r="L146" s="122">
        <f>(K146/$K$170)</f>
        <v>2.0554504963212053E-2</v>
      </c>
      <c r="M146" s="31"/>
      <c r="N146" s="39"/>
      <c r="O146" s="72">
        <f>SUM(O122:O145)</f>
        <v>42188</v>
      </c>
      <c r="P146" s="40"/>
      <c r="Q146" s="40"/>
      <c r="R146" s="92">
        <f t="shared" si="35"/>
        <v>-4.5527482424726901E-3</v>
      </c>
      <c r="S146" s="92"/>
      <c r="T146" s="92">
        <f t="shared" si="37"/>
        <v>0</v>
      </c>
      <c r="U146" s="93">
        <f t="shared" si="38"/>
        <v>0</v>
      </c>
    </row>
    <row r="147" spans="1:23" ht="8.25" customHeight="1" x14ac:dyDescent="0.25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</row>
    <row r="148" spans="1:23" ht="15" customHeight="1" x14ac:dyDescent="0.25">
      <c r="A148" s="131" t="s">
        <v>183</v>
      </c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</row>
    <row r="149" spans="1:23" x14ac:dyDescent="0.25">
      <c r="A149" s="84">
        <v>123</v>
      </c>
      <c r="B149" s="65" t="s">
        <v>184</v>
      </c>
      <c r="C149" s="66" t="s">
        <v>22</v>
      </c>
      <c r="D149" s="17">
        <v>671653658.22000003</v>
      </c>
      <c r="E149" s="3">
        <f>(D149/$D$152)</f>
        <v>0.17360412478141923</v>
      </c>
      <c r="F149" s="17">
        <v>51.126600000000003</v>
      </c>
      <c r="G149" s="17">
        <v>52.668100000000003</v>
      </c>
      <c r="H149" s="6"/>
      <c r="I149" s="6">
        <v>0.28920000000000001</v>
      </c>
      <c r="J149" s="6">
        <v>0.1681</v>
      </c>
      <c r="K149" s="17">
        <v>698096858.10000002</v>
      </c>
      <c r="L149" s="16">
        <f>(K149/$K$152)</f>
        <v>0.18030175436055004</v>
      </c>
      <c r="M149" s="17">
        <v>51.779699999999998</v>
      </c>
      <c r="N149" s="17">
        <v>53.340899999999998</v>
      </c>
      <c r="O149" s="67">
        <v>0</v>
      </c>
      <c r="P149" s="6">
        <v>0.66610000000000003</v>
      </c>
      <c r="Q149" s="6">
        <v>0.183</v>
      </c>
      <c r="R149" s="92">
        <f>((K149-D149)/D149)</f>
        <v>3.9370290858057877E-2</v>
      </c>
      <c r="S149" s="92">
        <f>((N149-G149)/G149)</f>
        <v>1.2774335888326998E-2</v>
      </c>
      <c r="T149" s="92">
        <f t="shared" ref="T149:U152" si="40">P149-I149</f>
        <v>0.37690000000000001</v>
      </c>
      <c r="U149" s="93">
        <f t="shared" si="40"/>
        <v>1.4899999999999997E-2</v>
      </c>
    </row>
    <row r="150" spans="1:23" x14ac:dyDescent="0.25">
      <c r="A150" s="84">
        <v>124</v>
      </c>
      <c r="B150" s="65" t="s">
        <v>185</v>
      </c>
      <c r="C150" s="66" t="s">
        <v>186</v>
      </c>
      <c r="D150" s="9">
        <v>780672117.12</v>
      </c>
      <c r="E150" s="3">
        <f>(D150/$D$152)</f>
        <v>0.2017824186248727</v>
      </c>
      <c r="F150" s="17">
        <v>21.392499999999998</v>
      </c>
      <c r="G150" s="17">
        <v>21.6221</v>
      </c>
      <c r="H150" s="5"/>
      <c r="I150" s="5">
        <v>-1.9E-3</v>
      </c>
      <c r="J150" s="5">
        <v>0.35389999999999999</v>
      </c>
      <c r="K150" s="9">
        <v>774063542.86000001</v>
      </c>
      <c r="L150" s="16">
        <f>(K150/$K$152)</f>
        <v>0.19992213565328582</v>
      </c>
      <c r="M150" s="17">
        <v>21.214500000000001</v>
      </c>
      <c r="N150" s="17">
        <v>21.439299999999999</v>
      </c>
      <c r="O150" s="63">
        <v>0</v>
      </c>
      <c r="P150" s="5">
        <v>-3.0999999999999999E-3</v>
      </c>
      <c r="Q150" s="5">
        <v>0.34250000000000003</v>
      </c>
      <c r="R150" s="92">
        <f>((K150-D150)/D150)</f>
        <v>-8.4652367044693137E-3</v>
      </c>
      <c r="S150" s="91">
        <f>((N150-G150)/G150)</f>
        <v>-8.4543129483260326E-3</v>
      </c>
      <c r="T150" s="92">
        <f t="shared" si="40"/>
        <v>-1.1999999999999999E-3</v>
      </c>
      <c r="U150" s="93">
        <f t="shared" si="40"/>
        <v>-1.1399999999999966E-2</v>
      </c>
    </row>
    <row r="151" spans="1:23" x14ac:dyDescent="0.25">
      <c r="A151" s="84">
        <v>125</v>
      </c>
      <c r="B151" s="65" t="s">
        <v>187</v>
      </c>
      <c r="C151" s="66" t="s">
        <v>44</v>
      </c>
      <c r="D151" s="9">
        <v>2416554984.6399999</v>
      </c>
      <c r="E151" s="3">
        <f>(D151/$D$152)</f>
        <v>0.62461345659370804</v>
      </c>
      <c r="F151" s="17">
        <v>1.92</v>
      </c>
      <c r="G151" s="17">
        <v>1.95</v>
      </c>
      <c r="H151" s="5"/>
      <c r="I151" s="5">
        <v>-5.1000000000000004E-3</v>
      </c>
      <c r="J151" s="5">
        <v>0.35420000000000001</v>
      </c>
      <c r="K151" s="9">
        <v>2399664699</v>
      </c>
      <c r="L151" s="16">
        <f>(K151/$K$152)</f>
        <v>0.61977610998616417</v>
      </c>
      <c r="M151" s="17">
        <v>1.9</v>
      </c>
      <c r="N151" s="17">
        <v>1.93</v>
      </c>
      <c r="O151" s="63">
        <v>18020</v>
      </c>
      <c r="P151" s="5">
        <v>-1.03E-2</v>
      </c>
      <c r="Q151" s="5">
        <v>0.34029999999999999</v>
      </c>
      <c r="R151" s="92">
        <f>((K151-D151)/D151)</f>
        <v>-6.9894067163201977E-3</v>
      </c>
      <c r="S151" s="92">
        <f>((N151-G151)/G151)</f>
        <v>-1.0256410256410265E-2</v>
      </c>
      <c r="T151" s="92">
        <f t="shared" si="40"/>
        <v>-5.1999999999999998E-3</v>
      </c>
      <c r="U151" s="93">
        <f t="shared" si="40"/>
        <v>-1.3900000000000023E-2</v>
      </c>
    </row>
    <row r="152" spans="1:23" x14ac:dyDescent="0.25">
      <c r="A152" s="84"/>
      <c r="B152" s="19"/>
      <c r="C152" s="75" t="s">
        <v>48</v>
      </c>
      <c r="D152" s="81">
        <f>SUM(D149:D151)</f>
        <v>3868880759.98</v>
      </c>
      <c r="E152" s="122">
        <f>(D152/$D$170)</f>
        <v>2.0071122570327958E-3</v>
      </c>
      <c r="F152" s="27"/>
      <c r="G152" s="27"/>
      <c r="H152" s="34"/>
      <c r="I152" s="34"/>
      <c r="J152" s="34"/>
      <c r="K152" s="81">
        <f>SUM(K149:K151)</f>
        <v>3871825099.96</v>
      </c>
      <c r="L152" s="122">
        <f>(K152/$K$170)</f>
        <v>1.9977870051276552E-3</v>
      </c>
      <c r="M152" s="31"/>
      <c r="N152" s="39"/>
      <c r="O152" s="72">
        <f>SUM(O149:O151)</f>
        <v>18020</v>
      </c>
      <c r="P152" s="40"/>
      <c r="Q152" s="40"/>
      <c r="R152" s="92">
        <f>((K152-D152)/D152)</f>
        <v>7.6103146172311592E-4</v>
      </c>
      <c r="S152" s="92"/>
      <c r="T152" s="92">
        <f t="shared" si="40"/>
        <v>0</v>
      </c>
      <c r="U152" s="93">
        <f t="shared" si="40"/>
        <v>0</v>
      </c>
    </row>
    <row r="153" spans="1:23" ht="6" customHeight="1" x14ac:dyDescent="0.25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</row>
    <row r="154" spans="1:23" ht="15" customHeight="1" x14ac:dyDescent="0.25">
      <c r="A154" s="131" t="s">
        <v>188</v>
      </c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</row>
    <row r="155" spans="1:23" x14ac:dyDescent="0.25">
      <c r="A155" s="134" t="s">
        <v>241</v>
      </c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</row>
    <row r="156" spans="1:23" x14ac:dyDescent="0.25">
      <c r="A156" s="84">
        <v>126</v>
      </c>
      <c r="B156" s="65" t="s">
        <v>189</v>
      </c>
      <c r="C156" s="66" t="s">
        <v>190</v>
      </c>
      <c r="D156" s="13">
        <v>3665464075.4899998</v>
      </c>
      <c r="E156" s="3">
        <f>(D156/$D$169)</f>
        <v>8.0661110523121873E-2</v>
      </c>
      <c r="F156" s="18">
        <v>1.81</v>
      </c>
      <c r="G156" s="18">
        <v>1.83</v>
      </c>
      <c r="H156" s="12"/>
      <c r="I156" s="12">
        <v>1.1000000000000001E-3</v>
      </c>
      <c r="J156" s="12">
        <v>0.12590000000000001</v>
      </c>
      <c r="K156" s="13">
        <v>3669967123.5100002</v>
      </c>
      <c r="L156" s="3">
        <f>(K156/$K$169)</f>
        <v>8.0310171651131454E-2</v>
      </c>
      <c r="M156" s="18">
        <v>1.8</v>
      </c>
      <c r="N156" s="18">
        <v>1.83</v>
      </c>
      <c r="O156" s="64">
        <v>14980</v>
      </c>
      <c r="P156" s="12">
        <v>1.5E-3</v>
      </c>
      <c r="Q156" s="12">
        <v>0.1275</v>
      </c>
      <c r="R156" s="91">
        <f>((K156-D156)/D156)</f>
        <v>1.228506930435129E-3</v>
      </c>
      <c r="S156" s="91">
        <f>((N156-G156)/G156)</f>
        <v>0</v>
      </c>
      <c r="T156" s="92">
        <f>P156-I156</f>
        <v>3.9999999999999996E-4</v>
      </c>
      <c r="U156" s="93">
        <f>Q156-J156</f>
        <v>1.5999999999999903E-3</v>
      </c>
    </row>
    <row r="157" spans="1:23" x14ac:dyDescent="0.25">
      <c r="A157" s="84">
        <v>127</v>
      </c>
      <c r="B157" s="65" t="s">
        <v>191</v>
      </c>
      <c r="C157" s="66" t="s">
        <v>44</v>
      </c>
      <c r="D157" s="13">
        <v>516822347.82999998</v>
      </c>
      <c r="E157" s="3">
        <f>(D157/$D$169)</f>
        <v>1.1373038627738337E-2</v>
      </c>
      <c r="F157" s="18">
        <v>372.91</v>
      </c>
      <c r="G157" s="18">
        <v>377.58</v>
      </c>
      <c r="H157" s="12"/>
      <c r="I157" s="12">
        <v>-1.6E-2</v>
      </c>
      <c r="J157" s="12">
        <v>0.42220000000000002</v>
      </c>
      <c r="K157" s="13">
        <v>508116554.61000001</v>
      </c>
      <c r="L157" s="3">
        <f>(K157/$K$169)</f>
        <v>1.1119153481811679E-2</v>
      </c>
      <c r="M157" s="18">
        <v>370.16</v>
      </c>
      <c r="N157" s="18">
        <v>374.82</v>
      </c>
      <c r="O157" s="64">
        <v>1422</v>
      </c>
      <c r="P157" s="12">
        <v>7.3000000000000001E-3</v>
      </c>
      <c r="Q157" s="12">
        <v>0.4118</v>
      </c>
      <c r="R157" s="92">
        <f>((K157-D157)/D157)</f>
        <v>-1.6844846699360597E-2</v>
      </c>
      <c r="S157" s="92">
        <f>((N157-G157)/G157)</f>
        <v>-7.3097092006991658E-3</v>
      </c>
      <c r="T157" s="92">
        <f>P157-I157</f>
        <v>2.3300000000000001E-2</v>
      </c>
      <c r="U157" s="93">
        <f>Q157-J157</f>
        <v>-1.040000000000002E-2</v>
      </c>
    </row>
    <row r="158" spans="1:23" ht="6" customHeight="1" x14ac:dyDescent="0.25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</row>
    <row r="159" spans="1:23" ht="15" customHeight="1" x14ac:dyDescent="0.25">
      <c r="A159" s="134" t="s">
        <v>240</v>
      </c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</row>
    <row r="160" spans="1:23" x14ac:dyDescent="0.25">
      <c r="A160" s="84">
        <v>128</v>
      </c>
      <c r="B160" s="65" t="s">
        <v>192</v>
      </c>
      <c r="C160" s="66" t="s">
        <v>193</v>
      </c>
      <c r="D160" s="2">
        <v>450038155.29000002</v>
      </c>
      <c r="E160" s="3">
        <f t="shared" ref="E160:E168" si="41">(D160/$D$169)</f>
        <v>9.9034055813562727E-3</v>
      </c>
      <c r="F160" s="2">
        <v>1038.8599999999999</v>
      </c>
      <c r="G160" s="2">
        <v>1038.8599999999999</v>
      </c>
      <c r="H160" s="5"/>
      <c r="I160" s="5">
        <v>3.8899999999999997E-2</v>
      </c>
      <c r="J160" s="5">
        <v>2.5000000000000001E-3</v>
      </c>
      <c r="K160" s="2">
        <v>435955281.47000003</v>
      </c>
      <c r="L160" s="3">
        <f t="shared" ref="L160:L168" si="42">(K160/$K$169)</f>
        <v>9.5400428147670909E-3</v>
      </c>
      <c r="M160" s="2">
        <v>1040.99</v>
      </c>
      <c r="N160" s="2">
        <v>1040.99</v>
      </c>
      <c r="O160" s="63">
        <v>21</v>
      </c>
      <c r="P160" s="5">
        <v>2E-3</v>
      </c>
      <c r="Q160" s="5">
        <v>4.1000000000000002E-2</v>
      </c>
      <c r="R160" s="92">
        <f t="shared" ref="R160:R170" si="43">((K160-D160)/D160)</f>
        <v>-3.1292621868750509E-2</v>
      </c>
      <c r="S160" s="92">
        <f t="shared" ref="S160:S168" si="44">((N160-G160)/G160)</f>
        <v>2.0503243940474263E-3</v>
      </c>
      <c r="T160" s="92">
        <f t="shared" ref="T160:T169" si="45">P160-I160</f>
        <v>-3.6899999999999995E-2</v>
      </c>
      <c r="U160" s="93">
        <f t="shared" ref="U160:U169" si="46">Q160-J160</f>
        <v>3.85E-2</v>
      </c>
      <c r="W160" s="79"/>
    </row>
    <row r="161" spans="1:21" x14ac:dyDescent="0.25">
      <c r="A161" s="84">
        <v>129</v>
      </c>
      <c r="B161" s="65" t="s">
        <v>194</v>
      </c>
      <c r="C161" s="66" t="s">
        <v>60</v>
      </c>
      <c r="D161" s="2">
        <v>45681050.659999996</v>
      </c>
      <c r="E161" s="3">
        <f t="shared" si="41"/>
        <v>1.0052435926836958E-3</v>
      </c>
      <c r="F161" s="17">
        <v>109.72</v>
      </c>
      <c r="G161" s="17">
        <v>109.72</v>
      </c>
      <c r="H161" s="5"/>
      <c r="I161" s="5">
        <v>1.9E-3</v>
      </c>
      <c r="J161" s="5">
        <v>0.1202</v>
      </c>
      <c r="K161" s="2">
        <v>45727780.68</v>
      </c>
      <c r="L161" s="3">
        <f t="shared" si="42"/>
        <v>1.0006645269682306E-3</v>
      </c>
      <c r="M161" s="17">
        <v>109.79</v>
      </c>
      <c r="N161" s="17">
        <v>109.79</v>
      </c>
      <c r="O161" s="63">
        <v>54</v>
      </c>
      <c r="P161" s="5">
        <v>5.9999999999999995E-4</v>
      </c>
      <c r="Q161" s="5">
        <v>0.1181</v>
      </c>
      <c r="R161" s="92">
        <f t="shared" si="43"/>
        <v>1.0229628987260093E-3</v>
      </c>
      <c r="S161" s="92">
        <f t="shared" si="44"/>
        <v>6.3798760481231667E-4</v>
      </c>
      <c r="T161" s="92">
        <f t="shared" si="45"/>
        <v>-1.2999999999999999E-3</v>
      </c>
      <c r="U161" s="93">
        <f t="shared" si="46"/>
        <v>-2.1000000000000046E-3</v>
      </c>
    </row>
    <row r="162" spans="1:21" x14ac:dyDescent="0.25">
      <c r="A162" s="84">
        <v>130</v>
      </c>
      <c r="B162" s="71" t="s">
        <v>195</v>
      </c>
      <c r="C162" s="66" t="s">
        <v>66</v>
      </c>
      <c r="D162" s="9">
        <v>53406240.590000004</v>
      </c>
      <c r="E162" s="3">
        <f t="shared" si="41"/>
        <v>1.175241820990582E-3</v>
      </c>
      <c r="F162" s="17">
        <v>102.48</v>
      </c>
      <c r="G162" s="17">
        <v>108.45</v>
      </c>
      <c r="H162" s="5"/>
      <c r="I162" s="5">
        <v>1.8E-3</v>
      </c>
      <c r="J162" s="5">
        <v>6.3899999999999998E-2</v>
      </c>
      <c r="K162" s="9">
        <v>53463298.880000003</v>
      </c>
      <c r="L162" s="3">
        <f t="shared" si="42"/>
        <v>1.1699414642118236E-3</v>
      </c>
      <c r="M162" s="17">
        <v>102.59</v>
      </c>
      <c r="N162" s="17">
        <v>108.71</v>
      </c>
      <c r="O162" s="63">
        <v>8</v>
      </c>
      <c r="P162" s="5">
        <v>1.8E-3</v>
      </c>
      <c r="Q162" s="5">
        <v>6.5699999999999995E-2</v>
      </c>
      <c r="R162" s="92">
        <f t="shared" si="43"/>
        <v>1.0683824468761228E-3</v>
      </c>
      <c r="S162" s="92">
        <f t="shared" si="44"/>
        <v>2.3974181650529358E-3</v>
      </c>
      <c r="T162" s="92">
        <f t="shared" si="45"/>
        <v>0</v>
      </c>
      <c r="U162" s="93">
        <f t="shared" si="46"/>
        <v>1.799999999999996E-3</v>
      </c>
    </row>
    <row r="163" spans="1:21" x14ac:dyDescent="0.25">
      <c r="A163" s="84">
        <v>131</v>
      </c>
      <c r="B163" s="65" t="s">
        <v>196</v>
      </c>
      <c r="C163" s="66" t="s">
        <v>28</v>
      </c>
      <c r="D163" s="2">
        <v>9332852719.0300007</v>
      </c>
      <c r="E163" s="3">
        <f t="shared" si="41"/>
        <v>0.20537597672814817</v>
      </c>
      <c r="F163" s="17">
        <v>134.11000000000001</v>
      </c>
      <c r="G163" s="17">
        <v>134.11000000000001</v>
      </c>
      <c r="H163" s="5"/>
      <c r="I163" s="5">
        <v>2.5000000000000001E-3</v>
      </c>
      <c r="J163" s="5">
        <v>0.1313</v>
      </c>
      <c r="K163" s="2">
        <v>9280432680.2000008</v>
      </c>
      <c r="L163" s="3">
        <f t="shared" si="42"/>
        <v>0.2030844191407376</v>
      </c>
      <c r="M163" s="17">
        <v>134.43</v>
      </c>
      <c r="N163" s="17">
        <v>134.43</v>
      </c>
      <c r="O163" s="63">
        <v>579</v>
      </c>
      <c r="P163" s="5">
        <v>2.3999999999999998E-3</v>
      </c>
      <c r="Q163" s="5">
        <v>0.1313</v>
      </c>
      <c r="R163" s="92">
        <f t="shared" si="43"/>
        <v>-5.6167219614549043E-3</v>
      </c>
      <c r="S163" s="92">
        <f t="shared" si="44"/>
        <v>2.3861009618968993E-3</v>
      </c>
      <c r="T163" s="92">
        <f t="shared" si="45"/>
        <v>-1.0000000000000026E-4</v>
      </c>
      <c r="U163" s="93">
        <f t="shared" si="46"/>
        <v>0</v>
      </c>
    </row>
    <row r="164" spans="1:21" x14ac:dyDescent="0.25">
      <c r="A164" s="84">
        <v>132</v>
      </c>
      <c r="B164" s="65" t="s">
        <v>197</v>
      </c>
      <c r="C164" s="66" t="s">
        <v>190</v>
      </c>
      <c r="D164" s="2">
        <v>18110055307.509998</v>
      </c>
      <c r="E164" s="3">
        <f t="shared" si="41"/>
        <v>0.39852448220861009</v>
      </c>
      <c r="F164" s="2">
        <v>1204.28</v>
      </c>
      <c r="G164" s="2">
        <v>1204.28</v>
      </c>
      <c r="H164" s="5"/>
      <c r="I164" s="5">
        <v>4.5999999999999999E-3</v>
      </c>
      <c r="J164" s="5">
        <v>7.6600000000000001E-2</v>
      </c>
      <c r="K164" s="2">
        <v>18386675044.759998</v>
      </c>
      <c r="L164" s="3">
        <f t="shared" si="42"/>
        <v>0.40235701826287135</v>
      </c>
      <c r="M164" s="2">
        <v>1207.7</v>
      </c>
      <c r="N164" s="2">
        <v>1207.7</v>
      </c>
      <c r="O164" s="63">
        <v>7138</v>
      </c>
      <c r="P164" s="5">
        <v>2.8E-3</v>
      </c>
      <c r="Q164" s="5">
        <v>7.9500000000000001E-2</v>
      </c>
      <c r="R164" s="92">
        <f t="shared" si="43"/>
        <v>1.5274372858225865E-2</v>
      </c>
      <c r="S164" s="92">
        <f t="shared" si="44"/>
        <v>2.8398711263161996E-3</v>
      </c>
      <c r="T164" s="92">
        <f t="shared" si="45"/>
        <v>-1.8E-3</v>
      </c>
      <c r="U164" s="93">
        <f t="shared" si="46"/>
        <v>2.8999999999999998E-3</v>
      </c>
    </row>
    <row r="165" spans="1:21" x14ac:dyDescent="0.25">
      <c r="A165" s="84">
        <v>133</v>
      </c>
      <c r="B165" s="65" t="s">
        <v>198</v>
      </c>
      <c r="C165" s="66" t="s">
        <v>81</v>
      </c>
      <c r="D165" s="2">
        <v>697637105.63999999</v>
      </c>
      <c r="E165" s="3">
        <f t="shared" si="41"/>
        <v>1.5351994324357526E-2</v>
      </c>
      <c r="F165" s="14">
        <v>104.035668744053</v>
      </c>
      <c r="G165" s="14">
        <v>104.035668744053</v>
      </c>
      <c r="H165" s="5"/>
      <c r="I165" s="5">
        <v>2.2000000000000001E-3</v>
      </c>
      <c r="J165" s="5">
        <v>7.4499999999999997E-2</v>
      </c>
      <c r="K165" s="2">
        <v>699384538.92999995</v>
      </c>
      <c r="L165" s="3">
        <f t="shared" si="42"/>
        <v>1.5304685432139859E-2</v>
      </c>
      <c r="M165" s="14">
        <v>104.24</v>
      </c>
      <c r="N165" s="14">
        <v>104.24</v>
      </c>
      <c r="O165" s="63">
        <v>507</v>
      </c>
      <c r="P165" s="5">
        <v>1.9E-3</v>
      </c>
      <c r="Q165" s="5">
        <v>7.6499999999999999E-2</v>
      </c>
      <c r="R165" s="92">
        <f t="shared" si="43"/>
        <v>2.5047883432130482E-3</v>
      </c>
      <c r="S165" s="92">
        <f t="shared" si="44"/>
        <v>1.9640500072113675E-3</v>
      </c>
      <c r="T165" s="92">
        <f t="shared" si="45"/>
        <v>-3.0000000000000014E-4</v>
      </c>
      <c r="U165" s="93">
        <f t="shared" si="46"/>
        <v>2.0000000000000018E-3</v>
      </c>
    </row>
    <row r="166" spans="1:21" ht="15.75" customHeight="1" x14ac:dyDescent="0.25">
      <c r="A166" s="84">
        <v>134</v>
      </c>
      <c r="B166" s="65" t="s">
        <v>199</v>
      </c>
      <c r="C166" s="66" t="s">
        <v>44</v>
      </c>
      <c r="D166" s="2">
        <v>8513667173.5900002</v>
      </c>
      <c r="E166" s="3">
        <f t="shared" si="41"/>
        <v>0.18734922364618087</v>
      </c>
      <c r="F166" s="14">
        <v>126.1</v>
      </c>
      <c r="G166" s="14">
        <v>126.1</v>
      </c>
      <c r="H166" s="5"/>
      <c r="I166" s="5">
        <v>1.2999999999999999E-3</v>
      </c>
      <c r="J166" s="5">
        <v>4.2000000000000003E-2</v>
      </c>
      <c r="K166" s="2">
        <v>8513807461.8699999</v>
      </c>
      <c r="L166" s="3">
        <f t="shared" si="42"/>
        <v>0.18630830077123997</v>
      </c>
      <c r="M166" s="14">
        <v>126.2</v>
      </c>
      <c r="N166" s="14">
        <v>126.2</v>
      </c>
      <c r="O166" s="63">
        <v>1988</v>
      </c>
      <c r="P166" s="5">
        <v>5.9999999999999995E-4</v>
      </c>
      <c r="Q166" s="5">
        <v>4.2599999999999999E-2</v>
      </c>
      <c r="R166" s="92">
        <f t="shared" si="43"/>
        <v>1.6478008493791862E-5</v>
      </c>
      <c r="S166" s="92">
        <f t="shared" si="44"/>
        <v>7.9302141157818026E-4</v>
      </c>
      <c r="T166" s="92">
        <f t="shared" si="45"/>
        <v>-6.9999999999999999E-4</v>
      </c>
      <c r="U166" s="93">
        <f t="shared" si="46"/>
        <v>5.9999999999999637E-4</v>
      </c>
    </row>
    <row r="167" spans="1:21" x14ac:dyDescent="0.25">
      <c r="A167" s="84">
        <v>135</v>
      </c>
      <c r="B167" s="65" t="s">
        <v>200</v>
      </c>
      <c r="C167" s="66" t="s">
        <v>47</v>
      </c>
      <c r="D167" s="2">
        <v>3741352427.71</v>
      </c>
      <c r="E167" s="3">
        <f t="shared" si="41"/>
        <v>8.2331086995341626E-2</v>
      </c>
      <c r="F167" s="14">
        <v>1.1435</v>
      </c>
      <c r="G167" s="14">
        <v>1.1435</v>
      </c>
      <c r="H167" s="5"/>
      <c r="I167" s="5">
        <v>9.5600000000000004E-2</v>
      </c>
      <c r="J167" s="5">
        <v>0.1128</v>
      </c>
      <c r="K167" s="2">
        <v>3788057098.0300002</v>
      </c>
      <c r="L167" s="3">
        <f t="shared" si="42"/>
        <v>8.2894343608211143E-2</v>
      </c>
      <c r="M167" s="14">
        <v>1.1456</v>
      </c>
      <c r="N167" s="14">
        <v>1.1456</v>
      </c>
      <c r="O167" s="63">
        <v>527</v>
      </c>
      <c r="P167" s="5">
        <v>0.1004</v>
      </c>
      <c r="Q167" s="5">
        <v>0.1124</v>
      </c>
      <c r="R167" s="92">
        <f t="shared" si="43"/>
        <v>1.2483365633797584E-2</v>
      </c>
      <c r="S167" s="92">
        <f t="shared" si="44"/>
        <v>1.8364669873196246E-3</v>
      </c>
      <c r="T167" s="92">
        <f t="shared" si="45"/>
        <v>4.7999999999999987E-3</v>
      </c>
      <c r="U167" s="93">
        <f t="shared" si="46"/>
        <v>-3.9999999999999758E-4</v>
      </c>
    </row>
    <row r="168" spans="1:21" x14ac:dyDescent="0.25">
      <c r="A168" s="84">
        <v>136</v>
      </c>
      <c r="B168" s="65" t="s">
        <v>201</v>
      </c>
      <c r="C168" s="66" t="s">
        <v>202</v>
      </c>
      <c r="D168" s="13">
        <v>315790694.52999997</v>
      </c>
      <c r="E168" s="3">
        <f t="shared" si="41"/>
        <v>6.9491959514710669E-3</v>
      </c>
      <c r="F168" s="18">
        <v>98.833299999999994</v>
      </c>
      <c r="G168" s="18">
        <v>98.859300000000005</v>
      </c>
      <c r="H168" s="12"/>
      <c r="I168" s="12">
        <v>5.0000000000000001E-4</v>
      </c>
      <c r="J168" s="12">
        <v>5.0000000000000001E-4</v>
      </c>
      <c r="K168" s="13">
        <v>315826653.39999998</v>
      </c>
      <c r="L168" s="3">
        <f t="shared" si="42"/>
        <v>6.9112588459097355E-3</v>
      </c>
      <c r="M168" s="18">
        <v>98.841399999999993</v>
      </c>
      <c r="N168" s="18">
        <v>98.867400000000004</v>
      </c>
      <c r="O168" s="64">
        <v>110</v>
      </c>
      <c r="P168" s="12">
        <v>8.1999999999999994E-6</v>
      </c>
      <c r="Q168" s="12">
        <v>-1.1599999999999999E-2</v>
      </c>
      <c r="R168" s="92">
        <f t="shared" si="43"/>
        <v>1.1386931477991569E-4</v>
      </c>
      <c r="S168" s="92">
        <f t="shared" si="44"/>
        <v>8.1934628305064733E-5</v>
      </c>
      <c r="T168" s="92">
        <f t="shared" si="45"/>
        <v>-4.9180000000000003E-4</v>
      </c>
      <c r="U168" s="93">
        <f t="shared" si="46"/>
        <v>-1.21E-2</v>
      </c>
    </row>
    <row r="169" spans="1:21" x14ac:dyDescent="0.25">
      <c r="A169" s="95"/>
      <c r="B169" s="19"/>
      <c r="C169" s="75" t="s">
        <v>48</v>
      </c>
      <c r="D169" s="62">
        <f>SUM(D156:D168)</f>
        <v>45442767297.869995</v>
      </c>
      <c r="E169" s="122">
        <f>(D169/$D$170)</f>
        <v>2.3574966739868058E-2</v>
      </c>
      <c r="F169" s="14"/>
      <c r="G169" s="36"/>
      <c r="H169" s="37"/>
      <c r="I169" s="37"/>
      <c r="J169" s="37"/>
      <c r="K169" s="62">
        <f>SUM(K156:K168)</f>
        <v>45697413516.340004</v>
      </c>
      <c r="L169" s="122">
        <f>(K169/$K$170)</f>
        <v>2.3578983175617123E-2</v>
      </c>
      <c r="M169" s="31"/>
      <c r="N169" s="36"/>
      <c r="O169" s="77">
        <f>SUM(O156:O168)</f>
        <v>27334</v>
      </c>
      <c r="P169" s="38"/>
      <c r="Q169" s="38"/>
      <c r="R169" s="92">
        <f t="shared" si="43"/>
        <v>5.603668825906751E-3</v>
      </c>
      <c r="S169" s="92"/>
      <c r="T169" s="92">
        <f t="shared" si="45"/>
        <v>0</v>
      </c>
      <c r="U169" s="93">
        <f t="shared" si="46"/>
        <v>0</v>
      </c>
    </row>
    <row r="170" spans="1:21" x14ac:dyDescent="0.25">
      <c r="A170" s="96"/>
      <c r="B170" s="41"/>
      <c r="C170" s="76" t="s">
        <v>203</v>
      </c>
      <c r="D170" s="78">
        <f>SUM(D22,D54,D86,D112,D119,D146,D152,D169)</f>
        <v>1927585637735.8486</v>
      </c>
      <c r="E170" s="42"/>
      <c r="F170" s="42"/>
      <c r="G170" s="43"/>
      <c r="H170" s="44"/>
      <c r="I170" s="44"/>
      <c r="J170" s="44"/>
      <c r="K170" s="78">
        <f>SUM(K22,K54,K86,K112,K119,K146,K152,K169)</f>
        <v>1938057005087.2852</v>
      </c>
      <c r="L170" s="42"/>
      <c r="M170" s="42"/>
      <c r="N170" s="43"/>
      <c r="O170" s="78">
        <f>SUM(O22,O54,O86,O112,O119,O146,O152,O169)</f>
        <v>664949</v>
      </c>
      <c r="P170" s="45"/>
      <c r="Q170" s="45"/>
      <c r="R170" s="25">
        <f t="shared" si="43"/>
        <v>5.432374648597321E-3</v>
      </c>
      <c r="S170" s="25"/>
      <c r="T170" s="25"/>
      <c r="U170" s="25"/>
    </row>
    <row r="171" spans="1:21" x14ac:dyDescent="0.2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9"/>
    </row>
    <row r="172" spans="1:21" ht="15.75" x14ac:dyDescent="0.25">
      <c r="A172" s="131" t="s">
        <v>204</v>
      </c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</row>
    <row r="173" spans="1:21" x14ac:dyDescent="0.25">
      <c r="A173" s="84">
        <v>1</v>
      </c>
      <c r="B173" s="65" t="s">
        <v>205</v>
      </c>
      <c r="C173" s="66" t="s">
        <v>206</v>
      </c>
      <c r="D173" s="2">
        <v>92548651821</v>
      </c>
      <c r="E173" s="3">
        <f>(D173/$D$175)</f>
        <v>0.97897899932978039</v>
      </c>
      <c r="F173" s="14">
        <v>108.39</v>
      </c>
      <c r="G173" s="14">
        <v>108.39</v>
      </c>
      <c r="H173" s="20"/>
      <c r="I173" s="20">
        <v>0</v>
      </c>
      <c r="J173" s="20">
        <v>0.13800000000000001</v>
      </c>
      <c r="K173" s="2">
        <v>92548651821</v>
      </c>
      <c r="L173" s="3">
        <f>(K173/$K$175)</f>
        <v>0.9789095143576918</v>
      </c>
      <c r="M173" s="14">
        <v>108.39</v>
      </c>
      <c r="N173" s="14">
        <v>108.39</v>
      </c>
      <c r="O173" s="69"/>
      <c r="P173" s="20">
        <v>0</v>
      </c>
      <c r="Q173" s="20">
        <v>0.13800000000000001</v>
      </c>
      <c r="R173" s="92">
        <f>((K173-D173)/D173)</f>
        <v>0</v>
      </c>
      <c r="S173" s="92">
        <f>((N173-G173)/G173)</f>
        <v>0</v>
      </c>
      <c r="T173" s="92">
        <f t="shared" ref="T173:U175" si="47">P173-I173</f>
        <v>0</v>
      </c>
      <c r="U173" s="93">
        <f t="shared" si="47"/>
        <v>0</v>
      </c>
    </row>
    <row r="174" spans="1:21" x14ac:dyDescent="0.25">
      <c r="A174" s="84">
        <v>2</v>
      </c>
      <c r="B174" s="65" t="s">
        <v>207</v>
      </c>
      <c r="C174" s="66" t="s">
        <v>47</v>
      </c>
      <c r="D174" s="2">
        <v>1987239024.8299999</v>
      </c>
      <c r="E174" s="3">
        <f>(D174/$D$175)</f>
        <v>2.1021000670219607E-2</v>
      </c>
      <c r="F174" s="21">
        <v>1000000</v>
      </c>
      <c r="G174" s="21">
        <v>1000000</v>
      </c>
      <c r="H174" s="20"/>
      <c r="I174" s="20">
        <v>0.16600000000000001</v>
      </c>
      <c r="J174" s="20">
        <v>0.16600000000000001</v>
      </c>
      <c r="K174" s="2">
        <v>1993949373.0699999</v>
      </c>
      <c r="L174" s="3">
        <f>(K174/$K$175)</f>
        <v>2.1090485642308161E-2</v>
      </c>
      <c r="M174" s="21">
        <v>1000000</v>
      </c>
      <c r="N174" s="21">
        <v>1000000</v>
      </c>
      <c r="O174" s="69">
        <v>0</v>
      </c>
      <c r="P174" s="20">
        <v>0.1658</v>
      </c>
      <c r="Q174" s="20">
        <v>0.1658</v>
      </c>
      <c r="R174" s="92">
        <f>((K174-D174)/D174)</f>
        <v>3.3767192351579611E-3</v>
      </c>
      <c r="S174" s="92">
        <f>((N174-G174)/G174)</f>
        <v>0</v>
      </c>
      <c r="T174" s="92">
        <f t="shared" si="47"/>
        <v>-2.0000000000000573E-4</v>
      </c>
      <c r="U174" s="93">
        <f t="shared" si="47"/>
        <v>-2.0000000000000573E-4</v>
      </c>
    </row>
    <row r="175" spans="1:21" x14ac:dyDescent="0.25">
      <c r="A175" s="41"/>
      <c r="B175" s="41"/>
      <c r="C175" s="76" t="s">
        <v>208</v>
      </c>
      <c r="D175" s="82">
        <f>SUM(D173:D174)</f>
        <v>94535890845.830002</v>
      </c>
      <c r="E175" s="24"/>
      <c r="F175" s="22"/>
      <c r="G175" s="22"/>
      <c r="H175" s="23"/>
      <c r="I175" s="23"/>
      <c r="J175" s="23"/>
      <c r="K175" s="82">
        <f>SUM(K173:K174)</f>
        <v>94542601194.070007</v>
      </c>
      <c r="L175" s="24"/>
      <c r="M175" s="22"/>
      <c r="N175" s="22"/>
      <c r="O175" s="82">
        <f>SUM(O173:O174)</f>
        <v>0</v>
      </c>
      <c r="P175" s="23"/>
      <c r="Q175" s="23"/>
      <c r="R175" s="25">
        <f>((K175-D175)/D175)</f>
        <v>7.0982017305456932E-5</v>
      </c>
      <c r="S175" s="26"/>
      <c r="T175" s="25">
        <f t="shared" si="47"/>
        <v>0</v>
      </c>
      <c r="U175" s="97">
        <f t="shared" si="47"/>
        <v>0</v>
      </c>
    </row>
    <row r="176" spans="1:21" x14ac:dyDescent="0.25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</row>
    <row r="177" spans="1:21" ht="15.75" x14ac:dyDescent="0.25">
      <c r="A177" s="131" t="s">
        <v>209</v>
      </c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</row>
    <row r="178" spans="1:21" x14ac:dyDescent="0.25">
      <c r="A178" s="84">
        <v>1</v>
      </c>
      <c r="B178" s="65" t="s">
        <v>210</v>
      </c>
      <c r="C178" s="66" t="s">
        <v>76</v>
      </c>
      <c r="D178" s="28">
        <v>683734177.20645022</v>
      </c>
      <c r="E178" s="10">
        <f t="shared" ref="E178:E189" si="48">(D178/$D$190)</f>
        <v>7.2716645248080636E-2</v>
      </c>
      <c r="F178" s="21">
        <v>157.41548916920692</v>
      </c>
      <c r="G178" s="21">
        <v>160.39072153562796</v>
      </c>
      <c r="H178" s="29"/>
      <c r="I178" s="29">
        <v>0.01</v>
      </c>
      <c r="J178" s="29">
        <v>3.4799999999999998E-2</v>
      </c>
      <c r="K178" s="28">
        <v>673676460.81826973</v>
      </c>
      <c r="L178" s="10">
        <f t="shared" ref="L178:L189" si="49">(K178/$K$190)</f>
        <v>7.3095168983907929E-2</v>
      </c>
      <c r="M178" s="21">
        <v>155.09991039904909</v>
      </c>
      <c r="N178" s="21">
        <v>158.07472715551972</v>
      </c>
      <c r="O178" s="68">
        <v>103</v>
      </c>
      <c r="P178" s="29">
        <v>-1.44397029824058E-2</v>
      </c>
      <c r="Q178" s="29">
        <v>0.23625329145555973</v>
      </c>
      <c r="R178" s="92">
        <f t="shared" ref="R178:R190" si="50">((K178-D178)/D178)</f>
        <v>-1.4709980462397765E-2</v>
      </c>
      <c r="S178" s="92">
        <f t="shared" ref="S178:S189" si="51">((N178-G178)/G178)</f>
        <v>-1.4439702982405869E-2</v>
      </c>
      <c r="T178" s="92">
        <f t="shared" ref="T178:T190" si="52">P178-I178</f>
        <v>-2.44397029824058E-2</v>
      </c>
      <c r="U178" s="93">
        <f t="shared" ref="U178:U190" si="53">Q178-J178</f>
        <v>0.20145329145555974</v>
      </c>
    </row>
    <row r="179" spans="1:21" x14ac:dyDescent="0.25">
      <c r="A179" s="84">
        <v>2</v>
      </c>
      <c r="B179" s="65" t="s">
        <v>211</v>
      </c>
      <c r="C179" s="66" t="s">
        <v>190</v>
      </c>
      <c r="D179" s="28">
        <v>720360218.08000004</v>
      </c>
      <c r="E179" s="10">
        <f t="shared" si="48"/>
        <v>7.6611905876889957E-2</v>
      </c>
      <c r="F179" s="21">
        <v>21.65</v>
      </c>
      <c r="G179" s="21">
        <v>21.65</v>
      </c>
      <c r="H179" s="29"/>
      <c r="I179" s="29">
        <v>-2.2000000000000001E-3</v>
      </c>
      <c r="J179" s="29">
        <v>0.38929999999999998</v>
      </c>
      <c r="K179" s="28">
        <v>721634185.23000002</v>
      </c>
      <c r="L179" s="10">
        <f t="shared" si="49"/>
        <v>7.8298672703929914E-2</v>
      </c>
      <c r="M179" s="21">
        <v>20.53</v>
      </c>
      <c r="N179" s="21">
        <v>22.69</v>
      </c>
      <c r="O179" s="68">
        <v>111</v>
      </c>
      <c r="P179" s="29">
        <v>4.0000000000000002E-4</v>
      </c>
      <c r="Q179" s="29">
        <v>0.39179999999999998</v>
      </c>
      <c r="R179" s="92">
        <f t="shared" si="50"/>
        <v>1.7685140267677789E-3</v>
      </c>
      <c r="S179" s="92">
        <f t="shared" si="51"/>
        <v>4.8036951501154862E-2</v>
      </c>
      <c r="T179" s="92">
        <f t="shared" si="52"/>
        <v>2.6000000000000003E-3</v>
      </c>
      <c r="U179" s="93">
        <f t="shared" si="53"/>
        <v>2.5000000000000022E-3</v>
      </c>
    </row>
    <row r="180" spans="1:21" x14ac:dyDescent="0.25">
      <c r="A180" s="84">
        <v>3</v>
      </c>
      <c r="B180" s="65" t="s">
        <v>212</v>
      </c>
      <c r="C180" s="66" t="s">
        <v>38</v>
      </c>
      <c r="D180" s="28">
        <v>297583151.73000002</v>
      </c>
      <c r="E180" s="10">
        <f t="shared" si="48"/>
        <v>3.1648627781878887E-2</v>
      </c>
      <c r="F180" s="21">
        <v>19.25</v>
      </c>
      <c r="G180" s="21">
        <v>19.350000000000001</v>
      </c>
      <c r="H180" s="29"/>
      <c r="I180" s="29">
        <v>3.8300000000000001E-2</v>
      </c>
      <c r="J180" s="29">
        <v>0.56820000000000004</v>
      </c>
      <c r="K180" s="28">
        <v>295603403.12</v>
      </c>
      <c r="L180" s="10">
        <f t="shared" si="49"/>
        <v>3.2073527813380714E-2</v>
      </c>
      <c r="M180" s="21">
        <v>22.055841000000001</v>
      </c>
      <c r="N180" s="21">
        <v>22.444786000000001</v>
      </c>
      <c r="O180" s="68">
        <v>65</v>
      </c>
      <c r="P180" s="29">
        <v>-6.6527577199539945E-3</v>
      </c>
      <c r="Q180" s="29">
        <v>0.55781344869791294</v>
      </c>
      <c r="R180" s="92">
        <f t="shared" si="50"/>
        <v>-6.6527577199540474E-3</v>
      </c>
      <c r="S180" s="92">
        <f t="shared" si="51"/>
        <v>0.15993726098191208</v>
      </c>
      <c r="T180" s="92">
        <f t="shared" si="52"/>
        <v>-4.4952757719953995E-2</v>
      </c>
      <c r="U180" s="93">
        <f t="shared" si="53"/>
        <v>-1.0386551302087099E-2</v>
      </c>
    </row>
    <row r="181" spans="1:21" x14ac:dyDescent="0.25">
      <c r="A181" s="84">
        <v>4</v>
      </c>
      <c r="B181" s="65" t="s">
        <v>213</v>
      </c>
      <c r="C181" s="66" t="s">
        <v>38</v>
      </c>
      <c r="D181" s="28">
        <v>393235014.62</v>
      </c>
      <c r="E181" s="10">
        <f t="shared" si="48"/>
        <v>4.1821415413335845E-2</v>
      </c>
      <c r="F181" s="21">
        <v>27.8</v>
      </c>
      <c r="G181" s="21">
        <v>27.9</v>
      </c>
      <c r="H181" s="29"/>
      <c r="I181" s="29">
        <v>3.5999999999999999E-3</v>
      </c>
      <c r="J181" s="29">
        <v>0.69220000000000004</v>
      </c>
      <c r="K181" s="28">
        <v>382930865.44999999</v>
      </c>
      <c r="L181" s="10">
        <f t="shared" si="49"/>
        <v>4.1548722490947355E-2</v>
      </c>
      <c r="M181" s="21">
        <v>28.735403999999999</v>
      </c>
      <c r="N181" s="21">
        <v>29.179804000000001</v>
      </c>
      <c r="O181" s="68">
        <v>61</v>
      </c>
      <c r="P181" s="29">
        <v>-2.6203539326113523E-2</v>
      </c>
      <c r="Q181" s="29">
        <v>0.64781649313904732</v>
      </c>
      <c r="R181" s="92">
        <f t="shared" si="50"/>
        <v>-2.6203539326113575E-2</v>
      </c>
      <c r="S181" s="92">
        <f t="shared" si="51"/>
        <v>4.5871111111111189E-2</v>
      </c>
      <c r="T181" s="92">
        <f t="shared" si="52"/>
        <v>-2.9803539326113522E-2</v>
      </c>
      <c r="U181" s="93">
        <f t="shared" si="53"/>
        <v>-4.4383506860952715E-2</v>
      </c>
    </row>
    <row r="182" spans="1:21" x14ac:dyDescent="0.25">
      <c r="A182" s="84">
        <v>5</v>
      </c>
      <c r="B182" s="65" t="s">
        <v>214</v>
      </c>
      <c r="C182" s="66" t="s">
        <v>215</v>
      </c>
      <c r="D182" s="28">
        <v>577109000</v>
      </c>
      <c r="E182" s="10">
        <f t="shared" si="48"/>
        <v>6.1376821316631809E-2</v>
      </c>
      <c r="F182" s="21">
        <v>13000</v>
      </c>
      <c r="G182" s="21">
        <v>13000</v>
      </c>
      <c r="H182" s="29"/>
      <c r="I182" s="29">
        <v>0</v>
      </c>
      <c r="J182" s="29">
        <v>0</v>
      </c>
      <c r="K182" s="28">
        <v>579328650</v>
      </c>
      <c r="L182" s="10">
        <f t="shared" si="49"/>
        <v>6.2858253229650093E-2</v>
      </c>
      <c r="M182" s="21">
        <v>13050</v>
      </c>
      <c r="N182" s="21">
        <v>13050</v>
      </c>
      <c r="O182" s="68">
        <v>0</v>
      </c>
      <c r="P182" s="29">
        <v>0</v>
      </c>
      <c r="Q182" s="29">
        <v>0</v>
      </c>
      <c r="R182" s="92">
        <f t="shared" si="50"/>
        <v>3.8461538461538464E-3</v>
      </c>
      <c r="S182" s="92">
        <f t="shared" si="51"/>
        <v>3.8461538461538464E-3</v>
      </c>
      <c r="T182" s="92">
        <f t="shared" si="52"/>
        <v>0</v>
      </c>
      <c r="U182" s="93">
        <f t="shared" si="53"/>
        <v>0</v>
      </c>
    </row>
    <row r="183" spans="1:21" x14ac:dyDescent="0.25">
      <c r="A183" s="84">
        <v>6</v>
      </c>
      <c r="B183" s="65" t="s">
        <v>216</v>
      </c>
      <c r="C183" s="66" t="s">
        <v>217</v>
      </c>
      <c r="D183" s="28">
        <v>883939863.95000005</v>
      </c>
      <c r="E183" s="10">
        <f t="shared" si="48"/>
        <v>9.4008963790734479E-2</v>
      </c>
      <c r="F183" s="21">
        <v>205</v>
      </c>
      <c r="G183" s="21">
        <v>205</v>
      </c>
      <c r="H183" s="29"/>
      <c r="I183" s="29">
        <v>7.1999999999999998E-3</v>
      </c>
      <c r="J183" s="29">
        <v>0.54749999999999999</v>
      </c>
      <c r="K183" s="28">
        <v>869118172.25</v>
      </c>
      <c r="L183" s="10">
        <f t="shared" si="49"/>
        <v>9.4300963982673999E-2</v>
      </c>
      <c r="M183" s="21">
        <v>205</v>
      </c>
      <c r="N183" s="21">
        <v>205</v>
      </c>
      <c r="O183" s="68">
        <v>46</v>
      </c>
      <c r="P183" s="29">
        <v>-1.67E-2</v>
      </c>
      <c r="Q183" s="29">
        <v>0.52249999999999996</v>
      </c>
      <c r="R183" s="92">
        <f t="shared" si="50"/>
        <v>-1.6767760234013426E-2</v>
      </c>
      <c r="S183" s="92">
        <f t="shared" si="51"/>
        <v>0</v>
      </c>
      <c r="T183" s="92">
        <f t="shared" si="52"/>
        <v>-2.3899999999999998E-2</v>
      </c>
      <c r="U183" s="93">
        <f t="shared" si="53"/>
        <v>-2.5000000000000022E-2</v>
      </c>
    </row>
    <row r="184" spans="1:21" x14ac:dyDescent="0.25">
      <c r="A184" s="84">
        <v>7</v>
      </c>
      <c r="B184" s="65" t="s">
        <v>218</v>
      </c>
      <c r="C184" s="66" t="s">
        <v>217</v>
      </c>
      <c r="D184" s="28">
        <v>588610293.54999995</v>
      </c>
      <c r="E184" s="10">
        <f t="shared" si="48"/>
        <v>6.2600009378381796E-2</v>
      </c>
      <c r="F184" s="21">
        <v>288</v>
      </c>
      <c r="G184" s="21">
        <v>288</v>
      </c>
      <c r="H184" s="29"/>
      <c r="I184" s="29">
        <v>-2.0999999999999999E-3</v>
      </c>
      <c r="J184" s="29">
        <v>0.3453</v>
      </c>
      <c r="K184" s="28">
        <v>579089851.36000001</v>
      </c>
      <c r="L184" s="10">
        <f t="shared" si="49"/>
        <v>6.2832343125974036E-2</v>
      </c>
      <c r="M184" s="21">
        <v>309.89999999999998</v>
      </c>
      <c r="N184" s="21">
        <v>309.89999999999998</v>
      </c>
      <c r="O184" s="68">
        <v>377</v>
      </c>
      <c r="P184" s="29">
        <v>-1.5699999999999999E-2</v>
      </c>
      <c r="Q184" s="29">
        <v>0.3533</v>
      </c>
      <c r="R184" s="92">
        <f t="shared" si="50"/>
        <v>-1.6174440532768591E-2</v>
      </c>
      <c r="S184" s="92">
        <f t="shared" si="51"/>
        <v>7.6041666666666591E-2</v>
      </c>
      <c r="T184" s="92">
        <f t="shared" si="52"/>
        <v>-1.3599999999999999E-2</v>
      </c>
      <c r="U184" s="93">
        <f t="shared" si="53"/>
        <v>8.0000000000000071E-3</v>
      </c>
    </row>
    <row r="185" spans="1:21" x14ac:dyDescent="0.25">
      <c r="A185" s="84">
        <v>8</v>
      </c>
      <c r="B185" s="65" t="s">
        <v>219</v>
      </c>
      <c r="C185" s="66" t="s">
        <v>220</v>
      </c>
      <c r="D185" s="28">
        <v>251661465.49000001</v>
      </c>
      <c r="E185" s="10">
        <f t="shared" si="48"/>
        <v>2.6764754664476611E-2</v>
      </c>
      <c r="F185" s="21">
        <v>11.1</v>
      </c>
      <c r="G185" s="21">
        <v>11.2</v>
      </c>
      <c r="H185" s="29"/>
      <c r="I185" s="29">
        <v>2.58E-2</v>
      </c>
      <c r="J185" s="29">
        <v>0.89629999999999999</v>
      </c>
      <c r="K185" s="28">
        <v>255582470.88999999</v>
      </c>
      <c r="L185" s="10">
        <f t="shared" si="49"/>
        <v>2.7731181042510659E-2</v>
      </c>
      <c r="M185" s="21">
        <v>11.27</v>
      </c>
      <c r="N185" s="21">
        <v>11.37</v>
      </c>
      <c r="O185" s="68">
        <v>50</v>
      </c>
      <c r="P185" s="29">
        <v>1.61E-2</v>
      </c>
      <c r="Q185" s="29">
        <v>0.92689999999999995</v>
      </c>
      <c r="R185" s="92">
        <f t="shared" si="50"/>
        <v>1.5580475907845259E-2</v>
      </c>
      <c r="S185" s="92">
        <f t="shared" si="51"/>
        <v>1.5178571428571423E-2</v>
      </c>
      <c r="T185" s="92">
        <f t="shared" si="52"/>
        <v>-9.7000000000000003E-3</v>
      </c>
      <c r="U185" s="93">
        <f t="shared" si="53"/>
        <v>3.0599999999999961E-2</v>
      </c>
    </row>
    <row r="186" spans="1:21" x14ac:dyDescent="0.25">
      <c r="A186" s="84">
        <v>9</v>
      </c>
      <c r="B186" s="65" t="s">
        <v>221</v>
      </c>
      <c r="C186" s="66" t="s">
        <v>220</v>
      </c>
      <c r="D186" s="30">
        <v>581595539.76999998</v>
      </c>
      <c r="E186" s="10">
        <f t="shared" si="48"/>
        <v>6.1853974765621947E-2</v>
      </c>
      <c r="F186" s="21">
        <v>6.9</v>
      </c>
      <c r="G186" s="21">
        <v>7</v>
      </c>
      <c r="H186" s="29"/>
      <c r="I186" s="29">
        <v>0.73</v>
      </c>
      <c r="J186" s="29">
        <v>0.63360000000000005</v>
      </c>
      <c r="K186" s="30">
        <v>496129675.57999998</v>
      </c>
      <c r="L186" s="10">
        <f t="shared" si="49"/>
        <v>5.3831007291546495E-2</v>
      </c>
      <c r="M186" s="21">
        <v>6.61</v>
      </c>
      <c r="N186" s="21">
        <v>6.71</v>
      </c>
      <c r="O186" s="68">
        <v>75</v>
      </c>
      <c r="P186" s="29">
        <v>0</v>
      </c>
      <c r="Q186" s="29">
        <v>0.63360000000000005</v>
      </c>
      <c r="R186" s="92">
        <f t="shared" si="50"/>
        <v>-0.14695068711118153</v>
      </c>
      <c r="S186" s="92">
        <f t="shared" si="51"/>
        <v>-4.1428571428571433E-2</v>
      </c>
      <c r="T186" s="92">
        <f t="shared" si="52"/>
        <v>-0.73</v>
      </c>
      <c r="U186" s="93">
        <f t="shared" si="53"/>
        <v>0</v>
      </c>
    </row>
    <row r="187" spans="1:21" ht="17.25" customHeight="1" x14ac:dyDescent="0.25">
      <c r="A187" s="84">
        <v>10</v>
      </c>
      <c r="B187" s="65" t="s">
        <v>222</v>
      </c>
      <c r="C187" s="66" t="s">
        <v>220</v>
      </c>
      <c r="D187" s="28">
        <v>494643556.45999998</v>
      </c>
      <c r="E187" s="10">
        <f t="shared" si="48"/>
        <v>5.2606438610849418E-2</v>
      </c>
      <c r="F187" s="21">
        <v>139.51</v>
      </c>
      <c r="G187" s="21">
        <v>141.51</v>
      </c>
      <c r="H187" s="29"/>
      <c r="I187" s="29">
        <v>0</v>
      </c>
      <c r="J187" s="29">
        <v>-0.1031</v>
      </c>
      <c r="K187" s="28">
        <v>496129675.57999998</v>
      </c>
      <c r="L187" s="10">
        <f t="shared" si="49"/>
        <v>5.3831007291546495E-2</v>
      </c>
      <c r="M187" s="21">
        <v>139.51</v>
      </c>
      <c r="N187" s="21">
        <v>141.51</v>
      </c>
      <c r="O187" s="68">
        <v>50</v>
      </c>
      <c r="P187" s="29">
        <v>0</v>
      </c>
      <c r="Q187" s="29">
        <v>-0.1031</v>
      </c>
      <c r="R187" s="92">
        <f t="shared" si="50"/>
        <v>3.0044242982475437E-3</v>
      </c>
      <c r="S187" s="92">
        <f t="shared" si="51"/>
        <v>0</v>
      </c>
      <c r="T187" s="92">
        <f t="shared" si="52"/>
        <v>0</v>
      </c>
      <c r="U187" s="93">
        <f t="shared" si="53"/>
        <v>0</v>
      </c>
    </row>
    <row r="188" spans="1:21" x14ac:dyDescent="0.25">
      <c r="A188" s="84">
        <v>11</v>
      </c>
      <c r="B188" s="65" t="s">
        <v>223</v>
      </c>
      <c r="C188" s="66" t="s">
        <v>220</v>
      </c>
      <c r="D188" s="28">
        <v>3640501585.79</v>
      </c>
      <c r="E188" s="10">
        <f t="shared" si="48"/>
        <v>0.38717541284912826</v>
      </c>
      <c r="F188" s="21">
        <v>25.03</v>
      </c>
      <c r="G188" s="21">
        <v>25.26</v>
      </c>
      <c r="H188" s="29"/>
      <c r="I188" s="29">
        <v>-1.04E-2</v>
      </c>
      <c r="J188" s="29">
        <v>0.33910000000000001</v>
      </c>
      <c r="K188" s="28">
        <v>3587089381.8499999</v>
      </c>
      <c r="L188" s="10">
        <f t="shared" si="49"/>
        <v>0.38920597612722302</v>
      </c>
      <c r="M188" s="21">
        <v>24.66</v>
      </c>
      <c r="N188" s="21">
        <v>24.86</v>
      </c>
      <c r="O188" s="68">
        <v>198</v>
      </c>
      <c r="P188" s="29">
        <v>-2.5999999999999999E-2</v>
      </c>
      <c r="Q188" s="29">
        <v>0.30430000000000001</v>
      </c>
      <c r="R188" s="92">
        <f t="shared" si="50"/>
        <v>-1.4671660671288911E-2</v>
      </c>
      <c r="S188" s="92">
        <f t="shared" si="51"/>
        <v>-1.5835312747426847E-2</v>
      </c>
      <c r="T188" s="92">
        <f t="shared" si="52"/>
        <v>-1.5599999999999999E-2</v>
      </c>
      <c r="U188" s="93">
        <f t="shared" si="53"/>
        <v>-3.4799999999999998E-2</v>
      </c>
    </row>
    <row r="189" spans="1:21" x14ac:dyDescent="0.25">
      <c r="A189" s="84">
        <v>12</v>
      </c>
      <c r="B189" s="65" t="s">
        <v>224</v>
      </c>
      <c r="C189" s="66" t="s">
        <v>220</v>
      </c>
      <c r="D189" s="30">
        <v>289745068.94</v>
      </c>
      <c r="E189" s="10">
        <f t="shared" si="48"/>
        <v>3.0815030303990312E-2</v>
      </c>
      <c r="F189" s="21">
        <v>27.36</v>
      </c>
      <c r="G189" s="21">
        <v>27.56</v>
      </c>
      <c r="H189" s="29"/>
      <c r="I189" s="29">
        <v>-4.7800000000000002E-2</v>
      </c>
      <c r="J189" s="29">
        <v>0.14510000000000001</v>
      </c>
      <c r="K189" s="30">
        <v>280116558.57999998</v>
      </c>
      <c r="L189" s="10">
        <f t="shared" si="49"/>
        <v>3.0393175916709373E-2</v>
      </c>
      <c r="M189" s="21">
        <v>26.53</v>
      </c>
      <c r="N189" s="21">
        <v>26.73</v>
      </c>
      <c r="O189" s="68">
        <v>44</v>
      </c>
      <c r="P189" s="29">
        <v>-1.6E-2</v>
      </c>
      <c r="Q189" s="29">
        <v>0.12670000000000001</v>
      </c>
      <c r="R189" s="92">
        <f t="shared" si="50"/>
        <v>-3.3230972299976819E-2</v>
      </c>
      <c r="S189" s="92">
        <f t="shared" si="51"/>
        <v>-3.011611030478949E-2</v>
      </c>
      <c r="T189" s="92">
        <f t="shared" si="52"/>
        <v>3.1800000000000002E-2</v>
      </c>
      <c r="U189" s="93">
        <f t="shared" si="53"/>
        <v>-1.84E-2</v>
      </c>
    </row>
    <row r="190" spans="1:21" x14ac:dyDescent="0.25">
      <c r="A190" s="46"/>
      <c r="B190" s="46"/>
      <c r="C190" s="83" t="s">
        <v>225</v>
      </c>
      <c r="D190" s="82">
        <f>SUM(D178:D189)</f>
        <v>9402718935.5864506</v>
      </c>
      <c r="E190" s="24"/>
      <c r="F190" s="24"/>
      <c r="G190" s="22"/>
      <c r="H190" s="23"/>
      <c r="I190" s="23"/>
      <c r="J190" s="23"/>
      <c r="K190" s="82">
        <f>SUM(K178:K189)</f>
        <v>9216429350.7082691</v>
      </c>
      <c r="L190" s="24"/>
      <c r="M190" s="24"/>
      <c r="N190" s="22"/>
      <c r="O190" s="82">
        <f>SUM(O178:O189)</f>
        <v>1180</v>
      </c>
      <c r="P190" s="23"/>
      <c r="Q190" s="23"/>
      <c r="R190" s="25">
        <f t="shared" si="50"/>
        <v>-1.9812310264122824E-2</v>
      </c>
      <c r="S190" s="26"/>
      <c r="T190" s="25">
        <f t="shared" si="52"/>
        <v>0</v>
      </c>
      <c r="U190" s="97">
        <f t="shared" si="53"/>
        <v>0</v>
      </c>
    </row>
    <row r="191" spans="1:21" x14ac:dyDescent="0.25">
      <c r="A191" s="98"/>
      <c r="B191" s="98"/>
      <c r="C191" s="99" t="s">
        <v>226</v>
      </c>
      <c r="D191" s="100">
        <f>SUM(D170,D175,D190)</f>
        <v>2031524247517.2651</v>
      </c>
      <c r="E191" s="101"/>
      <c r="F191" s="101"/>
      <c r="G191" s="102"/>
      <c r="H191" s="103"/>
      <c r="I191" s="103"/>
      <c r="J191" s="103"/>
      <c r="K191" s="100">
        <f>SUM(K170,K175,K190)</f>
        <v>2041816035632.0635</v>
      </c>
      <c r="L191" s="101"/>
      <c r="M191" s="101"/>
      <c r="N191" s="102"/>
      <c r="O191" s="100">
        <f>SUM(O170,O175,O190)</f>
        <v>666129</v>
      </c>
      <c r="P191" s="104"/>
      <c r="Q191" s="104"/>
      <c r="R191" s="105"/>
      <c r="S191" s="106"/>
      <c r="T191" s="107"/>
      <c r="U191" s="107"/>
    </row>
  </sheetData>
  <protectedRanges>
    <protectedRange password="CADF" sqref="K10 D10" name="Fund Name_1_1_1_3_1_1"/>
    <protectedRange password="CADF" sqref="I10:J10 O10:Q10" name="Yield_1_1_2_1_3"/>
    <protectedRange password="CADF" sqref="M10:N10 F10:G10" name="Fund Name_1_1_1_1_1_1"/>
    <protectedRange password="CADF" sqref="K47 D47" name="Yield_2_1_2_3_1"/>
    <protectedRange password="CADF" sqref="K52 D52" name="Yield_2_1_2_4_1"/>
    <protectedRange password="CADF" sqref="H52:J52 O52:Q52" name="Yield_1_1_1_1_1"/>
    <protectedRange password="CADF" sqref="K77 D77" name="Yield_2_1_2_1_1"/>
    <protectedRange password="CADF" sqref="H77:J77 O77:Q77" name="Yield_1_1_2_1_2_1"/>
    <protectedRange password="CADF" sqref="M77:N77 F77:G77" name="Fund Name_2_2_1_1"/>
    <protectedRange password="CADF" sqref="N76 G76" name="BidOffer Prices_2_1_1_1_1_1_1_1_1_1"/>
    <protectedRange password="CADF" sqref="K136 K144:K145 D136 D144:D145" name="Fund Name_1_1_1_2"/>
    <protectedRange password="CADF" sqref="H144:J145 H136:J136 O144:Q145 O136:Q136" name="Yield_1_1_2_2"/>
    <protectedRange password="CADF" sqref="M136:N136 M144:N145 F136:G136 F144:G145" name="Fund Name_1_1_1_1_2"/>
    <protectedRange password="CADF" sqref="H47:J47 O47:Q47" name="Yield_1_1_2_1_1_1_1_1"/>
    <protectedRange password="CADF" sqref="K93:K94 D93:D94" name="Yield_2_1_2_6_3"/>
    <protectedRange password="CADF" sqref="K17 D17" name="Yield_2_1_2_5"/>
  </protectedRanges>
  <mergeCells count="31">
    <mergeCell ref="A176:U176"/>
    <mergeCell ref="A177:U177"/>
    <mergeCell ref="A155:U155"/>
    <mergeCell ref="A158:U158"/>
    <mergeCell ref="A159:U159"/>
    <mergeCell ref="A171:T171"/>
    <mergeCell ref="A172:U172"/>
    <mergeCell ref="A154:U154"/>
    <mergeCell ref="A88:U88"/>
    <mergeCell ref="A89:U89"/>
    <mergeCell ref="A101:U101"/>
    <mergeCell ref="A102:U102"/>
    <mergeCell ref="A113:U113"/>
    <mergeCell ref="A114:U114"/>
    <mergeCell ref="A120:U120"/>
    <mergeCell ref="A121:U121"/>
    <mergeCell ref="A147:U147"/>
    <mergeCell ref="A148:U148"/>
    <mergeCell ref="A153:U153"/>
    <mergeCell ref="A87:U87"/>
    <mergeCell ref="A1:U1"/>
    <mergeCell ref="K2:Q2"/>
    <mergeCell ref="R2:S2"/>
    <mergeCell ref="T2:U2"/>
    <mergeCell ref="A4:U4"/>
    <mergeCell ref="A5:U5"/>
    <mergeCell ref="A23:U23"/>
    <mergeCell ref="A24:U24"/>
    <mergeCell ref="A55:U55"/>
    <mergeCell ref="A56:U56"/>
    <mergeCell ref="D2:J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O1" sqref="O1"/>
    </sheetView>
  </sheetViews>
  <sheetFormatPr defaultRowHeight="15" x14ac:dyDescent="0.25"/>
  <cols>
    <col min="1" max="1" width="36.28515625" customWidth="1"/>
    <col min="2" max="2" width="13.42578125" customWidth="1"/>
    <col min="3" max="3" width="13.140625" customWidth="1"/>
  </cols>
  <sheetData>
    <row r="3" spans="1:3" x14ac:dyDescent="0.25">
      <c r="A3" s="119"/>
      <c r="B3" s="119"/>
      <c r="C3" s="119"/>
    </row>
    <row r="4" spans="1:3" ht="16.5" x14ac:dyDescent="0.3">
      <c r="A4" s="113" t="s">
        <v>227</v>
      </c>
      <c r="B4" s="114" t="s">
        <v>236</v>
      </c>
      <c r="C4" s="114" t="s">
        <v>237</v>
      </c>
    </row>
    <row r="5" spans="1:3" ht="33" x14ac:dyDescent="0.3">
      <c r="A5" s="120" t="s">
        <v>238</v>
      </c>
      <c r="B5" s="116">
        <f>22617340342.24/1000000000</f>
        <v>22.617340342240002</v>
      </c>
      <c r="C5" s="116">
        <f>22347298706.34/1000000000</f>
        <v>22.347298706340002</v>
      </c>
    </row>
    <row r="6" spans="1:3" ht="16.5" x14ac:dyDescent="0.3">
      <c r="A6" s="115" t="s">
        <v>49</v>
      </c>
      <c r="B6" s="118">
        <f>849677574373.348/1000000000</f>
        <v>849.67757437334797</v>
      </c>
      <c r="C6" s="118">
        <f>852624898169.65/1000000000</f>
        <v>852.62489816965001</v>
      </c>
    </row>
    <row r="7" spans="1:3" ht="16.5" x14ac:dyDescent="0.3">
      <c r="A7" s="115" t="s">
        <v>228</v>
      </c>
      <c r="B7" s="116">
        <f>299618437754.169/1000000000</f>
        <v>299.61843775416901</v>
      </c>
      <c r="C7" s="116">
        <f>300146733726.062/1000000000</f>
        <v>300.146733726062</v>
      </c>
    </row>
    <row r="8" spans="1:3" ht="16.5" x14ac:dyDescent="0.3">
      <c r="A8" s="115" t="s">
        <v>132</v>
      </c>
      <c r="B8" s="118">
        <f>573412197469.834/1000000000</f>
        <v>573.41219746983404</v>
      </c>
      <c r="C8" s="118">
        <f>580580020013.899/1000000000</f>
        <v>580.580020013899</v>
      </c>
    </row>
    <row r="9" spans="1:3" ht="16.5" x14ac:dyDescent="0.3">
      <c r="A9" s="115" t="s">
        <v>229</v>
      </c>
      <c r="B9" s="116">
        <f>92930445555.67/1000000000</f>
        <v>92.930445555670005</v>
      </c>
      <c r="C9" s="116">
        <f>92953013524.98/1000000000</f>
        <v>92.953013524979994</v>
      </c>
    </row>
    <row r="10" spans="1:3" ht="16.5" x14ac:dyDescent="0.3">
      <c r="A10" s="115" t="s">
        <v>158</v>
      </c>
      <c r="B10" s="117">
        <f>40017994182.7372/1000000000</f>
        <v>40.017994182737198</v>
      </c>
      <c r="C10" s="117">
        <f>39835802330.0545/1000000000</f>
        <v>39.835802330054499</v>
      </c>
    </row>
    <row r="11" spans="1:3" ht="16.5" x14ac:dyDescent="0.3">
      <c r="A11" s="115" t="s">
        <v>183</v>
      </c>
      <c r="B11" s="116">
        <f>3868880759.98/1000000000</f>
        <v>3.8688807599800001</v>
      </c>
      <c r="C11" s="116">
        <f>3871825099.96/1000000000</f>
        <v>3.8718250999600001</v>
      </c>
    </row>
    <row r="12" spans="1:3" ht="16.5" x14ac:dyDescent="0.3">
      <c r="A12" s="115" t="s">
        <v>230</v>
      </c>
      <c r="B12" s="116">
        <f>45442767297.87/1000000000</f>
        <v>45.442767297870006</v>
      </c>
      <c r="C12" s="116">
        <f>45697413516.34/1000000000</f>
        <v>45.697413516339999</v>
      </c>
    </row>
  </sheetData>
  <sheetProtection algorithmName="SHA-512" hashValue="2B0u49E/sZcbSxP+M3RdTorIZnmn5EoGDa1XwWzwXWDjaGEJUAFDJVBHC006jtdDOEom0cHwhaZFXvu/4ZWitg==" saltValue="BmsR6oZAofZIacItXgq2E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80" zoomScaleNormal="80" workbookViewId="0">
      <selection activeCell="R1" sqref="R1"/>
    </sheetView>
  </sheetViews>
  <sheetFormatPr defaultRowHeight="15" x14ac:dyDescent="0.25"/>
  <cols>
    <col min="1" max="1" width="26.7109375" customWidth="1"/>
    <col min="2" max="2" width="17.42578125" customWidth="1"/>
  </cols>
  <sheetData>
    <row r="1" spans="1:2" ht="16.5" x14ac:dyDescent="0.3">
      <c r="A1" s="113" t="s">
        <v>227</v>
      </c>
      <c r="B1" s="114">
        <v>45198</v>
      </c>
    </row>
    <row r="2" spans="1:2" ht="16.5" x14ac:dyDescent="0.3">
      <c r="A2" s="115" t="s">
        <v>183</v>
      </c>
      <c r="B2" s="116">
        <v>3871825099.96</v>
      </c>
    </row>
    <row r="3" spans="1:2" ht="16.5" x14ac:dyDescent="0.3">
      <c r="A3" s="115" t="s">
        <v>16</v>
      </c>
      <c r="B3" s="116">
        <v>22347298706.340004</v>
      </c>
    </row>
    <row r="4" spans="1:2" ht="16.5" x14ac:dyDescent="0.3">
      <c r="A4" s="115" t="s">
        <v>158</v>
      </c>
      <c r="B4" s="117">
        <v>39835802330.054489</v>
      </c>
    </row>
    <row r="5" spans="1:2" ht="16.5" x14ac:dyDescent="0.3">
      <c r="A5" s="115" t="s">
        <v>230</v>
      </c>
      <c r="B5" s="116">
        <v>45697413516.340004</v>
      </c>
    </row>
    <row r="6" spans="1:2" ht="16.5" x14ac:dyDescent="0.3">
      <c r="A6" s="115" t="s">
        <v>229</v>
      </c>
      <c r="B6" s="116">
        <v>92953013524.979996</v>
      </c>
    </row>
    <row r="7" spans="1:2" ht="16.5" x14ac:dyDescent="0.3">
      <c r="A7" s="115" t="s">
        <v>228</v>
      </c>
      <c r="B7" s="116">
        <v>300146733726.06244</v>
      </c>
    </row>
    <row r="8" spans="1:2" ht="16.5" x14ac:dyDescent="0.3">
      <c r="A8" s="115" t="s">
        <v>132</v>
      </c>
      <c r="B8" s="118">
        <v>580580020013.89868</v>
      </c>
    </row>
    <row r="9" spans="1:2" ht="16.5" x14ac:dyDescent="0.3">
      <c r="A9" s="115" t="s">
        <v>49</v>
      </c>
      <c r="B9" s="118">
        <v>852624898169.64954</v>
      </c>
    </row>
    <row r="14" spans="1:2" ht="16.5" x14ac:dyDescent="0.3">
      <c r="A14" s="49"/>
      <c r="B14" s="50"/>
    </row>
    <row r="15" spans="1:2" ht="16.5" x14ac:dyDescent="0.3">
      <c r="A15" s="49"/>
      <c r="B15" s="50"/>
    </row>
    <row r="16" spans="1:2" ht="16.5" x14ac:dyDescent="0.3">
      <c r="A16" s="49"/>
      <c r="B16" s="52"/>
    </row>
    <row r="17" spans="1:2" ht="16.5" x14ac:dyDescent="0.3">
      <c r="A17" s="49"/>
      <c r="B17" s="50"/>
    </row>
    <row r="18" spans="1:2" ht="16.5" x14ac:dyDescent="0.3">
      <c r="A18" s="49"/>
      <c r="B18" s="50"/>
    </row>
    <row r="19" spans="1:2" ht="16.5" x14ac:dyDescent="0.3">
      <c r="A19" s="49"/>
      <c r="B19" s="50"/>
    </row>
    <row r="20" spans="1:2" ht="16.5" x14ac:dyDescent="0.3">
      <c r="A20" s="49"/>
      <c r="B20" s="51"/>
    </row>
    <row r="21" spans="1:2" ht="16.5" x14ac:dyDescent="0.3">
      <c r="A21" s="49"/>
      <c r="B21" s="51"/>
    </row>
  </sheetData>
  <sheetProtection algorithmName="SHA-512" hashValue="LARhqRjye2MG2M+DtmshlQHGThLktyAD7w7gwdevTUkEBRtxyCa6HqsiAOY+b0gg1vQYc9XGK63miVNBujxoYw==" saltValue="BjuVQKhDjxY+6wl0zqPC2g==" spinCount="100000" sheet="1" objects="1" scenarios="1"/>
  <sortState ref="A2:B9">
    <sortCondition ref="B2:B9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zoomScaleNormal="100" workbookViewId="0">
      <selection activeCell="L1" sqref="L1"/>
    </sheetView>
  </sheetViews>
  <sheetFormatPr defaultRowHeight="15" x14ac:dyDescent="0.25"/>
  <cols>
    <col min="1" max="1" width="11.28515625" customWidth="1"/>
    <col min="2" max="4" width="20.5703125" bestFit="1" customWidth="1"/>
    <col min="5" max="5" width="11.85546875" customWidth="1"/>
    <col min="6" max="6" width="20.5703125" bestFit="1" customWidth="1"/>
    <col min="7" max="7" width="8.42578125" customWidth="1"/>
    <col min="8" max="8" width="11.42578125" customWidth="1"/>
    <col min="9" max="9" width="3.28515625" customWidth="1"/>
  </cols>
  <sheetData>
    <row r="2" spans="1:9" ht="16.5" x14ac:dyDescent="0.3">
      <c r="A2" s="109" t="s">
        <v>243</v>
      </c>
      <c r="B2" s="110">
        <v>45149</v>
      </c>
      <c r="C2" s="110">
        <v>45156</v>
      </c>
      <c r="D2" s="110">
        <v>45163</v>
      </c>
      <c r="E2" s="110">
        <v>45170</v>
      </c>
      <c r="F2" s="110">
        <v>45177</v>
      </c>
      <c r="G2" s="110">
        <v>45184</v>
      </c>
      <c r="H2" s="110">
        <v>45191</v>
      </c>
      <c r="I2" s="110">
        <v>45198</v>
      </c>
    </row>
    <row r="3" spans="1:9" x14ac:dyDescent="0.25">
      <c r="A3" s="109" t="s">
        <v>244</v>
      </c>
      <c r="B3" s="111">
        <v>1918875626264.7451</v>
      </c>
      <c r="C3" s="111">
        <v>1917546500429.8425</v>
      </c>
      <c r="D3" s="111">
        <v>1943407345708.8286</v>
      </c>
      <c r="E3" s="111">
        <v>1922810043593.2705</v>
      </c>
      <c r="F3" s="111">
        <v>1905565030169.3159</v>
      </c>
      <c r="G3" s="111">
        <v>1930034404358.7712</v>
      </c>
      <c r="H3" s="111">
        <v>1927585637735.8486</v>
      </c>
      <c r="I3" s="111">
        <v>1938057005087.2852</v>
      </c>
    </row>
    <row r="4" spans="1:9" x14ac:dyDescent="0.25">
      <c r="A4" s="112"/>
      <c r="B4" s="112"/>
      <c r="C4" s="112"/>
      <c r="D4" s="112"/>
      <c r="E4" s="112"/>
      <c r="F4" s="112"/>
      <c r="G4" s="112"/>
      <c r="H4" s="112"/>
      <c r="I4" s="112"/>
    </row>
    <row r="5" spans="1:9" x14ac:dyDescent="0.25">
      <c r="A5" s="112"/>
      <c r="B5" s="112"/>
      <c r="C5" s="112"/>
      <c r="D5" s="112"/>
      <c r="E5" s="112"/>
      <c r="F5" s="112"/>
      <c r="G5" s="112"/>
      <c r="H5" s="112"/>
      <c r="I5" s="112"/>
    </row>
    <row r="6" spans="1:9" x14ac:dyDescent="0.25">
      <c r="A6" s="112"/>
      <c r="B6" s="112"/>
      <c r="C6" s="112"/>
      <c r="D6" s="112"/>
      <c r="E6" s="112"/>
      <c r="F6" s="112"/>
      <c r="G6" s="112"/>
      <c r="H6" s="112"/>
      <c r="I6" s="112"/>
    </row>
    <row r="7" spans="1:9" x14ac:dyDescent="0.25">
      <c r="A7" s="112"/>
      <c r="B7" s="112"/>
      <c r="C7" s="112"/>
      <c r="D7" s="112"/>
      <c r="E7" s="112"/>
      <c r="F7" s="112"/>
      <c r="G7" s="112"/>
      <c r="H7" s="112"/>
      <c r="I7" s="112"/>
    </row>
    <row r="8" spans="1:9" x14ac:dyDescent="0.25">
      <c r="A8" s="112"/>
      <c r="B8" s="112"/>
      <c r="C8" s="112"/>
      <c r="D8" s="112"/>
      <c r="E8" s="112"/>
      <c r="F8" s="112"/>
      <c r="G8" s="112"/>
      <c r="H8" s="112"/>
      <c r="I8" s="112"/>
    </row>
    <row r="9" spans="1:9" x14ac:dyDescent="0.25">
      <c r="A9" s="112"/>
      <c r="B9" s="112"/>
      <c r="C9" s="112"/>
      <c r="D9" s="112"/>
      <c r="E9" s="112"/>
      <c r="F9" s="112"/>
      <c r="G9" s="112"/>
      <c r="H9" s="112"/>
      <c r="I9" s="112"/>
    </row>
    <row r="10" spans="1:9" x14ac:dyDescent="0.25">
      <c r="A10" s="112"/>
      <c r="B10" s="112"/>
      <c r="C10" s="112"/>
      <c r="D10" s="112"/>
      <c r="E10" s="112"/>
      <c r="F10" s="112"/>
      <c r="G10" s="112"/>
      <c r="H10" s="112"/>
      <c r="I10" s="112"/>
    </row>
    <row r="11" spans="1:9" x14ac:dyDescent="0.25">
      <c r="A11" s="112"/>
      <c r="B11" s="112"/>
      <c r="C11" s="112"/>
      <c r="D11" s="112"/>
      <c r="E11" s="112"/>
      <c r="F11" s="112"/>
      <c r="G11" s="112"/>
      <c r="H11" s="112"/>
      <c r="I11" s="112"/>
    </row>
    <row r="12" spans="1:9" x14ac:dyDescent="0.25">
      <c r="A12" s="112"/>
      <c r="B12" s="112"/>
      <c r="C12" s="112"/>
      <c r="D12" s="112"/>
      <c r="E12" s="112"/>
      <c r="F12" s="112"/>
      <c r="G12" s="112"/>
      <c r="H12" s="112"/>
      <c r="I12" s="112"/>
    </row>
    <row r="13" spans="1:9" x14ac:dyDescent="0.25">
      <c r="A13" s="112"/>
      <c r="B13" s="112"/>
      <c r="C13" s="112"/>
      <c r="D13" s="112"/>
      <c r="E13" s="112"/>
      <c r="F13" s="112"/>
      <c r="G13" s="112"/>
      <c r="H13" s="112"/>
      <c r="I13" s="112"/>
    </row>
    <row r="14" spans="1:9" x14ac:dyDescent="0.25">
      <c r="A14" s="112"/>
      <c r="B14" s="112"/>
      <c r="C14" s="112"/>
      <c r="D14" s="112"/>
      <c r="E14" s="112"/>
      <c r="F14" s="112"/>
      <c r="G14" s="112"/>
      <c r="H14" s="112"/>
      <c r="I14" s="112"/>
    </row>
    <row r="15" spans="1:9" x14ac:dyDescent="0.25">
      <c r="A15" s="112"/>
      <c r="B15" s="112"/>
      <c r="C15" s="112"/>
      <c r="D15" s="112"/>
      <c r="E15" s="112"/>
      <c r="F15" s="112"/>
      <c r="G15" s="112"/>
      <c r="H15" s="112"/>
      <c r="I15" s="112"/>
    </row>
    <row r="16" spans="1:9" x14ac:dyDescent="0.25">
      <c r="A16" s="112"/>
      <c r="B16" s="112"/>
      <c r="C16" s="112"/>
      <c r="D16" s="112"/>
      <c r="E16" s="112"/>
      <c r="F16" s="112"/>
      <c r="G16" s="112"/>
      <c r="H16" s="112"/>
      <c r="I16" s="112"/>
    </row>
    <row r="17" spans="1:9" x14ac:dyDescent="0.25">
      <c r="A17" s="112"/>
      <c r="B17" s="112"/>
      <c r="C17" s="112"/>
      <c r="D17" s="112"/>
      <c r="E17" s="112"/>
      <c r="F17" s="112"/>
      <c r="G17" s="112"/>
      <c r="H17" s="112"/>
      <c r="I17" s="112"/>
    </row>
    <row r="18" spans="1:9" x14ac:dyDescent="0.25">
      <c r="A18" s="112"/>
      <c r="B18" s="112"/>
      <c r="C18" s="112"/>
      <c r="D18" s="112"/>
      <c r="E18" s="112"/>
      <c r="F18" s="112"/>
      <c r="G18" s="112"/>
      <c r="H18" s="112"/>
      <c r="I18" s="112"/>
    </row>
    <row r="19" spans="1:9" x14ac:dyDescent="0.25">
      <c r="A19" s="112"/>
      <c r="B19" s="112"/>
      <c r="C19" s="112"/>
      <c r="D19" s="112"/>
      <c r="E19" s="112"/>
      <c r="F19" s="112"/>
      <c r="G19" s="112"/>
      <c r="H19" s="112"/>
      <c r="I19" s="112"/>
    </row>
    <row r="20" spans="1:9" x14ac:dyDescent="0.25">
      <c r="A20" s="112"/>
      <c r="B20" s="112"/>
      <c r="C20" s="112"/>
      <c r="D20" s="112"/>
      <c r="E20" s="112"/>
      <c r="F20" s="112"/>
      <c r="G20" s="112"/>
      <c r="H20" s="112"/>
      <c r="I20" s="112"/>
    </row>
    <row r="21" spans="1:9" x14ac:dyDescent="0.25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9" x14ac:dyDescent="0.25">
      <c r="A22" s="112"/>
      <c r="B22" s="112"/>
      <c r="C22" s="112"/>
      <c r="D22" s="112"/>
      <c r="E22" s="112"/>
      <c r="F22" s="112"/>
      <c r="G22" s="112"/>
      <c r="H22" s="112"/>
      <c r="I22" s="112"/>
    </row>
    <row r="23" spans="1:9" x14ac:dyDescent="0.25">
      <c r="A23" s="112"/>
      <c r="B23" s="112"/>
      <c r="C23" s="112"/>
      <c r="D23" s="112"/>
      <c r="E23" s="112"/>
      <c r="F23" s="112"/>
      <c r="G23" s="112"/>
      <c r="H23" s="112"/>
      <c r="I23" s="112"/>
    </row>
    <row r="24" spans="1:9" x14ac:dyDescent="0.25">
      <c r="A24" s="112"/>
      <c r="B24" s="112"/>
      <c r="C24" s="112"/>
      <c r="D24" s="112"/>
      <c r="E24" s="112"/>
      <c r="F24" s="112"/>
      <c r="G24" s="112"/>
      <c r="H24" s="112"/>
      <c r="I24" s="112"/>
    </row>
    <row r="25" spans="1:9" x14ac:dyDescent="0.25">
      <c r="A25" s="112"/>
      <c r="B25" s="112"/>
      <c r="C25" s="112"/>
      <c r="D25" s="112"/>
      <c r="E25" s="112"/>
      <c r="F25" s="112"/>
      <c r="G25" s="112"/>
      <c r="H25" s="112"/>
      <c r="I25" s="112"/>
    </row>
    <row r="26" spans="1:9" x14ac:dyDescent="0.25">
      <c r="A26" s="112"/>
      <c r="B26" s="112"/>
      <c r="C26" s="112"/>
      <c r="D26" s="112"/>
      <c r="E26" s="112"/>
      <c r="F26" s="112"/>
      <c r="G26" s="112"/>
      <c r="H26" s="112"/>
      <c r="I26" s="112"/>
    </row>
    <row r="27" spans="1:9" x14ac:dyDescent="0.25">
      <c r="A27" s="112"/>
      <c r="B27" s="112"/>
      <c r="C27" s="112"/>
      <c r="D27" s="112"/>
      <c r="E27" s="112"/>
      <c r="F27" s="112"/>
      <c r="G27" s="112"/>
      <c r="H27" s="112"/>
      <c r="I27" s="112"/>
    </row>
    <row r="28" spans="1:9" x14ac:dyDescent="0.25">
      <c r="A28" s="112"/>
      <c r="B28" s="112"/>
      <c r="C28" s="112"/>
      <c r="D28" s="112"/>
      <c r="E28" s="112"/>
      <c r="F28" s="112"/>
      <c r="G28" s="112"/>
      <c r="H28" s="112"/>
      <c r="I28" s="112"/>
    </row>
    <row r="29" spans="1:9" x14ac:dyDescent="0.25">
      <c r="A29" s="112"/>
      <c r="B29" s="112"/>
      <c r="C29" s="112"/>
      <c r="D29" s="112"/>
      <c r="E29" s="112"/>
      <c r="F29" s="112"/>
      <c r="G29" s="112"/>
      <c r="H29" s="112"/>
      <c r="I29" s="112"/>
    </row>
  </sheetData>
  <sheetProtection algorithmName="SHA-512" hashValue="3RhXR4XxiRbKcp2xOXnOlCrfr6nCI9EdVBnPlL/9TxI1FXIKJHDbp2S5eWPzZNMvi4KlsyJNi1oI/CGq4AliAw==" saltValue="JUwtGTVYRdGKpjoREo98GQ==" spinCount="100000" sheet="1" objects="1" scenarios="1" selectLockedCells="1" selectUnlockedCell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C1" workbookViewId="0">
      <selection activeCell="G9" sqref="G9"/>
    </sheetView>
  </sheetViews>
  <sheetFormatPr defaultRowHeight="15" x14ac:dyDescent="0.2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</cols>
  <sheetData>
    <row r="1" spans="1:10" ht="16.5" x14ac:dyDescent="0.3">
      <c r="A1" s="47" t="s">
        <v>227</v>
      </c>
      <c r="B1" s="48">
        <v>45142</v>
      </c>
      <c r="C1" s="48">
        <v>45149</v>
      </c>
      <c r="D1" s="48">
        <v>45156</v>
      </c>
      <c r="E1" s="48">
        <v>45163</v>
      </c>
      <c r="F1" s="48">
        <v>45170</v>
      </c>
      <c r="G1" s="48">
        <v>45177</v>
      </c>
      <c r="H1" s="48">
        <v>45184</v>
      </c>
      <c r="I1" s="48">
        <v>45191</v>
      </c>
      <c r="J1" s="48">
        <v>45198</v>
      </c>
    </row>
    <row r="2" spans="1:10" ht="16.5" x14ac:dyDescent="0.3">
      <c r="A2" s="49" t="s">
        <v>16</v>
      </c>
      <c r="B2" s="50">
        <v>21798118395</v>
      </c>
      <c r="C2" s="50">
        <v>21799255745.139996</v>
      </c>
      <c r="D2" s="50">
        <v>21756530204.330006</v>
      </c>
      <c r="E2" s="50">
        <v>21948547893.360001</v>
      </c>
      <c r="F2" s="50">
        <v>22687921199.809998</v>
      </c>
      <c r="G2" s="50">
        <v>23086923138.879997</v>
      </c>
      <c r="H2" s="50">
        <v>22684841502.700001</v>
      </c>
      <c r="I2" s="50">
        <v>22617340342.240005</v>
      </c>
      <c r="J2" s="50">
        <v>22347298706.340004</v>
      </c>
    </row>
    <row r="3" spans="1:10" ht="16.5" x14ac:dyDescent="0.3">
      <c r="A3" s="49" t="s">
        <v>49</v>
      </c>
      <c r="B3" s="51">
        <v>856179741726.49231</v>
      </c>
      <c r="C3" s="51">
        <v>857163632618.47339</v>
      </c>
      <c r="D3" s="51">
        <v>855610980289.1698</v>
      </c>
      <c r="E3" s="51">
        <v>852824801464.56006</v>
      </c>
      <c r="F3" s="51">
        <v>854338532735.88501</v>
      </c>
      <c r="G3" s="51">
        <v>842459027080.45435</v>
      </c>
      <c r="H3" s="51">
        <v>842959336565.12207</v>
      </c>
      <c r="I3" s="51">
        <v>849677574373.34802</v>
      </c>
      <c r="J3" s="51">
        <v>852624898169.64954</v>
      </c>
    </row>
    <row r="4" spans="1:10" ht="16.5" x14ac:dyDescent="0.3">
      <c r="A4" s="49" t="s">
        <v>228</v>
      </c>
      <c r="B4" s="50">
        <v>320872331713.32611</v>
      </c>
      <c r="C4" s="50">
        <v>321156453816.64587</v>
      </c>
      <c r="D4" s="50">
        <v>320687160580.93243</v>
      </c>
      <c r="E4" s="50">
        <v>319581951019.79437</v>
      </c>
      <c r="F4" s="50">
        <v>319127187068.50275</v>
      </c>
      <c r="G4" s="50">
        <v>320114444673.33032</v>
      </c>
      <c r="H4" s="50">
        <v>320326205967.90063</v>
      </c>
      <c r="I4" s="50">
        <v>299618437754.16949</v>
      </c>
      <c r="J4" s="50">
        <v>300146733726.06244</v>
      </c>
    </row>
    <row r="5" spans="1:10" ht="16.5" x14ac:dyDescent="0.3">
      <c r="A5" s="49" t="s">
        <v>132</v>
      </c>
      <c r="B5" s="51">
        <v>553123134779.05676</v>
      </c>
      <c r="C5" s="51">
        <v>554621583051.02319</v>
      </c>
      <c r="D5" s="51">
        <v>555450233256.58521</v>
      </c>
      <c r="E5" s="51">
        <v>584920699343.90466</v>
      </c>
      <c r="F5" s="51">
        <v>561324750435.97546</v>
      </c>
      <c r="G5" s="51">
        <v>554560757841.43372</v>
      </c>
      <c r="H5" s="51">
        <v>579242821265.46704</v>
      </c>
      <c r="I5" s="51">
        <v>573412197469.83374</v>
      </c>
      <c r="J5" s="51">
        <v>580580020013.89868</v>
      </c>
    </row>
    <row r="6" spans="1:10" ht="16.5" x14ac:dyDescent="0.3">
      <c r="A6" s="49" t="s">
        <v>229</v>
      </c>
      <c r="B6" s="50">
        <v>93574800912.410004</v>
      </c>
      <c r="C6" s="50">
        <v>93594876666.309998</v>
      </c>
      <c r="D6" s="50">
        <v>93626727218.01001</v>
      </c>
      <c r="E6" s="50">
        <v>93509583223.449997</v>
      </c>
      <c r="F6" s="50">
        <v>93504922541.330002</v>
      </c>
      <c r="G6" s="50">
        <v>92863739575.880005</v>
      </c>
      <c r="H6" s="50">
        <v>92900265036.520004</v>
      </c>
      <c r="I6" s="50">
        <v>92930445555.669998</v>
      </c>
      <c r="J6" s="50">
        <v>92953013524.979996</v>
      </c>
    </row>
    <row r="7" spans="1:10" ht="16.5" x14ac:dyDescent="0.3">
      <c r="A7" s="49" t="s">
        <v>158</v>
      </c>
      <c r="B7" s="52">
        <v>38884096485.686134</v>
      </c>
      <c r="C7" s="52">
        <v>38936521066.392647</v>
      </c>
      <c r="D7" s="52">
        <v>38811275853.394905</v>
      </c>
      <c r="E7" s="52">
        <v>39079043179.509552</v>
      </c>
      <c r="F7" s="52">
        <v>39909523580.55719</v>
      </c>
      <c r="G7" s="52">
        <v>40429036765.108025</v>
      </c>
      <c r="H7" s="52">
        <v>39999967409.311623</v>
      </c>
      <c r="I7" s="52">
        <v>40017994182.737228</v>
      </c>
      <c r="J7" s="52">
        <v>39835802330.054489</v>
      </c>
    </row>
    <row r="8" spans="1:10" ht="16.5" x14ac:dyDescent="0.3">
      <c r="A8" s="49" t="s">
        <v>183</v>
      </c>
      <c r="B8" s="50">
        <v>3796886715.4300003</v>
      </c>
      <c r="C8" s="50">
        <v>3821769493.7000003</v>
      </c>
      <c r="D8" s="50">
        <v>3802289133.5500002</v>
      </c>
      <c r="E8" s="50">
        <v>3833193790.9099998</v>
      </c>
      <c r="F8" s="50">
        <v>3950705160.4500003</v>
      </c>
      <c r="G8" s="50">
        <v>3988679154.2799997</v>
      </c>
      <c r="H8" s="50">
        <v>3887178325.5900002</v>
      </c>
      <c r="I8" s="50">
        <v>3868880759.98</v>
      </c>
      <c r="J8" s="50">
        <v>3871825099.96</v>
      </c>
    </row>
    <row r="9" spans="1:10" ht="16.5" x14ac:dyDescent="0.3">
      <c r="A9" s="49" t="s">
        <v>230</v>
      </c>
      <c r="B9" s="50">
        <v>27962550206.07</v>
      </c>
      <c r="C9" s="50">
        <v>27781533807.059998</v>
      </c>
      <c r="D9" s="50">
        <v>27801303893.869999</v>
      </c>
      <c r="E9" s="50">
        <v>27709525793.34</v>
      </c>
      <c r="F9" s="50">
        <v>27966500870.759998</v>
      </c>
      <c r="G9" s="50">
        <v>28062421939.949997</v>
      </c>
      <c r="H9" s="50">
        <v>28033788286.160004</v>
      </c>
      <c r="I9" s="50">
        <v>45442767297.869995</v>
      </c>
      <c r="J9" s="50">
        <v>45697413516.340004</v>
      </c>
    </row>
    <row r="10" spans="1:10" ht="15.75" x14ac:dyDescent="0.25">
      <c r="A10" s="53" t="s">
        <v>231</v>
      </c>
      <c r="B10" s="54">
        <f t="shared" ref="B10:I10" si="0">SUM(B2:B9)</f>
        <v>1916191660933.4709</v>
      </c>
      <c r="C10" s="54">
        <f t="shared" si="0"/>
        <v>1918875626264.7451</v>
      </c>
      <c r="D10" s="54">
        <f t="shared" si="0"/>
        <v>1917546500429.8425</v>
      </c>
      <c r="E10" s="54">
        <f t="shared" si="0"/>
        <v>1943407345708.8286</v>
      </c>
      <c r="F10" s="54">
        <f t="shared" si="0"/>
        <v>1922810043593.2705</v>
      </c>
      <c r="G10" s="54">
        <f t="shared" si="0"/>
        <v>1905565030169.3159</v>
      </c>
      <c r="H10" s="54">
        <f t="shared" si="0"/>
        <v>1930034404358.7712</v>
      </c>
      <c r="I10" s="54">
        <f t="shared" si="0"/>
        <v>1927585637735.8486</v>
      </c>
      <c r="J10" s="54">
        <f>SUM(J2:J9)</f>
        <v>1938057005087.2852</v>
      </c>
    </row>
    <row r="11" spans="1:10" ht="16.5" x14ac:dyDescent="0.3">
      <c r="A11" s="55"/>
      <c r="B11" s="56"/>
      <c r="C11" s="56"/>
      <c r="D11" s="56"/>
      <c r="E11" s="56"/>
      <c r="F11" s="56"/>
      <c r="G11" s="56"/>
      <c r="H11" s="56"/>
      <c r="I11" s="55"/>
      <c r="J11" s="55"/>
    </row>
    <row r="12" spans="1:10" ht="15.75" x14ac:dyDescent="0.25">
      <c r="A12" s="57" t="s">
        <v>232</v>
      </c>
      <c r="B12" s="58" t="s">
        <v>233</v>
      </c>
      <c r="C12" s="59">
        <f>(B10+C10)/2</f>
        <v>1917533643599.1079</v>
      </c>
      <c r="D12" s="60">
        <f t="shared" ref="D12:J12" si="1">(C10+D10)/2</f>
        <v>1918211063347.2939</v>
      </c>
      <c r="E12" s="60">
        <f t="shared" si="1"/>
        <v>1930476923069.3354</v>
      </c>
      <c r="F12" s="60">
        <f t="shared" si="1"/>
        <v>1933108694651.0496</v>
      </c>
      <c r="G12" s="60">
        <f>(F10+G10)/2</f>
        <v>1914187536881.2932</v>
      </c>
      <c r="H12" s="60">
        <f t="shared" si="1"/>
        <v>1917799717264.0435</v>
      </c>
      <c r="I12" s="60">
        <f t="shared" si="1"/>
        <v>1928810021047.3101</v>
      </c>
      <c r="J12" s="60">
        <f t="shared" si="1"/>
        <v>1932821321411.5669</v>
      </c>
    </row>
    <row r="15" spans="1:10" ht="16.5" x14ac:dyDescent="0.3">
      <c r="A15" s="47" t="s">
        <v>227</v>
      </c>
      <c r="B15" s="48">
        <v>45191</v>
      </c>
      <c r="C15" s="48">
        <v>45198</v>
      </c>
    </row>
    <row r="16" spans="1:10" ht="16.5" x14ac:dyDescent="0.3">
      <c r="A16" s="49" t="s">
        <v>16</v>
      </c>
      <c r="B16" s="50">
        <v>22617340342.240005</v>
      </c>
      <c r="C16" s="50">
        <v>22347298706.340004</v>
      </c>
    </row>
    <row r="17" spans="1:3" ht="16.5" x14ac:dyDescent="0.3">
      <c r="A17" s="49" t="s">
        <v>49</v>
      </c>
      <c r="B17" s="51">
        <v>849677574373.34802</v>
      </c>
      <c r="C17" s="51">
        <v>852624898169.64954</v>
      </c>
    </row>
    <row r="18" spans="1:3" ht="16.5" x14ac:dyDescent="0.3">
      <c r="A18" s="49" t="s">
        <v>228</v>
      </c>
      <c r="B18" s="50">
        <v>299618437754.16949</v>
      </c>
      <c r="C18" s="50">
        <v>300146733726.06244</v>
      </c>
    </row>
    <row r="19" spans="1:3" ht="16.5" x14ac:dyDescent="0.3">
      <c r="A19" s="49" t="s">
        <v>132</v>
      </c>
      <c r="B19" s="51">
        <v>573412197469.83374</v>
      </c>
      <c r="C19" s="51">
        <v>580580020013.89868</v>
      </c>
    </row>
    <row r="20" spans="1:3" ht="16.5" x14ac:dyDescent="0.3">
      <c r="A20" s="49" t="s">
        <v>229</v>
      </c>
      <c r="B20" s="50">
        <v>92930445555.669998</v>
      </c>
      <c r="C20" s="50">
        <v>92953013524.979996</v>
      </c>
    </row>
    <row r="21" spans="1:3" ht="16.5" x14ac:dyDescent="0.3">
      <c r="A21" s="49" t="s">
        <v>158</v>
      </c>
      <c r="B21" s="52">
        <v>40017994182.737228</v>
      </c>
      <c r="C21" s="52">
        <v>39835802330.054489</v>
      </c>
    </row>
    <row r="22" spans="1:3" ht="16.5" x14ac:dyDescent="0.3">
      <c r="A22" s="49" t="s">
        <v>183</v>
      </c>
      <c r="B22" s="50">
        <v>3868880759.98</v>
      </c>
      <c r="C22" s="50">
        <v>3871825099.96</v>
      </c>
    </row>
    <row r="23" spans="1:3" ht="16.5" x14ac:dyDescent="0.3">
      <c r="A23" s="49" t="s">
        <v>230</v>
      </c>
      <c r="B23" s="50">
        <v>45442767297.869995</v>
      </c>
      <c r="C23" s="50">
        <v>45697413516.340004</v>
      </c>
    </row>
  </sheetData>
  <sheetProtection algorithmName="SHA-512" hashValue="UdWwESHQNqwERZECTZy94Ap+YmTrOKy9xsQQVze77+LYF9ItVfyhE3DRHoHxQdzlUmHkSpXFBnP0KTvlMSFtZg==" saltValue="qmn3Mu5XPDCCrOmCGiLWY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2023-10-31T08:43:46Z</dcterms:modified>
</cp:coreProperties>
</file>