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NAV COMPARISON" sheetId="13" r:id="rId2"/>
    <sheet name="Market Share" sheetId="12" r:id="rId3"/>
    <sheet name="Total NAV" sheetId="8" r:id="rId4"/>
    <sheet name="Sector Trend" sheetId="4" r:id="rId5"/>
    <sheet name="NAV Trend" sheetId="1" state="hidden" r:id="rId6"/>
    <sheet name="Volatility Measure" sheetId="11" r:id="rId7"/>
  </sheets>
  <definedNames>
    <definedName name="_GoBack" localSheetId="0">Data!#REF!</definedName>
    <definedName name="OLE_LINK6" localSheetId="0">Data!$K$65</definedName>
    <definedName name="_xlnm.Print_Area" localSheetId="0">Data!$A$1:$AQ$193</definedName>
    <definedName name="_xlnm.Print_Area" localSheetId="5">'NAV Trend'!$B$1:$J$10</definedName>
  </definedNames>
  <calcPr calcId="162913"/>
</workbook>
</file>

<file path=xl/calcChain.xml><?xml version="1.0" encoding="utf-8"?>
<calcChain xmlns="http://schemas.openxmlformats.org/spreadsheetml/2006/main">
  <c r="AJ176" i="11" l="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K186" i="11"/>
  <c r="AL186" i="11"/>
  <c r="AM186" i="11"/>
  <c r="AN186" i="11"/>
  <c r="AO186" i="11"/>
  <c r="AJ187" i="11"/>
  <c r="AL187" i="11"/>
  <c r="AN187" i="11"/>
  <c r="AJ188" i="11"/>
  <c r="AL188" i="11"/>
  <c r="AN188" i="11"/>
  <c r="AO175" i="11"/>
  <c r="AN175" i="11"/>
  <c r="AM175" i="11"/>
  <c r="AL175" i="11"/>
  <c r="AK175" i="11"/>
  <c r="AJ17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L151" i="11"/>
  <c r="AN151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L166" i="11"/>
  <c r="AN166" i="11"/>
  <c r="AJ167" i="11"/>
  <c r="AL167" i="11"/>
  <c r="AN167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L172" i="11"/>
  <c r="AN172" i="11"/>
  <c r="AO5" i="11"/>
  <c r="AN5" i="11"/>
  <c r="AM5" i="11"/>
  <c r="AL5" i="11"/>
  <c r="AK5" i="11"/>
  <c r="AJ5" i="11"/>
  <c r="AF188" i="11"/>
  <c r="AF187" i="11"/>
  <c r="AH188" i="11" s="1"/>
  <c r="AF172" i="11"/>
  <c r="AF166" i="11"/>
  <c r="AH166" i="11" s="1"/>
  <c r="AF151" i="11"/>
  <c r="AH151" i="11" s="1"/>
  <c r="AF145" i="11"/>
  <c r="AH145" i="11" s="1"/>
  <c r="AF118" i="11"/>
  <c r="AG106" i="11"/>
  <c r="AG103" i="11"/>
  <c r="AI103" i="11" s="1"/>
  <c r="AF103" i="11"/>
  <c r="AH90" i="11" s="1"/>
  <c r="AG98" i="11"/>
  <c r="AI98" i="11" s="1"/>
  <c r="AG97" i="11"/>
  <c r="AI97" i="11" s="1"/>
  <c r="AG95" i="11"/>
  <c r="AG91" i="11"/>
  <c r="AG90" i="11"/>
  <c r="AF98" i="11"/>
  <c r="AF97" i="11"/>
  <c r="AF95" i="11"/>
  <c r="AF91" i="11"/>
  <c r="AF86" i="11"/>
  <c r="AF53" i="11"/>
  <c r="AF21" i="11"/>
  <c r="AI186" i="11"/>
  <c r="AH186" i="11"/>
  <c r="AI185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1" i="11"/>
  <c r="AH171" i="11"/>
  <c r="AI170" i="11"/>
  <c r="AH170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9" i="11"/>
  <c r="AH159" i="11"/>
  <c r="AI156" i="11"/>
  <c r="AH156" i="11"/>
  <c r="AI155" i="11"/>
  <c r="AH155" i="11"/>
  <c r="AI150" i="11"/>
  <c r="AH150" i="11"/>
  <c r="AI149" i="11"/>
  <c r="AH149" i="11"/>
  <c r="AI148" i="11"/>
  <c r="AH148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H118" i="11"/>
  <c r="AI117" i="11"/>
  <c r="AH117" i="11"/>
  <c r="AI116" i="11"/>
  <c r="AH116" i="11"/>
  <c r="AI115" i="11"/>
  <c r="AH115" i="11"/>
  <c r="AI114" i="11"/>
  <c r="AH114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2" i="11"/>
  <c r="AH102" i="11"/>
  <c r="AI99" i="11"/>
  <c r="AH98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H21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H187" i="11" l="1"/>
  <c r="AF167" i="11"/>
  <c r="AH167" i="11" s="1"/>
  <c r="AH103" i="11"/>
  <c r="AF111" i="11"/>
  <c r="AH99" i="11" s="1"/>
  <c r="M96" i="9"/>
  <c r="L96" i="9"/>
  <c r="J96" i="9"/>
  <c r="M104" i="9" l="1"/>
  <c r="L104" i="9"/>
  <c r="J104" i="9"/>
  <c r="M91" i="9" l="1"/>
  <c r="L91" i="9"/>
  <c r="L92" i="9" l="1"/>
  <c r="M92" i="9"/>
  <c r="J92" i="9"/>
  <c r="M99" i="9" l="1"/>
  <c r="L99" i="9"/>
  <c r="J99" i="9"/>
  <c r="M98" i="9" l="1"/>
  <c r="L98" i="9"/>
  <c r="J98" i="9"/>
  <c r="M107" i="9"/>
  <c r="L107" i="9"/>
  <c r="D192" i="9" l="1"/>
  <c r="D193" i="9" s="1"/>
  <c r="D175" i="9"/>
  <c r="D167" i="9"/>
  <c r="D168" i="9" s="1"/>
  <c r="D152" i="9"/>
  <c r="D146" i="9"/>
  <c r="D119" i="9"/>
  <c r="G107" i="9"/>
  <c r="F107" i="9"/>
  <c r="G104" i="9"/>
  <c r="F104" i="9"/>
  <c r="D104" i="9"/>
  <c r="D112" i="9" s="1"/>
  <c r="G99" i="9"/>
  <c r="F99" i="9"/>
  <c r="G98" i="9"/>
  <c r="F98" i="9"/>
  <c r="G96" i="9"/>
  <c r="F96" i="9"/>
  <c r="G92" i="9"/>
  <c r="F92" i="9"/>
  <c r="G91" i="9"/>
  <c r="F91" i="9"/>
  <c r="D99" i="9"/>
  <c r="D98" i="9"/>
  <c r="D96" i="9"/>
  <c r="D92" i="9"/>
  <c r="D87" i="9"/>
  <c r="D54" i="9"/>
  <c r="D22" i="9"/>
  <c r="AB53" i="11" l="1"/>
  <c r="AB145" i="11"/>
  <c r="AC98" i="11"/>
  <c r="AC97" i="11"/>
  <c r="AC95" i="11"/>
  <c r="AC91" i="11"/>
  <c r="AC90" i="11"/>
  <c r="AB98" i="11"/>
  <c r="AB97" i="11"/>
  <c r="AB95" i="11"/>
  <c r="AB91" i="11"/>
  <c r="AB86" i="11"/>
  <c r="AB21" i="11"/>
  <c r="AC106" i="11" l="1"/>
  <c r="AC103" i="11"/>
  <c r="AB103" i="11"/>
  <c r="AB118" i="11"/>
  <c r="AB151" i="11"/>
  <c r="AB166" i="11"/>
  <c r="AB172" i="11"/>
  <c r="AB187" i="11"/>
  <c r="AE134" i="11"/>
  <c r="AD134" i="11"/>
  <c r="AA134" i="11"/>
  <c r="Z134" i="11"/>
  <c r="W134" i="11"/>
  <c r="V134" i="11"/>
  <c r="S134" i="11"/>
  <c r="R134" i="11"/>
  <c r="O134" i="11"/>
  <c r="N134" i="11"/>
  <c r="K134" i="11"/>
  <c r="J134" i="11"/>
  <c r="G134" i="11"/>
  <c r="F134" i="11"/>
  <c r="AE41" i="11"/>
  <c r="AD41" i="11"/>
  <c r="AA41" i="11"/>
  <c r="Z41" i="11"/>
  <c r="W41" i="11"/>
  <c r="V41" i="11"/>
  <c r="S41" i="11"/>
  <c r="R41" i="11"/>
  <c r="O41" i="11"/>
  <c r="N41" i="11"/>
  <c r="K41" i="11"/>
  <c r="J41" i="11"/>
  <c r="G41" i="11"/>
  <c r="F41" i="11"/>
  <c r="AE12" i="11"/>
  <c r="AD12" i="11"/>
  <c r="AA12" i="11"/>
  <c r="Z12" i="11"/>
  <c r="W12" i="11"/>
  <c r="V12" i="11"/>
  <c r="S12" i="11"/>
  <c r="R12" i="11"/>
  <c r="O12" i="11"/>
  <c r="N12" i="11"/>
  <c r="K12" i="11"/>
  <c r="J12" i="11"/>
  <c r="G12" i="11"/>
  <c r="F12" i="11"/>
  <c r="AE186" i="11"/>
  <c r="AD186" i="1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1" i="11"/>
  <c r="AD171" i="11"/>
  <c r="AE170" i="11"/>
  <c r="AD170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9" i="11"/>
  <c r="AD159" i="11"/>
  <c r="AE156" i="11"/>
  <c r="AD156" i="11"/>
  <c r="AE155" i="11"/>
  <c r="AD155" i="11"/>
  <c r="AE150" i="11"/>
  <c r="AD150" i="11"/>
  <c r="AE149" i="11"/>
  <c r="AD149" i="11"/>
  <c r="AE148" i="11"/>
  <c r="AD148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17" i="11"/>
  <c r="AD117" i="11"/>
  <c r="AE116" i="11"/>
  <c r="AD116" i="11"/>
  <c r="AE115" i="11"/>
  <c r="AD115" i="11"/>
  <c r="AE114" i="11"/>
  <c r="AD114" i="11"/>
  <c r="AE110" i="11"/>
  <c r="AD110" i="11"/>
  <c r="AE109" i="11"/>
  <c r="AD109" i="11"/>
  <c r="AE108" i="11"/>
  <c r="AD108" i="11"/>
  <c r="AE107" i="11"/>
  <c r="AD107" i="11"/>
  <c r="AD106" i="11"/>
  <c r="AE105" i="11"/>
  <c r="AD105" i="11"/>
  <c r="AE104" i="11"/>
  <c r="AD104" i="11"/>
  <c r="AE102" i="11"/>
  <c r="AD102" i="11"/>
  <c r="AE99" i="11"/>
  <c r="AE96" i="11"/>
  <c r="AD96" i="11"/>
  <c r="AE94" i="11"/>
  <c r="AD94" i="11"/>
  <c r="AE93" i="11"/>
  <c r="AD93" i="11"/>
  <c r="AE92" i="11"/>
  <c r="AD92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11" i="11" l="1"/>
  <c r="AB167" i="11" s="1"/>
  <c r="AD90" i="11"/>
  <c r="AD99" i="11" l="1"/>
  <c r="AB188" i="11"/>
  <c r="S135" i="9"/>
  <c r="R135" i="9"/>
  <c r="Q135" i="9"/>
  <c r="P135" i="9"/>
  <c r="S42" i="9"/>
  <c r="R42" i="9"/>
  <c r="Q42" i="9"/>
  <c r="P42" i="9"/>
  <c r="S13" i="9"/>
  <c r="R13" i="9"/>
  <c r="Q13" i="9"/>
  <c r="P13" i="9"/>
  <c r="E135" i="9" l="1"/>
  <c r="E13" i="9"/>
  <c r="X187" i="11" l="1"/>
  <c r="AD187" i="11" s="1"/>
  <c r="X172" i="11"/>
  <c r="X166" i="11"/>
  <c r="AD166" i="11" s="1"/>
  <c r="X151" i="11"/>
  <c r="AD151" i="11" s="1"/>
  <c r="X145" i="11"/>
  <c r="AD145" i="11" s="1"/>
  <c r="X118" i="11"/>
  <c r="AD118" i="11" s="1"/>
  <c r="Y106" i="11"/>
  <c r="AE106" i="11" s="1"/>
  <c r="Y103" i="11"/>
  <c r="AE103" i="11" s="1"/>
  <c r="X103" i="11"/>
  <c r="AD103" i="11" s="1"/>
  <c r="Y98" i="11"/>
  <c r="AE98" i="11" s="1"/>
  <c r="Y97" i="11"/>
  <c r="AE97" i="11" s="1"/>
  <c r="Y95" i="11"/>
  <c r="AE95" i="11" s="1"/>
  <c r="Y91" i="11"/>
  <c r="AE91" i="11" s="1"/>
  <c r="Y90" i="11"/>
  <c r="AE90" i="11" s="1"/>
  <c r="X98" i="11"/>
  <c r="AD98" i="11" s="1"/>
  <c r="X97" i="11"/>
  <c r="AD97" i="11" s="1"/>
  <c r="X95" i="11"/>
  <c r="AD95" i="11" s="1"/>
  <c r="X91" i="11"/>
  <c r="AD91" i="11" s="1"/>
  <c r="X86" i="11"/>
  <c r="AD86" i="11" s="1"/>
  <c r="X53" i="11"/>
  <c r="AD53" i="11" s="1"/>
  <c r="X21" i="11"/>
  <c r="AD21" i="11" s="1"/>
  <c r="X111" i="11" l="1"/>
  <c r="X167" i="11" s="1"/>
  <c r="AA186" i="11"/>
  <c r="Z186" i="1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1" i="11"/>
  <c r="Z171" i="11"/>
  <c r="AA170" i="11"/>
  <c r="Z170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9" i="11"/>
  <c r="Z159" i="11"/>
  <c r="AA156" i="11"/>
  <c r="Z156" i="11"/>
  <c r="AA155" i="11"/>
  <c r="Z155" i="11"/>
  <c r="AA150" i="11"/>
  <c r="Z150" i="11"/>
  <c r="AA149" i="11"/>
  <c r="Z149" i="11"/>
  <c r="AA148" i="11"/>
  <c r="Z148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17" i="11"/>
  <c r="Z117" i="11"/>
  <c r="AA116" i="11"/>
  <c r="Z116" i="11"/>
  <c r="AA115" i="11"/>
  <c r="Z115" i="11"/>
  <c r="AA114" i="11"/>
  <c r="Z114" i="11"/>
  <c r="AA110" i="11"/>
  <c r="Z110" i="11"/>
  <c r="AA109" i="11"/>
  <c r="Z109" i="11"/>
  <c r="AA108" i="11"/>
  <c r="Z108" i="11"/>
  <c r="AA107" i="11"/>
  <c r="Z107" i="11"/>
  <c r="Z106" i="11"/>
  <c r="AA105" i="11"/>
  <c r="Z105" i="11"/>
  <c r="AA104" i="11"/>
  <c r="Z104" i="11"/>
  <c r="AA102" i="11"/>
  <c r="Z102" i="11"/>
  <c r="AA99" i="11"/>
  <c r="AA96" i="11"/>
  <c r="Z96" i="11"/>
  <c r="AA94" i="11"/>
  <c r="Z94" i="11"/>
  <c r="AA93" i="11"/>
  <c r="Z93" i="11"/>
  <c r="AA92" i="11"/>
  <c r="Z92" i="11"/>
  <c r="Z90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99" i="11" l="1"/>
  <c r="X188" i="11"/>
  <c r="AD188" i="11" s="1"/>
  <c r="AD167" i="11"/>
  <c r="T187" i="11"/>
  <c r="Z187" i="11" s="1"/>
  <c r="T172" i="11"/>
  <c r="T166" i="11"/>
  <c r="Z166" i="11" s="1"/>
  <c r="T151" i="11"/>
  <c r="Z151" i="11" s="1"/>
  <c r="T145" i="11"/>
  <c r="Z145" i="11" s="1"/>
  <c r="T118" i="11"/>
  <c r="Z118" i="11" s="1"/>
  <c r="U106" i="11"/>
  <c r="AA106" i="11" s="1"/>
  <c r="U103" i="11"/>
  <c r="AA103" i="11" s="1"/>
  <c r="T103" i="11"/>
  <c r="U98" i="11"/>
  <c r="AA98" i="11" s="1"/>
  <c r="U97" i="11"/>
  <c r="AA97" i="11" s="1"/>
  <c r="U95" i="11"/>
  <c r="AA95" i="11" s="1"/>
  <c r="U91" i="11"/>
  <c r="AA91" i="11" s="1"/>
  <c r="U90" i="11"/>
  <c r="AA90" i="11" s="1"/>
  <c r="T98" i="11"/>
  <c r="Z98" i="11" s="1"/>
  <c r="T97" i="11"/>
  <c r="Z97" i="11" s="1"/>
  <c r="T95" i="11"/>
  <c r="Z95" i="11" s="1"/>
  <c r="T91" i="11"/>
  <c r="Z91" i="11" s="1"/>
  <c r="T86" i="11"/>
  <c r="Z86" i="11" s="1"/>
  <c r="T53" i="11"/>
  <c r="Z53" i="11" s="1"/>
  <c r="T21" i="11"/>
  <c r="Z21" i="11" s="1"/>
  <c r="W186" i="11"/>
  <c r="V186" i="11"/>
  <c r="W185" i="11"/>
  <c r="V185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1" i="11"/>
  <c r="V171" i="11"/>
  <c r="W170" i="11"/>
  <c r="V170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9" i="11"/>
  <c r="V159" i="11"/>
  <c r="W156" i="11"/>
  <c r="V156" i="11"/>
  <c r="W155" i="11"/>
  <c r="V155" i="11"/>
  <c r="W150" i="11"/>
  <c r="V150" i="11"/>
  <c r="W149" i="11"/>
  <c r="V149" i="11"/>
  <c r="W148" i="11"/>
  <c r="V148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17" i="11"/>
  <c r="V117" i="11"/>
  <c r="W116" i="11"/>
  <c r="V116" i="11"/>
  <c r="W115" i="11"/>
  <c r="V115" i="11"/>
  <c r="W114" i="11"/>
  <c r="V114" i="11"/>
  <c r="W110" i="11"/>
  <c r="V110" i="11"/>
  <c r="W109" i="11"/>
  <c r="V109" i="11"/>
  <c r="W108" i="11"/>
  <c r="V108" i="11"/>
  <c r="W107" i="11"/>
  <c r="V107" i="11"/>
  <c r="V106" i="11"/>
  <c r="W105" i="11"/>
  <c r="V105" i="11"/>
  <c r="W104" i="11"/>
  <c r="V104" i="11"/>
  <c r="W102" i="11"/>
  <c r="V102" i="11"/>
  <c r="W99" i="11"/>
  <c r="W96" i="11"/>
  <c r="V96" i="11"/>
  <c r="W94" i="11"/>
  <c r="V94" i="11"/>
  <c r="W93" i="11"/>
  <c r="V93" i="11"/>
  <c r="W92" i="11"/>
  <c r="V92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V90" i="11" l="1"/>
  <c r="Z103" i="11"/>
  <c r="T111" i="11"/>
  <c r="T167" i="11" s="1"/>
  <c r="Z167" i="11" s="1"/>
  <c r="V99" i="11" l="1"/>
  <c r="T188" i="11"/>
  <c r="Z188" i="11" s="1"/>
  <c r="P187" i="11" l="1"/>
  <c r="V187" i="11" s="1"/>
  <c r="P172" i="11"/>
  <c r="P166" i="11"/>
  <c r="V166" i="11" s="1"/>
  <c r="P151" i="11"/>
  <c r="V151" i="11" s="1"/>
  <c r="P145" i="11"/>
  <c r="V145" i="11" s="1"/>
  <c r="P118" i="11"/>
  <c r="V118" i="11" s="1"/>
  <c r="Q106" i="11"/>
  <c r="W106" i="11" s="1"/>
  <c r="Q103" i="11"/>
  <c r="W103" i="11" s="1"/>
  <c r="P103" i="11"/>
  <c r="V103" i="11" s="1"/>
  <c r="Q98" i="11"/>
  <c r="W98" i="11" s="1"/>
  <c r="Q97" i="11"/>
  <c r="W97" i="11" s="1"/>
  <c r="Q95" i="11"/>
  <c r="W95" i="11" s="1"/>
  <c r="Q91" i="11"/>
  <c r="W91" i="11" s="1"/>
  <c r="Q90" i="11"/>
  <c r="W90" i="11" s="1"/>
  <c r="P98" i="11"/>
  <c r="V98" i="11" s="1"/>
  <c r="P97" i="11"/>
  <c r="V97" i="11" s="1"/>
  <c r="P95" i="11"/>
  <c r="V95" i="11" s="1"/>
  <c r="P91" i="11"/>
  <c r="V91" i="11" s="1"/>
  <c r="P86" i="11"/>
  <c r="V86" i="11" s="1"/>
  <c r="P53" i="11"/>
  <c r="V53" i="11" s="1"/>
  <c r="P21" i="11"/>
  <c r="V21" i="11" s="1"/>
  <c r="J10" i="1"/>
  <c r="I10" i="1"/>
  <c r="H10" i="1"/>
  <c r="G10" i="1"/>
  <c r="F10" i="1"/>
  <c r="E10" i="1"/>
  <c r="D10" i="1"/>
  <c r="C10" i="1"/>
  <c r="P111" i="11" l="1"/>
  <c r="P167" i="11" s="1"/>
  <c r="V167" i="11" s="1"/>
  <c r="S186" i="11"/>
  <c r="R186" i="11"/>
  <c r="S185" i="11"/>
  <c r="R185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1" i="11"/>
  <c r="R171" i="11"/>
  <c r="S170" i="11"/>
  <c r="R170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9" i="11"/>
  <c r="R159" i="11"/>
  <c r="S156" i="11"/>
  <c r="R156" i="11"/>
  <c r="S155" i="11"/>
  <c r="R155" i="11"/>
  <c r="S150" i="11"/>
  <c r="R150" i="11"/>
  <c r="S149" i="11"/>
  <c r="R149" i="11"/>
  <c r="S148" i="11"/>
  <c r="R148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17" i="11"/>
  <c r="R117" i="11"/>
  <c r="S116" i="11"/>
  <c r="R116" i="11"/>
  <c r="S115" i="11"/>
  <c r="R115" i="11"/>
  <c r="S114" i="11"/>
  <c r="R114" i="11"/>
  <c r="S110" i="11"/>
  <c r="R110" i="11"/>
  <c r="S109" i="11"/>
  <c r="R109" i="11"/>
  <c r="S108" i="11"/>
  <c r="R108" i="11"/>
  <c r="S107" i="11"/>
  <c r="R107" i="11"/>
  <c r="R106" i="11"/>
  <c r="S105" i="11"/>
  <c r="R105" i="11"/>
  <c r="S104" i="11"/>
  <c r="R104" i="11"/>
  <c r="S102" i="11"/>
  <c r="R102" i="11"/>
  <c r="S99" i="11"/>
  <c r="S96" i="11"/>
  <c r="R96" i="11"/>
  <c r="S94" i="11"/>
  <c r="R94" i="11"/>
  <c r="S93" i="11"/>
  <c r="R93" i="11"/>
  <c r="S92" i="11"/>
  <c r="R92" i="11"/>
  <c r="R90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R99" i="11" l="1"/>
  <c r="P188" i="11"/>
  <c r="V188" i="11" s="1"/>
  <c r="L187" i="11" l="1"/>
  <c r="R187" i="11" s="1"/>
  <c r="L172" i="11"/>
  <c r="L166" i="11"/>
  <c r="R166" i="11" s="1"/>
  <c r="L151" i="11"/>
  <c r="R151" i="11" s="1"/>
  <c r="L145" i="11"/>
  <c r="R145" i="11" s="1"/>
  <c r="L118" i="11"/>
  <c r="R118" i="11" s="1"/>
  <c r="M106" i="11"/>
  <c r="S106" i="11" s="1"/>
  <c r="M103" i="11"/>
  <c r="S103" i="11" s="1"/>
  <c r="L103" i="11"/>
  <c r="R103" i="11" s="1"/>
  <c r="M98" i="11"/>
  <c r="S98" i="11" s="1"/>
  <c r="M97" i="11"/>
  <c r="S97" i="11" s="1"/>
  <c r="M95" i="11"/>
  <c r="S95" i="11" s="1"/>
  <c r="M91" i="11"/>
  <c r="S91" i="11" s="1"/>
  <c r="M90" i="11"/>
  <c r="S90" i="11" s="1"/>
  <c r="L98" i="11"/>
  <c r="R98" i="11" s="1"/>
  <c r="L97" i="11"/>
  <c r="R97" i="11" s="1"/>
  <c r="L95" i="11"/>
  <c r="R95" i="11" s="1"/>
  <c r="L91" i="11"/>
  <c r="R91" i="11" s="1"/>
  <c r="L86" i="11"/>
  <c r="R86" i="11" s="1"/>
  <c r="L53" i="11"/>
  <c r="R53" i="11" s="1"/>
  <c r="L21" i="11"/>
  <c r="R21" i="11" s="1"/>
  <c r="O186" i="11"/>
  <c r="N186" i="11"/>
  <c r="O185" i="11"/>
  <c r="N185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1" i="11"/>
  <c r="N171" i="11"/>
  <c r="O170" i="11"/>
  <c r="N170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9" i="11"/>
  <c r="N159" i="11"/>
  <c r="O156" i="11"/>
  <c r="N156" i="11"/>
  <c r="O155" i="11"/>
  <c r="N155" i="11"/>
  <c r="O150" i="11"/>
  <c r="N150" i="11"/>
  <c r="O149" i="11"/>
  <c r="N149" i="11"/>
  <c r="O148" i="11"/>
  <c r="N148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17" i="11"/>
  <c r="N117" i="11"/>
  <c r="O116" i="11"/>
  <c r="N116" i="11"/>
  <c r="O115" i="11"/>
  <c r="N115" i="11"/>
  <c r="O114" i="11"/>
  <c r="N114" i="11"/>
  <c r="O110" i="11"/>
  <c r="N110" i="11"/>
  <c r="O109" i="11"/>
  <c r="N109" i="11"/>
  <c r="O108" i="11"/>
  <c r="N108" i="11"/>
  <c r="O107" i="11"/>
  <c r="N107" i="11"/>
  <c r="N106" i="11"/>
  <c r="O105" i="11"/>
  <c r="N105" i="11"/>
  <c r="O104" i="11"/>
  <c r="N104" i="11"/>
  <c r="O102" i="11"/>
  <c r="N102" i="11"/>
  <c r="O99" i="11"/>
  <c r="O96" i="11"/>
  <c r="N96" i="11"/>
  <c r="O94" i="11"/>
  <c r="N94" i="11"/>
  <c r="O93" i="11"/>
  <c r="N93" i="11"/>
  <c r="O92" i="11"/>
  <c r="N92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11" i="11" l="1"/>
  <c r="L167" i="11" s="1"/>
  <c r="R167" i="11" s="1"/>
  <c r="N90" i="11"/>
  <c r="L188" i="11" l="1"/>
  <c r="R188" i="11" s="1"/>
  <c r="N99" i="11"/>
  <c r="H187" i="11"/>
  <c r="N187" i="11" s="1"/>
  <c r="H172" i="11"/>
  <c r="H166" i="11"/>
  <c r="N166" i="11" s="1"/>
  <c r="H151" i="11"/>
  <c r="N151" i="11" s="1"/>
  <c r="H145" i="11"/>
  <c r="N145" i="11" s="1"/>
  <c r="H118" i="11"/>
  <c r="N118" i="11" s="1"/>
  <c r="I106" i="11"/>
  <c r="O106" i="11" s="1"/>
  <c r="I103" i="11"/>
  <c r="O103" i="11" s="1"/>
  <c r="H103" i="11"/>
  <c r="I98" i="11"/>
  <c r="O98" i="11" s="1"/>
  <c r="I97" i="11"/>
  <c r="O97" i="11" s="1"/>
  <c r="I95" i="11"/>
  <c r="O95" i="11" s="1"/>
  <c r="I91" i="11"/>
  <c r="O91" i="11" s="1"/>
  <c r="I90" i="11"/>
  <c r="O90" i="11" s="1"/>
  <c r="H98" i="11"/>
  <c r="N98" i="11" s="1"/>
  <c r="H97" i="11"/>
  <c r="N97" i="11" s="1"/>
  <c r="H95" i="11"/>
  <c r="N95" i="11" s="1"/>
  <c r="H91" i="11"/>
  <c r="N91" i="11" s="1"/>
  <c r="H86" i="11"/>
  <c r="N86" i="11" s="1"/>
  <c r="H53" i="11"/>
  <c r="N53" i="11" s="1"/>
  <c r="H21" i="11"/>
  <c r="N21" i="11" s="1"/>
  <c r="K186" i="11"/>
  <c r="J186" i="1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1" i="11"/>
  <c r="J171" i="11"/>
  <c r="K170" i="11"/>
  <c r="J170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9" i="11"/>
  <c r="J159" i="11"/>
  <c r="K156" i="11"/>
  <c r="J156" i="11"/>
  <c r="K155" i="11"/>
  <c r="J155" i="11"/>
  <c r="K150" i="11"/>
  <c r="J150" i="11"/>
  <c r="K149" i="11"/>
  <c r="J149" i="11"/>
  <c r="K148" i="11"/>
  <c r="J148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17" i="11"/>
  <c r="J117" i="11"/>
  <c r="K116" i="11"/>
  <c r="J116" i="11"/>
  <c r="K115" i="11"/>
  <c r="J115" i="11"/>
  <c r="K114" i="11"/>
  <c r="J114" i="11"/>
  <c r="K110" i="11"/>
  <c r="J110" i="11"/>
  <c r="K109" i="11"/>
  <c r="J109" i="11"/>
  <c r="K108" i="11"/>
  <c r="J108" i="11"/>
  <c r="K107" i="11"/>
  <c r="J107" i="11"/>
  <c r="J106" i="11"/>
  <c r="K105" i="11"/>
  <c r="J105" i="11"/>
  <c r="K104" i="11"/>
  <c r="J104" i="11"/>
  <c r="K102" i="11"/>
  <c r="J102" i="11"/>
  <c r="K99" i="11"/>
  <c r="K96" i="11"/>
  <c r="J96" i="11"/>
  <c r="K94" i="11"/>
  <c r="J94" i="11"/>
  <c r="K93" i="11"/>
  <c r="J93" i="11"/>
  <c r="K92" i="11"/>
  <c r="J92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J90" i="11" l="1"/>
  <c r="N103" i="11"/>
  <c r="H111" i="11"/>
  <c r="H167" i="11" s="1"/>
  <c r="N167" i="11" s="1"/>
  <c r="J99" i="11" l="1"/>
  <c r="H188" i="11"/>
  <c r="N188" i="11" s="1"/>
  <c r="D187" i="11" l="1"/>
  <c r="J187" i="11" s="1"/>
  <c r="D172" i="11"/>
  <c r="D166" i="11"/>
  <c r="J166" i="11" s="1"/>
  <c r="D151" i="11"/>
  <c r="J151" i="11" s="1"/>
  <c r="D145" i="11"/>
  <c r="J145" i="11" s="1"/>
  <c r="D118" i="11"/>
  <c r="J118" i="11" s="1"/>
  <c r="E106" i="11"/>
  <c r="K106" i="11" s="1"/>
  <c r="E103" i="11"/>
  <c r="K103" i="11" s="1"/>
  <c r="D103" i="11"/>
  <c r="E98" i="11"/>
  <c r="K98" i="11" s="1"/>
  <c r="E97" i="11"/>
  <c r="K97" i="11" s="1"/>
  <c r="E95" i="11"/>
  <c r="K95" i="11" s="1"/>
  <c r="E91" i="11"/>
  <c r="K91" i="11" s="1"/>
  <c r="E90" i="11"/>
  <c r="K90" i="11" s="1"/>
  <c r="D98" i="11"/>
  <c r="J98" i="11" s="1"/>
  <c r="D97" i="11"/>
  <c r="J97" i="11" s="1"/>
  <c r="D95" i="11"/>
  <c r="J95" i="11" s="1"/>
  <c r="D91" i="11"/>
  <c r="J91" i="11" s="1"/>
  <c r="D86" i="11"/>
  <c r="J86" i="11" s="1"/>
  <c r="D53" i="11"/>
  <c r="J53" i="11" s="1"/>
  <c r="D21" i="11"/>
  <c r="J21" i="11" s="1"/>
  <c r="G186" i="11"/>
  <c r="F186" i="11"/>
  <c r="G185" i="11"/>
  <c r="F185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1" i="11"/>
  <c r="F171" i="11"/>
  <c r="G170" i="11"/>
  <c r="F170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9" i="11"/>
  <c r="F159" i="11"/>
  <c r="G156" i="11"/>
  <c r="F156" i="11"/>
  <c r="G155" i="11"/>
  <c r="F155" i="11"/>
  <c r="G150" i="11"/>
  <c r="F150" i="11"/>
  <c r="G149" i="11"/>
  <c r="F149" i="11"/>
  <c r="G148" i="11"/>
  <c r="F148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17" i="11"/>
  <c r="F117" i="11"/>
  <c r="G116" i="11"/>
  <c r="F116" i="11"/>
  <c r="G115" i="11"/>
  <c r="F115" i="11"/>
  <c r="G114" i="11"/>
  <c r="F114" i="11"/>
  <c r="G110" i="11"/>
  <c r="F110" i="11"/>
  <c r="G109" i="11"/>
  <c r="F109" i="11"/>
  <c r="G108" i="11"/>
  <c r="F108" i="11"/>
  <c r="G107" i="11"/>
  <c r="F107" i="11"/>
  <c r="F106" i="11"/>
  <c r="G105" i="11"/>
  <c r="F105" i="11"/>
  <c r="G104" i="11"/>
  <c r="F104" i="11"/>
  <c r="G102" i="11"/>
  <c r="F102" i="11"/>
  <c r="G99" i="11"/>
  <c r="G96" i="11"/>
  <c r="F96" i="11"/>
  <c r="G94" i="11"/>
  <c r="F94" i="11"/>
  <c r="G93" i="11"/>
  <c r="F93" i="11"/>
  <c r="G92" i="11"/>
  <c r="F92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F90" i="11" l="1"/>
  <c r="J103" i="11"/>
  <c r="D111" i="11"/>
  <c r="D167" i="11" s="1"/>
  <c r="J167" i="11" s="1"/>
  <c r="F99" i="11" l="1"/>
  <c r="D188" i="11"/>
  <c r="J188" i="11" s="1"/>
  <c r="B187" i="11" l="1"/>
  <c r="B172" i="11"/>
  <c r="B166" i="11"/>
  <c r="B151" i="11"/>
  <c r="B145" i="11"/>
  <c r="B118" i="11"/>
  <c r="C106" i="11"/>
  <c r="C103" i="11"/>
  <c r="B103" i="11"/>
  <c r="C98" i="11"/>
  <c r="C97" i="11"/>
  <c r="C95" i="11"/>
  <c r="C91" i="11"/>
  <c r="C90" i="11"/>
  <c r="B98" i="11"/>
  <c r="B97" i="11"/>
  <c r="B95" i="11"/>
  <c r="B91" i="11"/>
  <c r="B86" i="11"/>
  <c r="B53" i="11"/>
  <c r="B21" i="11"/>
  <c r="F95" i="11" l="1"/>
  <c r="F187" i="11"/>
  <c r="F97" i="11"/>
  <c r="G103" i="11"/>
  <c r="F98" i="11"/>
  <c r="G106" i="11"/>
  <c r="G90" i="11"/>
  <c r="F118" i="11"/>
  <c r="F145" i="11"/>
  <c r="F53" i="11"/>
  <c r="G95" i="11"/>
  <c r="F151" i="11"/>
  <c r="F21" i="11"/>
  <c r="F86" i="11"/>
  <c r="G97" i="11"/>
  <c r="F166" i="11"/>
  <c r="G91" i="11"/>
  <c r="F91" i="11"/>
  <c r="G98" i="11"/>
  <c r="F103" i="11"/>
  <c r="B111" i="11"/>
  <c r="B167" i="11" l="1"/>
  <c r="B188" i="11" s="1"/>
  <c r="F188" i="11" l="1"/>
  <c r="F167" i="11"/>
  <c r="Q95" i="9"/>
  <c r="P95" i="9" l="1"/>
  <c r="S95" i="9"/>
  <c r="R95" i="9"/>
  <c r="P94" i="9"/>
  <c r="E95" i="9" l="1"/>
  <c r="J152" i="9" l="1"/>
  <c r="K150" i="9" s="1"/>
  <c r="K149" i="9" l="1"/>
  <c r="K151" i="9"/>
  <c r="P47" i="9" l="1"/>
  <c r="S190" i="9" l="1"/>
  <c r="S188" i="9"/>
  <c r="S187" i="9"/>
  <c r="S191" i="9"/>
  <c r="S189" i="9"/>
  <c r="S184" i="9"/>
  <c r="S181" i="9"/>
  <c r="S186" i="9"/>
  <c r="S185" i="9"/>
  <c r="S180" i="9"/>
  <c r="S183" i="9"/>
  <c r="S182" i="9"/>
  <c r="S192" i="9"/>
  <c r="S179" i="9"/>
  <c r="S174" i="9"/>
  <c r="S175" i="9"/>
  <c r="S173" i="9"/>
  <c r="S163" i="9"/>
  <c r="S166" i="9"/>
  <c r="S164" i="9"/>
  <c r="S160" i="9"/>
  <c r="S161" i="9"/>
  <c r="S162" i="9"/>
  <c r="S167" i="9"/>
  <c r="S165" i="9"/>
  <c r="S157" i="9"/>
  <c r="S156" i="9"/>
  <c r="S151" i="9"/>
  <c r="S149" i="9"/>
  <c r="S152" i="9"/>
  <c r="S150" i="9"/>
  <c r="S145" i="9"/>
  <c r="S142" i="9"/>
  <c r="S123" i="9"/>
  <c r="S124" i="9"/>
  <c r="S132" i="9"/>
  <c r="S144" i="9"/>
  <c r="S126" i="9"/>
  <c r="S133" i="9"/>
  <c r="S137" i="9"/>
  <c r="S139" i="9"/>
  <c r="S143" i="9"/>
  <c r="S129" i="9"/>
  <c r="S134" i="9"/>
  <c r="S122" i="9"/>
  <c r="S127" i="9"/>
  <c r="S136" i="9"/>
  <c r="S125" i="9"/>
  <c r="S138" i="9"/>
  <c r="S131" i="9"/>
  <c r="S128" i="9"/>
  <c r="S130" i="9"/>
  <c r="S141" i="9"/>
  <c r="S146" i="9"/>
  <c r="S140" i="9"/>
  <c r="S117" i="9"/>
  <c r="S118" i="9"/>
  <c r="S115" i="9"/>
  <c r="S119" i="9"/>
  <c r="S116" i="9"/>
  <c r="S111" i="9"/>
  <c r="S105" i="9"/>
  <c r="S103" i="9"/>
  <c r="S106" i="9"/>
  <c r="S108" i="9"/>
  <c r="S107" i="9"/>
  <c r="S104" i="9"/>
  <c r="S110" i="9"/>
  <c r="S112" i="9"/>
  <c r="S109" i="9"/>
  <c r="S100" i="9"/>
  <c r="S97" i="9"/>
  <c r="S99" i="9"/>
  <c r="S91" i="9"/>
  <c r="S92" i="9"/>
  <c r="S93" i="9"/>
  <c r="S96" i="9"/>
  <c r="S98" i="9"/>
  <c r="S94" i="9"/>
  <c r="S75" i="9"/>
  <c r="S69" i="9"/>
  <c r="S68" i="9"/>
  <c r="S63" i="9"/>
  <c r="S84" i="9"/>
  <c r="S85" i="9"/>
  <c r="S86" i="9"/>
  <c r="S62" i="9"/>
  <c r="S82" i="9"/>
  <c r="S77" i="9"/>
  <c r="S72" i="9"/>
  <c r="S78" i="9"/>
  <c r="S80" i="9"/>
  <c r="S76" i="9"/>
  <c r="S73" i="9"/>
  <c r="S70" i="9"/>
  <c r="S67" i="9"/>
  <c r="S71" i="9"/>
  <c r="S65" i="9"/>
  <c r="S57" i="9"/>
  <c r="S58" i="9"/>
  <c r="S81" i="9"/>
  <c r="S60" i="9"/>
  <c r="S61" i="9"/>
  <c r="S74" i="9"/>
  <c r="S64" i="9"/>
  <c r="S59" i="9"/>
  <c r="S66" i="9"/>
  <c r="S83" i="9"/>
  <c r="S87" i="9"/>
  <c r="S79" i="9"/>
  <c r="S39" i="9"/>
  <c r="S50" i="9"/>
  <c r="S26" i="9"/>
  <c r="S28" i="9"/>
  <c r="S44" i="9"/>
  <c r="S29" i="9"/>
  <c r="S41" i="9"/>
  <c r="S32" i="9"/>
  <c r="S47" i="9"/>
  <c r="S30" i="9"/>
  <c r="S35" i="9"/>
  <c r="S36" i="9"/>
  <c r="S34" i="9"/>
  <c r="S53" i="9"/>
  <c r="S25" i="9"/>
  <c r="S43" i="9"/>
  <c r="S40" i="9"/>
  <c r="S52" i="9"/>
  <c r="S31" i="9"/>
  <c r="S38" i="9"/>
  <c r="S27" i="9"/>
  <c r="S49" i="9"/>
  <c r="S51" i="9"/>
  <c r="S46" i="9"/>
  <c r="S37" i="9"/>
  <c r="S33" i="9"/>
  <c r="S45" i="9"/>
  <c r="S54" i="9"/>
  <c r="S48" i="9"/>
  <c r="S14" i="9"/>
  <c r="S11" i="9"/>
  <c r="S17" i="9"/>
  <c r="S6" i="9"/>
  <c r="S21" i="9"/>
  <c r="S8" i="9"/>
  <c r="S10" i="9"/>
  <c r="S15" i="9"/>
  <c r="S18" i="9"/>
  <c r="S9" i="9"/>
  <c r="S16" i="9"/>
  <c r="S7" i="9"/>
  <c r="S12" i="9"/>
  <c r="S20" i="9"/>
  <c r="S22" i="9"/>
  <c r="S19" i="9"/>
  <c r="P16" i="9" l="1"/>
  <c r="K10" i="1" l="1"/>
  <c r="K12" i="1" l="1"/>
  <c r="R110" i="9" l="1"/>
  <c r="Q110" i="9"/>
  <c r="R104" i="9"/>
  <c r="Q104" i="9"/>
  <c r="P104" i="9"/>
  <c r="R98" i="9"/>
  <c r="Q98" i="9"/>
  <c r="P98" i="9"/>
  <c r="P110" i="9" l="1"/>
  <c r="E140" i="9" l="1"/>
  <c r="E130" i="9" l="1"/>
  <c r="E122" i="9"/>
  <c r="E141" i="9"/>
  <c r="E134" i="9"/>
  <c r="E126" i="9"/>
  <c r="E144" i="9"/>
  <c r="E128" i="9"/>
  <c r="E129" i="9"/>
  <c r="E132" i="9"/>
  <c r="E131" i="9"/>
  <c r="E143" i="9"/>
  <c r="E124" i="9"/>
  <c r="E138" i="9"/>
  <c r="E139" i="9"/>
  <c r="E123" i="9"/>
  <c r="E125" i="9"/>
  <c r="E142" i="9"/>
  <c r="E136" i="9"/>
  <c r="E137" i="9"/>
  <c r="E145" i="9"/>
  <c r="E127" i="9"/>
  <c r="E133" i="9"/>
  <c r="E110" i="9" l="1"/>
  <c r="E98" i="9"/>
  <c r="J22" i="9" l="1"/>
  <c r="K13" i="9" s="1"/>
  <c r="R96" i="9" l="1"/>
  <c r="P96" i="9"/>
  <c r="Q96" i="9"/>
  <c r="E96" i="9" l="1"/>
  <c r="R192" i="9" l="1"/>
  <c r="Q99" i="9"/>
  <c r="Q19" i="9"/>
  <c r="R130" i="9" l="1"/>
  <c r="Q130" i="9"/>
  <c r="P130" i="9"/>
  <c r="R66" i="9"/>
  <c r="Q66" i="9"/>
  <c r="P66" i="9"/>
  <c r="R12" i="9"/>
  <c r="Q12" i="9"/>
  <c r="P12" i="9"/>
  <c r="E66" i="9" l="1"/>
  <c r="E12" i="9"/>
  <c r="R59" i="9" l="1"/>
  <c r="Q59" i="9"/>
  <c r="P59" i="9"/>
  <c r="E59" i="9" l="1"/>
  <c r="J146" i="9" l="1"/>
  <c r="J119" i="9"/>
  <c r="J112" i="9"/>
  <c r="K95" i="9" s="1"/>
  <c r="J87" i="9"/>
  <c r="K76" i="9" s="1"/>
  <c r="J54" i="9"/>
  <c r="K122" i="9" l="1"/>
  <c r="K129" i="9"/>
  <c r="K145" i="9"/>
  <c r="K135" i="9"/>
  <c r="K25" i="9"/>
  <c r="K42" i="9"/>
  <c r="K138" i="9"/>
  <c r="K142" i="9"/>
  <c r="K110" i="9"/>
  <c r="K103" i="9"/>
  <c r="K128" i="9"/>
  <c r="K82" i="9"/>
  <c r="K80" i="9"/>
  <c r="K104" i="9"/>
  <c r="E104" i="9"/>
  <c r="K96" i="9"/>
  <c r="K98" i="9"/>
  <c r="K52" i="9"/>
  <c r="K44" i="9"/>
  <c r="K66" i="9"/>
  <c r="K60" i="9"/>
  <c r="K130" i="9"/>
  <c r="K124" i="9"/>
  <c r="K43" i="9"/>
  <c r="K46" i="9"/>
  <c r="K27" i="9"/>
  <c r="K40" i="9"/>
  <c r="K37" i="9"/>
  <c r="K51" i="9"/>
  <c r="K33" i="9"/>
  <c r="K38" i="9"/>
  <c r="K49" i="9"/>
  <c r="K31" i="9"/>
  <c r="K45" i="9"/>
  <c r="K137" i="9"/>
  <c r="K125" i="9"/>
  <c r="K59" i="9"/>
  <c r="K73" i="9"/>
  <c r="R93" i="9"/>
  <c r="Q93" i="9"/>
  <c r="P93" i="9"/>
  <c r="K93" i="9"/>
  <c r="R161" i="9"/>
  <c r="Q161" i="9"/>
  <c r="P161" i="9"/>
  <c r="R128" i="9"/>
  <c r="Q128" i="9"/>
  <c r="P128" i="9"/>
  <c r="E93" i="9"/>
  <c r="E161" i="9" l="1"/>
  <c r="J192" i="9" l="1"/>
  <c r="J175" i="9"/>
  <c r="J167" i="9"/>
  <c r="K183" i="9" l="1"/>
  <c r="K190" i="9"/>
  <c r="K161" i="9"/>
  <c r="J168" i="9"/>
  <c r="J193" i="9" l="1"/>
  <c r="K167" i="9"/>
  <c r="R182" i="9"/>
  <c r="Q182" i="9"/>
  <c r="P182" i="9"/>
  <c r="E182" i="9"/>
  <c r="R183" i="9"/>
  <c r="Q183" i="9"/>
  <c r="P183" i="9"/>
  <c r="E183" i="9"/>
  <c r="R180" i="9"/>
  <c r="Q180" i="9"/>
  <c r="P180" i="9"/>
  <c r="E180" i="9"/>
  <c r="R185" i="9"/>
  <c r="Q185" i="9"/>
  <c r="P185" i="9"/>
  <c r="E185" i="9"/>
  <c r="R186" i="9"/>
  <c r="Q186" i="9"/>
  <c r="P186" i="9"/>
  <c r="E186" i="9"/>
  <c r="R181" i="9"/>
  <c r="Q181" i="9"/>
  <c r="P181" i="9"/>
  <c r="E181" i="9"/>
  <c r="R184" i="9"/>
  <c r="Q184" i="9"/>
  <c r="P184" i="9"/>
  <c r="E184" i="9"/>
  <c r="R189" i="9"/>
  <c r="Q189" i="9"/>
  <c r="P189" i="9"/>
  <c r="E189" i="9"/>
  <c r="R191" i="9"/>
  <c r="Q191" i="9"/>
  <c r="P191" i="9"/>
  <c r="E191" i="9"/>
  <c r="R187" i="9"/>
  <c r="Q187" i="9"/>
  <c r="P187" i="9"/>
  <c r="E187" i="9"/>
  <c r="R188" i="9"/>
  <c r="Q188" i="9"/>
  <c r="P188" i="9"/>
  <c r="E188" i="9"/>
  <c r="R190" i="9"/>
  <c r="Q190" i="9"/>
  <c r="P190" i="9"/>
  <c r="E190" i="9"/>
  <c r="R175" i="9"/>
  <c r="P175" i="9"/>
  <c r="R174" i="9"/>
  <c r="Q174" i="9"/>
  <c r="P174" i="9"/>
  <c r="K174" i="9"/>
  <c r="E174" i="9"/>
  <c r="R173" i="9"/>
  <c r="Q173" i="9"/>
  <c r="P173" i="9"/>
  <c r="K173" i="9"/>
  <c r="E173" i="9"/>
  <c r="R167" i="9"/>
  <c r="K165" i="9"/>
  <c r="E157" i="9"/>
  <c r="R162" i="9"/>
  <c r="Q162" i="9"/>
  <c r="P162" i="9"/>
  <c r="R160" i="9"/>
  <c r="Q160" i="9"/>
  <c r="P160" i="9"/>
  <c r="R164" i="9"/>
  <c r="Q164" i="9"/>
  <c r="P164" i="9"/>
  <c r="R166" i="9"/>
  <c r="Q166" i="9"/>
  <c r="P166" i="9"/>
  <c r="R163" i="9"/>
  <c r="Q163" i="9"/>
  <c r="P163" i="9"/>
  <c r="E163" i="9"/>
  <c r="R165" i="9"/>
  <c r="Q165" i="9"/>
  <c r="P165" i="9"/>
  <c r="R157" i="9"/>
  <c r="Q157" i="9"/>
  <c r="P157" i="9"/>
  <c r="K157" i="9"/>
  <c r="R156" i="9"/>
  <c r="Q156" i="9"/>
  <c r="P156" i="9"/>
  <c r="R152" i="9"/>
  <c r="P152" i="9"/>
  <c r="R149" i="9"/>
  <c r="Q149" i="9"/>
  <c r="P149" i="9"/>
  <c r="E149" i="9"/>
  <c r="R151" i="9"/>
  <c r="Q151" i="9"/>
  <c r="P151" i="9"/>
  <c r="E151" i="9"/>
  <c r="R150" i="9"/>
  <c r="Q150" i="9"/>
  <c r="P150" i="9"/>
  <c r="E150" i="9"/>
  <c r="R146" i="9"/>
  <c r="R141" i="9"/>
  <c r="Q141" i="9"/>
  <c r="P141" i="9"/>
  <c r="R131" i="9"/>
  <c r="Q131" i="9"/>
  <c r="P131" i="9"/>
  <c r="R138" i="9"/>
  <c r="Q138" i="9"/>
  <c r="P138" i="9"/>
  <c r="R125" i="9"/>
  <c r="Q125" i="9"/>
  <c r="P125" i="9"/>
  <c r="R136" i="9"/>
  <c r="Q136" i="9"/>
  <c r="P136" i="9"/>
  <c r="R127" i="9"/>
  <c r="Q127" i="9"/>
  <c r="P127" i="9"/>
  <c r="R122" i="9"/>
  <c r="Q122" i="9"/>
  <c r="P122" i="9"/>
  <c r="R134" i="9"/>
  <c r="Q134" i="9"/>
  <c r="P134" i="9"/>
  <c r="R129" i="9"/>
  <c r="Q129" i="9"/>
  <c r="P129" i="9"/>
  <c r="R143" i="9"/>
  <c r="Q143" i="9"/>
  <c r="P143" i="9"/>
  <c r="R139" i="9"/>
  <c r="Q139" i="9"/>
  <c r="P139" i="9"/>
  <c r="R137" i="9"/>
  <c r="Q137" i="9"/>
  <c r="P137" i="9"/>
  <c r="R133" i="9"/>
  <c r="Q133" i="9"/>
  <c r="P133" i="9"/>
  <c r="R126" i="9"/>
  <c r="Q126" i="9"/>
  <c r="P126" i="9"/>
  <c r="R144" i="9"/>
  <c r="Q144" i="9"/>
  <c r="P144" i="9"/>
  <c r="R132" i="9"/>
  <c r="Q132" i="9"/>
  <c r="P132" i="9"/>
  <c r="R124" i="9"/>
  <c r="Q124" i="9"/>
  <c r="P124" i="9"/>
  <c r="R123" i="9"/>
  <c r="Q123" i="9"/>
  <c r="P123" i="9"/>
  <c r="R142" i="9"/>
  <c r="Q142" i="9"/>
  <c r="P142" i="9"/>
  <c r="R145" i="9"/>
  <c r="Q145" i="9"/>
  <c r="P145" i="9"/>
  <c r="R140" i="9"/>
  <c r="Q140" i="9"/>
  <c r="P140" i="9"/>
  <c r="R119" i="9"/>
  <c r="P119" i="9"/>
  <c r="E115" i="9"/>
  <c r="R115" i="9"/>
  <c r="Q115" i="9"/>
  <c r="P115" i="9"/>
  <c r="R118" i="9"/>
  <c r="Q118" i="9"/>
  <c r="P118" i="9"/>
  <c r="E118" i="9"/>
  <c r="R117" i="9"/>
  <c r="Q117" i="9"/>
  <c r="P117" i="9"/>
  <c r="R116" i="9"/>
  <c r="Q116" i="9"/>
  <c r="P116" i="9"/>
  <c r="E116" i="9"/>
  <c r="R112" i="9"/>
  <c r="R107" i="9"/>
  <c r="Q107" i="9"/>
  <c r="P107" i="9"/>
  <c r="R108" i="9"/>
  <c r="Q108" i="9"/>
  <c r="P108" i="9"/>
  <c r="R106" i="9"/>
  <c r="Q106" i="9"/>
  <c r="P106" i="9"/>
  <c r="R103" i="9"/>
  <c r="Q103" i="9"/>
  <c r="P103" i="9"/>
  <c r="R105" i="9"/>
  <c r="Q105" i="9"/>
  <c r="P105" i="9"/>
  <c r="R111" i="9"/>
  <c r="Q111" i="9"/>
  <c r="P111" i="9"/>
  <c r="R109" i="9"/>
  <c r="Q109" i="9"/>
  <c r="P109" i="9"/>
  <c r="R92" i="9"/>
  <c r="Q92" i="9"/>
  <c r="R91" i="9"/>
  <c r="P91" i="9"/>
  <c r="Q91" i="9"/>
  <c r="R99" i="9"/>
  <c r="P99" i="9"/>
  <c r="R97" i="9"/>
  <c r="Q97" i="9"/>
  <c r="P97" i="9"/>
  <c r="R100" i="9"/>
  <c r="Q100" i="9"/>
  <c r="P100" i="9"/>
  <c r="R94" i="9"/>
  <c r="Q94" i="9"/>
  <c r="R87" i="9"/>
  <c r="P87" i="9"/>
  <c r="E83" i="9"/>
  <c r="R83" i="9"/>
  <c r="Q83" i="9"/>
  <c r="P83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1" i="9"/>
  <c r="Q71" i="9"/>
  <c r="P71" i="9"/>
  <c r="E71" i="9"/>
  <c r="R67" i="9"/>
  <c r="Q67" i="9"/>
  <c r="P67" i="9"/>
  <c r="E67" i="9"/>
  <c r="R70" i="9"/>
  <c r="Q70" i="9"/>
  <c r="P70" i="9"/>
  <c r="E70" i="9"/>
  <c r="R73" i="9"/>
  <c r="Q73" i="9"/>
  <c r="P73" i="9"/>
  <c r="E73" i="9"/>
  <c r="R76" i="9"/>
  <c r="Q76" i="9"/>
  <c r="P76" i="9"/>
  <c r="E76" i="9"/>
  <c r="R80" i="9"/>
  <c r="Q80" i="9"/>
  <c r="P80" i="9"/>
  <c r="E80" i="9"/>
  <c r="R78" i="9"/>
  <c r="Q78" i="9"/>
  <c r="P78" i="9"/>
  <c r="E78" i="9"/>
  <c r="R72" i="9"/>
  <c r="Q72" i="9"/>
  <c r="P72" i="9"/>
  <c r="E72" i="9"/>
  <c r="R77" i="9"/>
  <c r="Q77" i="9"/>
  <c r="P77" i="9"/>
  <c r="E77" i="9"/>
  <c r="R82" i="9"/>
  <c r="Q82" i="9"/>
  <c r="P82" i="9"/>
  <c r="E82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8" i="9"/>
  <c r="Q68" i="9"/>
  <c r="E68" i="9"/>
  <c r="R69" i="9"/>
  <c r="Q69" i="9"/>
  <c r="P69" i="9"/>
  <c r="E69" i="9"/>
  <c r="R75" i="9"/>
  <c r="Q75" i="9"/>
  <c r="P75" i="9"/>
  <c r="E75" i="9"/>
  <c r="R79" i="9"/>
  <c r="Q79" i="9"/>
  <c r="P79" i="9"/>
  <c r="E79" i="9"/>
  <c r="R54" i="9"/>
  <c r="E38" i="9"/>
  <c r="R45" i="9"/>
  <c r="Q45" i="9"/>
  <c r="P45" i="9"/>
  <c r="R33" i="9"/>
  <c r="Q33" i="9"/>
  <c r="P33" i="9"/>
  <c r="R37" i="9"/>
  <c r="Q37" i="9"/>
  <c r="P37" i="9"/>
  <c r="R46" i="9"/>
  <c r="Q46" i="9"/>
  <c r="P46" i="9"/>
  <c r="R51" i="9"/>
  <c r="Q51" i="9"/>
  <c r="P51" i="9"/>
  <c r="R49" i="9"/>
  <c r="Q49" i="9"/>
  <c r="P49" i="9"/>
  <c r="R27" i="9"/>
  <c r="Q27" i="9"/>
  <c r="P27" i="9"/>
  <c r="R38" i="9"/>
  <c r="Q38" i="9"/>
  <c r="P38" i="9"/>
  <c r="R31" i="9"/>
  <c r="Q31" i="9"/>
  <c r="P31" i="9"/>
  <c r="R52" i="9"/>
  <c r="Q52" i="9"/>
  <c r="P52" i="9"/>
  <c r="R40" i="9"/>
  <c r="Q40" i="9"/>
  <c r="P40" i="9"/>
  <c r="R43" i="9"/>
  <c r="Q43" i="9"/>
  <c r="P43" i="9"/>
  <c r="R25" i="9"/>
  <c r="Q25" i="9"/>
  <c r="P25" i="9"/>
  <c r="R53" i="9"/>
  <c r="Q53" i="9"/>
  <c r="P53" i="9"/>
  <c r="R34" i="9"/>
  <c r="Q34" i="9"/>
  <c r="P34" i="9"/>
  <c r="R36" i="9"/>
  <c r="Q36" i="9"/>
  <c r="P36" i="9"/>
  <c r="R35" i="9"/>
  <c r="Q35" i="9"/>
  <c r="P35" i="9"/>
  <c r="R30" i="9"/>
  <c r="Q30" i="9"/>
  <c r="P30" i="9"/>
  <c r="R47" i="9"/>
  <c r="Q47" i="9"/>
  <c r="R32" i="9"/>
  <c r="Q32" i="9"/>
  <c r="P32" i="9"/>
  <c r="R41" i="9"/>
  <c r="Q41" i="9"/>
  <c r="P41" i="9"/>
  <c r="R29" i="9"/>
  <c r="Q29" i="9"/>
  <c r="P29" i="9"/>
  <c r="R44" i="9"/>
  <c r="Q44" i="9"/>
  <c r="P44" i="9"/>
  <c r="R28" i="9"/>
  <c r="Q28" i="9"/>
  <c r="P28" i="9"/>
  <c r="R26" i="9"/>
  <c r="Q26" i="9"/>
  <c r="P26" i="9"/>
  <c r="R50" i="9"/>
  <c r="Q50" i="9"/>
  <c r="P50" i="9"/>
  <c r="R39" i="9"/>
  <c r="Q39" i="9"/>
  <c r="P39" i="9"/>
  <c r="R48" i="9"/>
  <c r="Q48" i="9"/>
  <c r="P48" i="9"/>
  <c r="R22" i="9"/>
  <c r="P22" i="9"/>
  <c r="E8" i="9"/>
  <c r="R20" i="9"/>
  <c r="Q20" i="9"/>
  <c r="P20" i="9"/>
  <c r="R7" i="9"/>
  <c r="Q7" i="9"/>
  <c r="R16" i="9"/>
  <c r="Q16" i="9"/>
  <c r="R9" i="9"/>
  <c r="Q9" i="9"/>
  <c r="P9" i="9"/>
  <c r="R18" i="9"/>
  <c r="Q18" i="9"/>
  <c r="P18" i="9"/>
  <c r="R15" i="9"/>
  <c r="Q15" i="9"/>
  <c r="P15" i="9"/>
  <c r="E15" i="9"/>
  <c r="R10" i="9"/>
  <c r="Q10" i="9"/>
  <c r="P10" i="9"/>
  <c r="R8" i="9"/>
  <c r="Q8" i="9"/>
  <c r="P8" i="9"/>
  <c r="R21" i="9"/>
  <c r="Q21" i="9"/>
  <c r="P21" i="9"/>
  <c r="E21" i="9"/>
  <c r="R6" i="9"/>
  <c r="Q6" i="9"/>
  <c r="P6" i="9"/>
  <c r="R17" i="9"/>
  <c r="Q17" i="9"/>
  <c r="P17" i="9"/>
  <c r="E17" i="9"/>
  <c r="R11" i="9"/>
  <c r="Q11" i="9"/>
  <c r="P11" i="9"/>
  <c r="R14" i="9"/>
  <c r="Q14" i="9"/>
  <c r="P14" i="9"/>
  <c r="R19" i="9"/>
  <c r="P19" i="9"/>
  <c r="E19" i="9"/>
  <c r="K180" i="9" l="1"/>
  <c r="K187" i="9"/>
  <c r="K189" i="9"/>
  <c r="K181" i="9"/>
  <c r="K188" i="9"/>
  <c r="K185" i="9"/>
  <c r="P192" i="9"/>
  <c r="K186" i="9"/>
  <c r="K182" i="9"/>
  <c r="K184" i="9"/>
  <c r="K166" i="9"/>
  <c r="K156" i="9"/>
  <c r="K163" i="9"/>
  <c r="K164" i="9"/>
  <c r="K160" i="9"/>
  <c r="K162" i="9"/>
  <c r="K123" i="9"/>
  <c r="K67" i="9"/>
  <c r="K75" i="9"/>
  <c r="K85" i="9"/>
  <c r="K78" i="9"/>
  <c r="K64" i="9"/>
  <c r="K84" i="9"/>
  <c r="K63" i="9"/>
  <c r="K65" i="9"/>
  <c r="K58" i="9"/>
  <c r="K61" i="9"/>
  <c r="K34" i="9"/>
  <c r="K29" i="9"/>
  <c r="K28" i="9"/>
  <c r="K50" i="9"/>
  <c r="K35" i="9"/>
  <c r="K32" i="9"/>
  <c r="K48" i="9"/>
  <c r="K30" i="9"/>
  <c r="P54" i="9"/>
  <c r="K14" i="9"/>
  <c r="K17" i="9"/>
  <c r="K21" i="9"/>
  <c r="K16" i="9"/>
  <c r="K19" i="9"/>
  <c r="K15" i="9"/>
  <c r="K18" i="9"/>
  <c r="K10" i="9"/>
  <c r="K11" i="9"/>
  <c r="K144" i="9"/>
  <c r="K139" i="9"/>
  <c r="K134" i="9"/>
  <c r="K117" i="9"/>
  <c r="K118" i="9"/>
  <c r="K116" i="9"/>
  <c r="K7" i="9"/>
  <c r="K6" i="9"/>
  <c r="K8" i="9"/>
  <c r="K9" i="9"/>
  <c r="E156" i="9"/>
  <c r="E160" i="9"/>
  <c r="P167" i="9"/>
  <c r="E7" i="9"/>
  <c r="K68" i="9"/>
  <c r="K72" i="9"/>
  <c r="K71" i="9"/>
  <c r="K132" i="9"/>
  <c r="K141" i="9"/>
  <c r="P146" i="9"/>
  <c r="E164" i="9"/>
  <c r="E11" i="9"/>
  <c r="E9" i="9"/>
  <c r="E10" i="9"/>
  <c r="K39" i="9"/>
  <c r="K26" i="9"/>
  <c r="K41" i="9"/>
  <c r="K47" i="9"/>
  <c r="K36" i="9"/>
  <c r="K53" i="9"/>
  <c r="K79" i="9"/>
  <c r="K62" i="9"/>
  <c r="K70" i="9"/>
  <c r="E74" i="9"/>
  <c r="E117" i="9"/>
  <c r="E165" i="9"/>
  <c r="P92" i="9"/>
  <c r="K133" i="9"/>
  <c r="K127" i="9"/>
  <c r="K57" i="9"/>
  <c r="K74" i="9"/>
  <c r="K126" i="9"/>
  <c r="E162" i="9"/>
  <c r="K140" i="9"/>
  <c r="E14" i="9"/>
  <c r="E18" i="9"/>
  <c r="E20" i="9"/>
  <c r="K69" i="9"/>
  <c r="K77" i="9"/>
  <c r="K81" i="9"/>
  <c r="K143" i="9"/>
  <c r="K131" i="9"/>
  <c r="E166" i="9"/>
  <c r="E92" i="9"/>
  <c r="E6" i="9"/>
  <c r="E16" i="9"/>
  <c r="K86" i="9"/>
  <c r="E61" i="9"/>
  <c r="K83" i="9"/>
  <c r="K115" i="9"/>
  <c r="E109" i="9" l="1"/>
  <c r="E103" i="9"/>
  <c r="E107" i="9"/>
  <c r="E111" i="9"/>
  <c r="E97" i="9"/>
  <c r="E106" i="9"/>
  <c r="E99" i="9"/>
  <c r="E108" i="9"/>
  <c r="E94" i="9"/>
  <c r="E91" i="9"/>
  <c r="E105" i="9"/>
  <c r="E100" i="9"/>
  <c r="E146" i="9" l="1"/>
  <c r="E119" i="9"/>
  <c r="E152" i="9"/>
  <c r="E167" i="9"/>
  <c r="E54" i="9"/>
  <c r="E22" i="9"/>
  <c r="E87" i="9"/>
  <c r="E112" i="9"/>
  <c r="AT143" i="11" l="1"/>
  <c r="AT138" i="11"/>
  <c r="AQ138" i="11"/>
  <c r="AS138" i="11" s="1"/>
  <c r="AT137" i="11"/>
  <c r="AS137" i="11"/>
  <c r="AT136" i="11"/>
  <c r="AS136" i="11"/>
  <c r="AT135" i="11"/>
  <c r="AS135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Q125" i="11"/>
  <c r="AQ143" i="11" s="1"/>
  <c r="AS143" i="11" s="1"/>
  <c r="AT124" i="11"/>
  <c r="AQ124" i="11"/>
  <c r="AS124" i="11" s="1"/>
  <c r="AT120" i="11"/>
  <c r="AS120" i="11"/>
  <c r="AT118" i="11"/>
  <c r="AS118" i="11"/>
  <c r="AT117" i="11"/>
  <c r="AS117" i="11"/>
  <c r="AT116" i="11"/>
  <c r="AS116" i="11"/>
  <c r="AT115" i="11"/>
  <c r="AS115" i="11"/>
  <c r="AT114" i="11"/>
  <c r="AS114" i="11"/>
  <c r="AT113" i="11"/>
  <c r="AQ113" i="11"/>
  <c r="AS113" i="11" s="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6" i="11"/>
  <c r="AS96" i="11"/>
  <c r="AT95" i="11"/>
  <c r="AS95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15" i="11"/>
  <c r="AS15" i="11"/>
  <c r="AT14" i="11"/>
  <c r="AS14" i="11"/>
  <c r="AT13" i="11"/>
  <c r="AS13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5" i="11" l="1"/>
  <c r="T175" i="9"/>
  <c r="T193" i="9"/>
  <c r="K106" i="9"/>
  <c r="P168" i="9" l="1"/>
  <c r="K99" i="9"/>
  <c r="K92" i="9"/>
  <c r="K107" i="9"/>
  <c r="K109" i="9"/>
  <c r="K105" i="9"/>
  <c r="K108" i="9"/>
  <c r="K97" i="9"/>
  <c r="P112" i="9"/>
  <c r="K100" i="9"/>
  <c r="K94" i="9"/>
  <c r="K91" i="9"/>
  <c r="K111" i="9"/>
  <c r="K54" i="9" l="1"/>
  <c r="K87" i="9"/>
  <c r="T168" i="9"/>
  <c r="K152" i="9"/>
  <c r="K22" i="9"/>
  <c r="K112" i="9"/>
  <c r="K146" i="9"/>
  <c r="K119" i="9"/>
</calcChain>
</file>

<file path=xl/sharedStrings.xml><?xml version="1.0" encoding="utf-8"?>
<sst xmlns="http://schemas.openxmlformats.org/spreadsheetml/2006/main" count="724" uniqueCount="288">
  <si>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</si>
  <si>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</si>
  <si>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</si>
  <si>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</si>
  <si>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</si>
  <si>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</si>
  <si>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</si>
  <si>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</si>
  <si>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</si>
  <si>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</si>
  <si>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</si>
  <si>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</si>
  <si>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</si>
  <si>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</si>
  <si>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</si>
  <si>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</si>
  <si>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</si>
  <si>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</si>
  <si>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</si>
  <si>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</si>
  <si>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</si>
  <si>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</si>
  <si>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</si>
  <si>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</si>
  <si>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</si>
  <si>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</si>
  <si>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</si>
  <si>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</si>
  <si>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</si>
  <si>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</si>
  <si>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</si>
  <si>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</si>
  <si>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</si>
  <si>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</si>
  <si>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</si>
  <si>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</si>
  <si>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</si>
  <si>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</si>
  <si>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</si>
  <si>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</si>
  <si>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</si>
  <si>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</si>
  <si>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</si>
  <si>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</si>
  <si>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</si>
  <si>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</si>
  <si>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</si>
  <si>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</si>
  <si>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</si>
  <si>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</si>
  <si>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</si>
  <si>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</si>
  <si>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</si>
  <si>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</si>
  <si>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</si>
  <si>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</si>
  <si>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</si>
  <si>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</si>
  <si>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</si>
  <si>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</si>
  <si>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</si>
  <si>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</si>
  <si>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</si>
  <si>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</si>
  <si>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</si>
  <si>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</si>
  <si>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</si>
  <si>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</si>
  <si>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</si>
  <si>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</si>
  <si>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</si>
  <si>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</si>
  <si>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</si>
  <si>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</si>
  <si>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</si>
  <si>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</si>
  <si>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</si>
  <si>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</si>
  <si>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</si>
  <si>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</si>
  <si>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</si>
  <si>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</si>
  <si>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</si>
  <si>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</si>
  <si>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</si>
  <si>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</si>
  <si>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</si>
  <si>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</si>
  <si>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</si>
  <si>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</si>
  <si>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</si>
  <si>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</si>
  <si>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</si>
  <si>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</si>
  <si>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</si>
  <si>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</si>
  <si>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</si>
  <si>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</si>
  <si>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</si>
  <si>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</si>
  <si>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</si>
  <si>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</si>
  <si>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</si>
  <si>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</si>
  <si>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</si>
  <si>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</si>
  <si>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</si>
  <si>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</si>
  <si>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</si>
  <si>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</si>
  <si>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</si>
  <si>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</si>
  <si>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</si>
  <si>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</si>
  <si>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</si>
  <si>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</si>
  <si>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</si>
  <si>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</si>
  <si>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</si>
  <si>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</si>
  <si>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Legacy USD Bond Fund</t>
  </si>
  <si>
    <t>Legacy Money Market Fund</t>
  </si>
  <si>
    <t>GDL Money Market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</si>
  <si>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</si>
  <si>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</si>
  <si>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</si>
  <si>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</si>
  <si>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</si>
  <si>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</si>
  <si>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</si>
  <si>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</si>
  <si>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</si>
  <si>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</si>
  <si>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</si>
  <si>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</si>
  <si>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</si>
  <si>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</si>
  <si>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</si>
  <si>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</si>
  <si>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</si>
  <si>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</si>
  <si>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</si>
  <si>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</si>
  <si>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</si>
  <si>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</si>
  <si>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</si>
  <si>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</si>
  <si>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</si>
  <si>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</si>
  <si>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</si>
  <si>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</si>
  <si>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</si>
  <si>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</si>
  <si>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</si>
  <si>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</si>
  <si>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</si>
  <si>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</si>
  <si>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</si>
  <si>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</si>
  <si>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</si>
  <si>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</si>
  <si>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</si>
  <si>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</si>
  <si>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</si>
  <si>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</si>
  <si>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</si>
  <si>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</si>
  <si>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</si>
  <si>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</si>
  <si>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</si>
  <si>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</si>
  <si>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</si>
  <si>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</si>
  <si>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</si>
  <si>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</si>
  <si>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</si>
  <si>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</si>
  <si>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</si>
  <si>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</si>
  <si>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</si>
  <si>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</si>
  <si>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</si>
  <si>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</si>
  <si>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</si>
  <si>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</si>
  <si>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</si>
  <si>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</si>
  <si>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</si>
  <si>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</si>
  <si>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</si>
  <si>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</si>
  <si>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</si>
  <si>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</si>
  <si>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</si>
  <si>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</si>
  <si>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</si>
  <si>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</si>
  <si>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</si>
  <si>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</si>
  <si>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</si>
  <si>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</si>
  <si>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</si>
  <si>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</si>
  <si>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</si>
  <si>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</si>
  <si>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</si>
  <si>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</si>
  <si>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</si>
  <si>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</si>
  <si>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</si>
  <si>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</si>
  <si>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</si>
  <si>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</si>
  <si>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</si>
  <si>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</si>
  <si>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</si>
  <si>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</si>
  <si>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</si>
  <si>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</si>
  <si>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</si>
  <si>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</si>
  <si>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</si>
  <si>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</si>
  <si>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</si>
  <si>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</si>
  <si>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</si>
  <si>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</si>
  <si>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</si>
  <si>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</si>
  <si>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</si>
  <si>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</si>
  <si>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</si>
  <si>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</si>
  <si>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</si>
  <si>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</si>
  <si>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</si>
  <si>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</si>
  <si>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</si>
  <si>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</si>
  <si>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</si>
  <si>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</si>
  <si>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</si>
  <si>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</si>
  <si>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</si>
  <si>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</si>
  <si>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</si>
  <si>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</si>
  <si>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</si>
  <si>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</si>
  <si>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</si>
  <si>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</si>
  <si>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</si>
  <si>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</si>
  <si>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</si>
  <si>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Yield (WTD)</t>
  </si>
  <si>
    <t>Yield  (YTD)</t>
  </si>
  <si>
    <t>Greenwich Balanced Fund</t>
  </si>
  <si>
    <t>Yield (%) WYD</t>
  </si>
  <si>
    <t>Yield (%) YTD</t>
  </si>
  <si>
    <t>Coronation Asset Management Ltd</t>
  </si>
  <si>
    <t>% Change in Total NAV of ETFs</t>
  </si>
  <si>
    <t>% Change in Total NAV of CIS</t>
  </si>
  <si>
    <t>First Ally Money Market Fund</t>
  </si>
  <si>
    <t>BOND/FIXED INCOME FUNDS</t>
  </si>
  <si>
    <t>Emerging Africa Balanced-Diversity Fund</t>
  </si>
  <si>
    <t>GDL CanaryGrowth Fund</t>
  </si>
  <si>
    <t>Coral Balanced Fund</t>
  </si>
  <si>
    <t>FBN Specialized Dollar Fund</t>
  </si>
  <si>
    <t>NAV and Unit Price as at Week Ended April 28, 2023</t>
  </si>
  <si>
    <t>NAV and Unit Price as at Week Ended May 5, 2023</t>
  </si>
  <si>
    <t>NAV and Unit Price as at Week Ended May 12, 2023</t>
  </si>
  <si>
    <t>NAV and Unit Price as at Week Ended May 19, 2023</t>
  </si>
  <si>
    <t>NAV and Unit Price as at Week Ended May 26, 2023</t>
  </si>
  <si>
    <t>NAV and Unit Price as at Week Ended June 2, 2023</t>
  </si>
  <si>
    <t>NAV and Unit Price as at Week Ended June 9, 2023</t>
  </si>
  <si>
    <t>S</t>
  </si>
  <si>
    <t>NAV, Unit Price and Yield as at Week Ended June 16, 2023</t>
  </si>
  <si>
    <t>Guaranty Trust Equity Income Fund (GTEIF)</t>
  </si>
  <si>
    <t>Guaranty Trust Money Market Fund (GTMMF)</t>
  </si>
  <si>
    <t>Vantage Guaranteed Income Fund (VGIF)</t>
  </si>
  <si>
    <t>Vantage Dollar Fund (VDF)</t>
  </si>
  <si>
    <t>Guaranty Trust Balanced Fund (GTBF)</t>
  </si>
  <si>
    <t>NAV and Unit Price as at Week Ended June 16, 2023</t>
  </si>
  <si>
    <t>NET ASSET VALUES AND UNIT PRICES OF COLLECTIVE INVESTMENT SCHEMES AS AT WEEK ENDED JUNE 23, 2023</t>
  </si>
  <si>
    <t>NAV, Unit Price and Yield as at Week Ended June 23, 2023</t>
  </si>
  <si>
    <t>743.27</t>
  </si>
  <si>
    <t>NAV and Unit Price as at Week Ended June 23, 2023</t>
  </si>
  <si>
    <t>The chart above shows that Money Market Fund category has 43.60% share of the Net Asset Value (NAV), followed by Dollar Fund (Eurobonds and Fixed Income) with 29.36%, Bond/Fixed Income Fund at 17.47%, Real Estate Investment Trust at 4.98%.  Next is Balanced Fund at 1.93%, Shari'ah Compliant Fund at 1.39%, Equity Fund at 1.08% and Ethical Fund at 0.18%.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</si>
</sst>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  <numFmt numFmtId="174" formatCode="0.000%"/>
  </numFmts>
  <fonts count="9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b/>
      <sz val="14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6"/>
      <color theme="0"/>
      <name val="Arial Narrow"/>
      <family val="2"/>
    </font>
    <font>
      <b/>
      <sz val="10"/>
      <color theme="0"/>
      <name val="Arial Narrow"/>
      <family val="2"/>
    </font>
    <font>
      <b/>
      <sz val="36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16" borderId="15" applyNumberFormat="0" applyAlignment="0" applyProtection="0"/>
    <xf numFmtId="0" fontId="47" fillId="17" borderId="16" applyNumberFormat="0" applyAlignment="0" applyProtection="0"/>
    <xf numFmtId="0" fontId="48" fillId="17" borderId="15" applyNumberFormat="0" applyAlignment="0" applyProtection="0"/>
    <xf numFmtId="0" fontId="49" fillId="0" borderId="17" applyNumberFormat="0" applyFill="0" applyAlignment="0" applyProtection="0"/>
    <xf numFmtId="0" fontId="50" fillId="18" borderId="18" applyNumberFormat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2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2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2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2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8" fillId="0" borderId="0"/>
    <xf numFmtId="0" fontId="70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" fillId="19" borderId="19" applyNumberFormat="0" applyFont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4" fillId="0" borderId="0">
      <alignment vertical="top"/>
    </xf>
    <xf numFmtId="0" fontId="74" fillId="0" borderId="0">
      <alignment vertical="top"/>
    </xf>
    <xf numFmtId="0" fontId="53" fillId="0" borderId="0">
      <alignment wrapText="1"/>
    </xf>
    <xf numFmtId="0" fontId="55" fillId="0" borderId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5" fillId="0" borderId="0"/>
    <xf numFmtId="164" fontId="53" fillId="0" borderId="0" applyFont="0" applyFill="0" applyBorder="0" applyAlignment="0" applyProtection="0"/>
    <xf numFmtId="0" fontId="76" fillId="48" borderId="0" applyNumberFormat="0" applyBorder="0" applyAlignment="0" applyProtection="0"/>
    <xf numFmtId="0" fontId="77" fillId="16" borderId="15" applyNumberFormat="0" applyAlignment="0" applyProtection="0"/>
    <xf numFmtId="0" fontId="78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43" fontId="5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7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/>
    <xf numFmtId="0" fontId="53" fillId="0" borderId="0">
      <alignment wrapText="1"/>
    </xf>
    <xf numFmtId="0" fontId="53" fillId="0" borderId="0">
      <alignment wrapText="1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57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7" fillId="0" borderId="0" applyNumberFormat="0" applyFont="0" applyBorder="0" applyProtection="0"/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5" fillId="19" borderId="19" applyNumberFormat="0" applyFont="0" applyAlignment="0" applyProtection="0"/>
    <xf numFmtId="9" fontId="57" fillId="0" borderId="0" applyFont="0" applyFill="0" applyBorder="0" applyAlignment="0" applyProtection="0"/>
    <xf numFmtId="9" fontId="87" fillId="0" borderId="0" applyFont="0" applyFill="0" applyBorder="0" applyAlignment="0" applyProtection="0"/>
    <xf numFmtId="169" fontId="53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>
      <alignment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53" fillId="0" borderId="0">
      <alignment wrapText="1"/>
    </xf>
    <xf numFmtId="0" fontId="5" fillId="0" borderId="0"/>
    <xf numFmtId="0" fontId="5" fillId="0" borderId="0"/>
    <xf numFmtId="0" fontId="53" fillId="0" borderId="0"/>
    <xf numFmtId="0" fontId="88" fillId="0" borderId="0"/>
    <xf numFmtId="0" fontId="55" fillId="0" borderId="0"/>
    <xf numFmtId="0" fontId="58" fillId="0" borderId="0"/>
    <xf numFmtId="0" fontId="58" fillId="0" borderId="0"/>
    <xf numFmtId="0" fontId="53" fillId="0" borderId="0"/>
    <xf numFmtId="0" fontId="53" fillId="0" borderId="0">
      <alignment wrapText="1"/>
    </xf>
    <xf numFmtId="0" fontId="5" fillId="0" borderId="0"/>
    <xf numFmtId="0" fontId="53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8" fillId="0" borderId="0"/>
    <xf numFmtId="0" fontId="58" fillId="0" borderId="0"/>
    <xf numFmtId="0" fontId="53" fillId="0" borderId="0">
      <alignment wrapText="1"/>
    </xf>
    <xf numFmtId="0" fontId="5" fillId="0" borderId="0"/>
    <xf numFmtId="0" fontId="53" fillId="0" borderId="0">
      <alignment wrapText="1"/>
    </xf>
    <xf numFmtId="0" fontId="53" fillId="0" borderId="0">
      <alignment wrapText="1"/>
    </xf>
    <xf numFmtId="0" fontId="5" fillId="0" borderId="0"/>
    <xf numFmtId="0" fontId="5" fillId="0" borderId="0"/>
    <xf numFmtId="0" fontId="5" fillId="0" borderId="0"/>
    <xf numFmtId="0" fontId="53" fillId="0" borderId="0"/>
    <xf numFmtId="0" fontId="38" fillId="0" borderId="0"/>
    <xf numFmtId="0" fontId="53" fillId="0" borderId="0">
      <alignment wrapText="1"/>
    </xf>
    <xf numFmtId="0" fontId="88" fillId="0" borderId="0"/>
    <xf numFmtId="0" fontId="88" fillId="0" borderId="0"/>
    <xf numFmtId="0" fontId="88" fillId="0" borderId="0"/>
    <xf numFmtId="0" fontId="53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89" fillId="0" borderId="0"/>
    <xf numFmtId="0" fontId="89" fillId="0" borderId="0"/>
    <xf numFmtId="0" fontId="89" fillId="0" borderId="0"/>
    <xf numFmtId="0" fontId="53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>
      <alignment wrapText="1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8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59" fillId="0" borderId="0" xfId="0" applyFont="1" applyBorder="1"/>
    <xf numFmtId="0" fontId="59" fillId="0" borderId="0" xfId="0" applyFont="1" applyAlignment="1">
      <alignment horizontal="right"/>
    </xf>
    <xf numFmtId="4" fontId="60" fillId="0" borderId="0" xfId="0" applyNumberFormat="1" applyFont="1"/>
    <xf numFmtId="0" fontId="3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2" fillId="6" borderId="0" xfId="0" quotePrefix="1" applyFont="1" applyFill="1" applyBorder="1" applyAlignment="1">
      <alignment horizontal="center"/>
    </xf>
    <xf numFmtId="10" fontId="61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5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4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0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67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6" fillId="6" borderId="0" xfId="0" applyFont="1" applyFill="1" applyBorder="1" applyAlignment="1">
      <alignment vertical="center"/>
    </xf>
    <xf numFmtId="4" fontId="6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39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8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3" fillId="6" borderId="0" xfId="0" applyFont="1" applyFill="1" applyBorder="1"/>
    <xf numFmtId="4" fontId="35" fillId="6" borderId="0" xfId="0" applyNumberFormat="1" applyFont="1" applyFill="1" applyBorder="1"/>
    <xf numFmtId="0" fontId="40" fillId="6" borderId="0" xfId="0" applyFont="1" applyFill="1" applyBorder="1"/>
    <xf numFmtId="4" fontId="40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2" fillId="0" borderId="0" xfId="0" applyFont="1" applyBorder="1"/>
    <xf numFmtId="4" fontId="52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69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8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1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3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79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0" fillId="6" borderId="1" xfId="0" applyNumberFormat="1" applyFont="1" applyFill="1" applyBorder="1"/>
    <xf numFmtId="4" fontId="64" fillId="6" borderId="1" xfId="0" applyNumberFormat="1" applyFont="1" applyFill="1" applyBorder="1"/>
    <xf numFmtId="4" fontId="64" fillId="6" borderId="1" xfId="0" applyNumberFormat="1" applyFont="1" applyFill="1" applyBorder="1" applyAlignment="1">
      <alignment horizontal="right"/>
    </xf>
    <xf numFmtId="165" fontId="81" fillId="6" borderId="1" xfId="2" applyFont="1" applyFill="1" applyBorder="1" applyAlignment="1">
      <alignment horizontal="right" vertical="top" wrapText="1"/>
    </xf>
    <xf numFmtId="0" fontId="64" fillId="0" borderId="0" xfId="0" applyFont="1"/>
    <xf numFmtId="165" fontId="64" fillId="0" borderId="0" xfId="2" applyFont="1"/>
    <xf numFmtId="0" fontId="82" fillId="0" borderId="1" xfId="0" applyFont="1" applyBorder="1" applyAlignment="1">
      <alignment horizontal="right"/>
    </xf>
    <xf numFmtId="0" fontId="80" fillId="0" borderId="1" xfId="0" applyFont="1" applyBorder="1" applyAlignment="1">
      <alignment horizontal="right"/>
    </xf>
    <xf numFmtId="0" fontId="83" fillId="44" borderId="1" xfId="0" applyFont="1" applyFill="1" applyBorder="1" applyAlignment="1">
      <alignment horizontal="right"/>
    </xf>
    <xf numFmtId="165" fontId="83" fillId="44" borderId="1" xfId="0" applyNumberFormat="1" applyFont="1" applyFill="1" applyBorder="1"/>
    <xf numFmtId="0" fontId="82" fillId="50" borderId="1" xfId="0" applyFont="1" applyFill="1" applyBorder="1" applyAlignment="1">
      <alignment horizontal="right"/>
    </xf>
    <xf numFmtId="165" fontId="82" fillId="50" borderId="1" xfId="0" quotePrefix="1" applyNumberFormat="1" applyFont="1" applyFill="1" applyBorder="1" applyAlignment="1">
      <alignment horizontal="center"/>
    </xf>
    <xf numFmtId="165" fontId="82" fillId="50" borderId="1" xfId="0" applyNumberFormat="1" applyFont="1" applyFill="1" applyBorder="1"/>
    <xf numFmtId="165" fontId="82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16" fontId="80" fillId="6" borderId="0" xfId="0" applyNumberFormat="1" applyFont="1" applyFill="1" applyBorder="1"/>
    <xf numFmtId="0" fontId="80" fillId="0" borderId="0" xfId="0" applyFont="1" applyBorder="1" applyAlignment="1">
      <alignment horizontal="right"/>
    </xf>
    <xf numFmtId="4" fontId="64" fillId="6" borderId="0" xfId="0" applyNumberFormat="1" applyFont="1" applyFill="1" applyBorder="1"/>
    <xf numFmtId="4" fontId="64" fillId="6" borderId="0" xfId="0" applyNumberFormat="1" applyFont="1" applyFill="1" applyBorder="1" applyAlignment="1">
      <alignment horizontal="right"/>
    </xf>
    <xf numFmtId="165" fontId="81" fillId="6" borderId="0" xfId="2" applyFont="1" applyFill="1" applyBorder="1" applyAlignment="1">
      <alignment horizontal="right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0" fontId="10" fillId="8" borderId="3" xfId="2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0" borderId="0" xfId="0"/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2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10" fontId="10" fillId="46" borderId="3" xfId="2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90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4" fontId="95" fillId="0" borderId="0" xfId="0" applyNumberFormat="1" applyFont="1"/>
    <xf numFmtId="174" fontId="1" fillId="47" borderId="1" xfId="6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8" fillId="0" borderId="0" xfId="0" applyFont="1"/>
    <xf numFmtId="0" fontId="2" fillId="44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9" fontId="96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69" fillId="44" borderId="6" xfId="0" applyFont="1" applyFill="1" applyBorder="1" applyAlignment="1">
      <alignment horizontal="center"/>
    </xf>
    <xf numFmtId="0" fontId="69" fillId="44" borderId="26" xfId="0" applyFont="1" applyFill="1" applyBorder="1" applyAlignment="1">
      <alignment horizontal="center"/>
    </xf>
    <xf numFmtId="0" fontId="69" fillId="44" borderId="1" xfId="0" applyFont="1" applyFill="1" applyBorder="1" applyAlignment="1">
      <alignment horizontal="center"/>
    </xf>
    <xf numFmtId="0" fontId="69" fillId="44" borderId="3" xfId="0" applyFont="1" applyFill="1" applyBorder="1" applyAlignment="1">
      <alignment horizontal="center"/>
    </xf>
    <xf numFmtId="0" fontId="69" fillId="44" borderId="6" xfId="0" applyFont="1" applyFill="1" applyBorder="1" applyAlignment="1">
      <alignment horizontal="center" wrapText="1"/>
    </xf>
    <xf numFmtId="0" fontId="69" fillId="44" borderId="26" xfId="0" applyFont="1" applyFill="1" applyBorder="1" applyAlignment="1">
      <alignment horizontal="center" wrapText="1"/>
    </xf>
    <xf numFmtId="0" fontId="69" fillId="44" borderId="1" xfId="0" applyFont="1" applyFill="1" applyBorder="1" applyAlignment="1">
      <alignment horizontal="center" wrapText="1"/>
    </xf>
    <xf numFmtId="0" fontId="69" fillId="44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0" fillId="6" borderId="0" xfId="0" applyFill="1" applyBorder="1" applyAlignment="1">
      <alignment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69" fillId="44" borderId="6" xfId="0" applyFont="1" applyFill="1" applyBorder="1" applyAlignment="1">
      <alignment horizontal="center" vertical="top" wrapText="1"/>
    </xf>
    <xf numFmtId="0" fontId="69" fillId="44" borderId="26" xfId="0" applyFont="1" applyFill="1" applyBorder="1" applyAlignment="1">
      <alignment horizontal="center" vertical="top" wrapText="1"/>
    </xf>
    <xf numFmtId="0" fontId="69" fillId="44" borderId="1" xfId="0" applyFont="1" applyFill="1" applyBorder="1" applyAlignment="1">
      <alignment horizontal="center" vertical="top" wrapText="1"/>
    </xf>
    <xf numFmtId="0" fontId="69" fillId="44" borderId="3" xfId="0" applyFont="1" applyFill="1" applyBorder="1" applyAlignment="1">
      <alignment horizontal="center" vertical="top" wrapText="1"/>
    </xf>
    <xf numFmtId="0" fontId="92" fillId="49" borderId="21" xfId="0" applyFont="1" applyFill="1" applyBorder="1" applyAlignment="1">
      <alignment horizontal="center"/>
    </xf>
    <xf numFmtId="0" fontId="92" fillId="49" borderId="25" xfId="0" applyFont="1" applyFill="1" applyBorder="1" applyAlignment="1">
      <alignment horizontal="center"/>
    </xf>
    <xf numFmtId="0" fontId="92" fillId="49" borderId="22" xfId="0" applyFont="1" applyFill="1" applyBorder="1" applyAlignment="1">
      <alignment horizontal="center"/>
    </xf>
    <xf numFmtId="0" fontId="92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93" fillId="45" borderId="6" xfId="0" applyFont="1" applyFill="1" applyBorder="1" applyAlignment="1">
      <alignment horizontal="center"/>
    </xf>
    <xf numFmtId="0" fontId="93" fillId="45" borderId="26" xfId="0" applyFont="1" applyFill="1" applyBorder="1" applyAlignment="1">
      <alignment horizontal="center"/>
    </xf>
    <xf numFmtId="0" fontId="93" fillId="45" borderId="1" xfId="0" applyFont="1" applyFill="1" applyBorder="1" applyAlignment="1">
      <alignment horizontal="center"/>
    </xf>
    <xf numFmtId="0" fontId="93" fillId="45" borderId="3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1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94" fillId="6" borderId="21" xfId="0" applyFont="1" applyFill="1" applyBorder="1" applyAlignment="1">
      <alignment horizontal="center"/>
    </xf>
    <xf numFmtId="0" fontId="94" fillId="6" borderId="22" xfId="0" applyFont="1" applyFill="1" applyBorder="1" applyAlignment="1">
      <alignment horizontal="center"/>
    </xf>
    <xf numFmtId="0" fontId="94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horizontal="center" vertical="center"/>
    </xf>
    <xf numFmtId="10" fontId="2" fillId="8" borderId="3" xfId="6" applyNumberFormat="1" applyFont="1" applyFill="1" applyBorder="1" applyAlignment="1">
      <alignment horizontal="center" vertical="center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bg1"/>
                </a:solidFill>
              </a:rPr>
              <a:t>NAV COMPARISON </a:t>
            </a:r>
            <a:r>
              <a:rPr lang="en-GB" sz="1600">
                <a:solidFill>
                  <a:schemeClr val="bg1"/>
                </a:solidFill>
              </a:rPr>
              <a:t>(16</a:t>
            </a:r>
            <a:r>
              <a:rPr lang="en-GB" sz="1600" b="1" i="0" u="none" strike="noStrike" baseline="0">
                <a:effectLst/>
              </a:rPr>
              <a:t>TH &amp; 23RD JUNE, 2023</a:t>
            </a:r>
            <a:r>
              <a:rPr lang="en-GB" sz="1600">
                <a:solidFill>
                  <a:schemeClr val="bg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27062389281925459"/>
          <c:y val="1.6723164957727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Trend'!$C$15</c:f>
              <c:strCache>
                <c:ptCount val="1"/>
                <c:pt idx="0">
                  <c:v>16-Jun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Trend'!$C$16:$C$23</c:f>
              <c:numCache>
                <c:formatCode>#,##0.00</c:formatCode>
                <c:ptCount val="8"/>
                <c:pt idx="0">
                  <c:v>20030863173.209999</c:v>
                </c:pt>
                <c:pt idx="1">
                  <c:v>816758455712.61926</c:v>
                </c:pt>
                <c:pt idx="2">
                  <c:v>317665884188.13855</c:v>
                </c:pt>
                <c:pt idx="3">
                  <c:v>470498434802.98218</c:v>
                </c:pt>
                <c:pt idx="4">
                  <c:v>93449896565.160004</c:v>
                </c:pt>
                <c:pt idx="5" formatCode="_(* #,##0.00_);_(* \(#,##0.00\);_(* &quot;-&quot;??_);_(@_)">
                  <c:v>35744115521.98378</c:v>
                </c:pt>
                <c:pt idx="6">
                  <c:v>3394394975.1899996</c:v>
                </c:pt>
                <c:pt idx="7">
                  <c:v>25810810447.57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264-BE05-31414DBC076F}"/>
            </c:ext>
          </c:extLst>
        </c:ser>
        <c:ser>
          <c:idx val="1"/>
          <c:order val="1"/>
          <c:tx>
            <c:strRef>
              <c:f>'NAV Trend'!$D$15</c:f>
              <c:strCache>
                <c:ptCount val="1"/>
                <c:pt idx="0">
                  <c:v>23-Jun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Trend'!$D$16:$D$23</c:f>
              <c:numCache>
                <c:formatCode>#,##0.00</c:formatCode>
                <c:ptCount val="8"/>
                <c:pt idx="0">
                  <c:v>20288689104.509998</c:v>
                </c:pt>
                <c:pt idx="1">
                  <c:v>817523630430.57593</c:v>
                </c:pt>
                <c:pt idx="2">
                  <c:v>327549421729.35663</c:v>
                </c:pt>
                <c:pt idx="3">
                  <c:v>550519578291.03943</c:v>
                </c:pt>
                <c:pt idx="4">
                  <c:v>93463222418.470001</c:v>
                </c:pt>
                <c:pt idx="5" formatCode="_(* #,##0.00_);_(* \(#,##0.00\);_(* &quot;-&quot;??_);_(@_)">
                  <c:v>36228102075.464104</c:v>
                </c:pt>
                <c:pt idx="6">
                  <c:v>3378418489.8299999</c:v>
                </c:pt>
                <c:pt idx="7">
                  <c:v>26082310834.120003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264-BE05-31414DB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727743"/>
        <c:axId val="1841729407"/>
      </c:barChart>
      <c:catAx>
        <c:axId val="1841727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bg1"/>
                    </a:solidFill>
                  </a:rPr>
                  <a:t>CLASSES of fund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9407"/>
        <c:crosses val="autoZero"/>
        <c:auto val="1"/>
        <c:lblAlgn val="ctr"/>
        <c:lblOffset val="100"/>
        <c:noMultiLvlLbl val="0"/>
      </c:catAx>
      <c:valAx>
        <c:axId val="184172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NET ASSET VALUE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PERCENTAGE MARKET SHARE TO TOTAL NET ASSET VALUE (NAV)</a:t>
            </a:r>
          </a:p>
          <a:p>
            <a:pPr>
              <a:defRPr/>
            </a:pPr>
            <a:r>
              <a:rPr lang="en-US" sz="1600"/>
              <a:t>AS AT 23RD JUNE, 2023</a:t>
            </a:r>
          </a:p>
        </c:rich>
      </c:tx>
      <c:layout>
        <c:manualLayout>
          <c:xMode val="edge"/>
          <c:yMode val="edge"/>
          <c:x val="0.10454722440145399"/>
          <c:y val="3.0374761942967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explosion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6E716E55-EB6B-4877-A6BD-D6007AE9287A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1-4D3F-AFC0-2F3DDA5A1E0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687598-1C8E-439B-8460-85BBB1BAF98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1-4D3F-AFC0-2F3DDA5A1E0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EF13CA9-F9CE-4F67-AAAA-B796E6BBDFA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F1-4D3F-AFC0-2F3DDA5A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20030863173.209999</c:v>
                </c:pt>
                <c:pt idx="1">
                  <c:v>816758455712.61926</c:v>
                </c:pt>
                <c:pt idx="2">
                  <c:v>317665884188.13855</c:v>
                </c:pt>
                <c:pt idx="3">
                  <c:v>470498434802.98218</c:v>
                </c:pt>
                <c:pt idx="4">
                  <c:v>93449896565.160004</c:v>
                </c:pt>
                <c:pt idx="5">
                  <c:v>35744115521.98378</c:v>
                </c:pt>
                <c:pt idx="6">
                  <c:v>3394394975.1899996</c:v>
                </c:pt>
                <c:pt idx="7">
                  <c:v>25810810447.57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MOVEMENT IN TOTAL NAV</a:t>
            </a:r>
          </a:p>
          <a:p>
            <a:pPr>
              <a:defRPr/>
            </a:pPr>
            <a:r>
              <a:rPr lang="en-US" sz="1600"/>
              <a:t>(EIGHT (8) WEEKS ENDING JUNE 23, 2023)</a:t>
            </a:r>
          </a:p>
        </c:rich>
      </c:tx>
      <c:layout>
        <c:manualLayout>
          <c:xMode val="edge"/>
          <c:yMode val="edge"/>
          <c:x val="0.24557122667358888"/>
          <c:y val="1.9853478980785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2-43E7-AB45-8CDF11C29D80}"/>
                </c:ext>
              </c:extLst>
            </c:dLbl>
            <c:dLbl>
              <c:idx val="1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C2-43E7-AB45-8CDF11C29D80}"/>
                </c:ext>
              </c:extLst>
            </c:dLbl>
            <c:dLbl>
              <c:idx val="2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C2-43E7-AB45-8CDF11C29D80}"/>
                </c:ext>
              </c:extLst>
            </c:dLbl>
            <c:dLbl>
              <c:idx val="3"/>
              <c:layout>
                <c:manualLayout>
                  <c:x val="-3.4260102102621842E-2"/>
                  <c:y val="-7.396115601633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379448-DA4C-428C-A43B-051C34405DCF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C2-43E7-AB45-8CDF11C29D8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8A58AFB-9FC3-4D71-B7D2-0E69E956DAC8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C2-43E7-AB45-8CDF11C29D80}"/>
                </c:ext>
              </c:extLst>
            </c:dLbl>
            <c:dLbl>
              <c:idx val="5"/>
              <c:layout>
                <c:manualLayout>
                  <c:x val="-3.4161229846269216E-2"/>
                  <c:y val="6.0514372163388806E-3"/>
                </c:manualLayout>
              </c:layout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C2-43E7-AB45-8CDF11C29D80}"/>
                </c:ext>
              </c:extLst>
            </c:dLbl>
            <c:dLbl>
              <c:idx val="6"/>
              <c:layout>
                <c:manualLayout>
                  <c:x val="-3.1230826915866285E-2"/>
                  <c:y val="2.017145738779627E-3"/>
                </c:manualLayout>
              </c:layout>
              <c:tx>
                <c:rich>
                  <a:bodyPr/>
                  <a:lstStyle/>
                  <a:p>
                    <a:fld id="{EA19ED88-20A6-44D2-AD83-B59ACAB9E417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C2-43E7-AB45-8CDF11C29D8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199C8AF-947A-4B1A-A6D2-B7A3848BD034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C2-43E7-AB45-8CDF11C29D80}"/>
                </c:ext>
              </c:extLst>
            </c:dLbl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45051</c:v>
                </c:pt>
                <c:pt idx="1">
                  <c:v>45058</c:v>
                </c:pt>
                <c:pt idx="2">
                  <c:v>45065</c:v>
                </c:pt>
                <c:pt idx="3">
                  <c:v>45072</c:v>
                </c:pt>
                <c:pt idx="4">
                  <c:v>45079</c:v>
                </c:pt>
                <c:pt idx="5">
                  <c:v>45086</c:v>
                </c:pt>
                <c:pt idx="6">
                  <c:v>45093</c:v>
                </c:pt>
                <c:pt idx="7">
                  <c:v>45100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1638109066451.2014</c:v>
                </c:pt>
                <c:pt idx="1">
                  <c:v>1642873255320.0364</c:v>
                </c:pt>
                <c:pt idx="2">
                  <c:v>1634067029203.7332</c:v>
                </c:pt>
                <c:pt idx="3">
                  <c:v>1627489359351.6582</c:v>
                </c:pt>
                <c:pt idx="4">
                  <c:v>1637094592546.9585</c:v>
                </c:pt>
                <c:pt idx="5">
                  <c:v>1644224849788.0632</c:v>
                </c:pt>
                <c:pt idx="6">
                  <c:v>1783352855386.8538</c:v>
                </c:pt>
                <c:pt idx="7">
                  <c:v>1875033373373.3662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N&quot;\ #0.00,,,\ &quot;bn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3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1"/>
                </a:solidFill>
              </a:rPr>
              <a:t>MOVEMENT IN NAV BY CLASSes OF FUND</a:t>
            </a:r>
          </a:p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(Eight (8) Weeks Ending JUNE 23,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4479213175276168"/>
          <c:y val="9.55555290838266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98927057194774"/>
          <c:y val="0.17748849472484626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45051</c:v>
                </c:pt>
                <c:pt idx="1">
                  <c:v>45058</c:v>
                </c:pt>
                <c:pt idx="2">
                  <c:v>45065</c:v>
                </c:pt>
                <c:pt idx="3">
                  <c:v>45072</c:v>
                </c:pt>
                <c:pt idx="4">
                  <c:v>45079</c:v>
                </c:pt>
                <c:pt idx="5">
                  <c:v>45086</c:v>
                </c:pt>
                <c:pt idx="6">
                  <c:v>45093</c:v>
                </c:pt>
                <c:pt idx="7">
                  <c:v>45100</c:v>
                </c:pt>
              </c:numCache>
            </c:numRef>
          </c:cat>
          <c:val>
            <c:numRef>
              <c:f>'NAV Trend'!$C$9:$K$9</c:f>
              <c:numCache>
                <c:formatCode>#,##0.00</c:formatCode>
                <c:ptCount val="9"/>
                <c:pt idx="0">
                  <c:v>25078820531.75</c:v>
                </c:pt>
                <c:pt idx="1">
                  <c:v>25223397111.16</c:v>
                </c:pt>
                <c:pt idx="2">
                  <c:v>25289708132.780003</c:v>
                </c:pt>
                <c:pt idx="3">
                  <c:v>25509760696.910004</c:v>
                </c:pt>
                <c:pt idx="4">
                  <c:v>25740009095.389999</c:v>
                </c:pt>
                <c:pt idx="5">
                  <c:v>25701609592.029999</c:v>
                </c:pt>
                <c:pt idx="6">
                  <c:v>25776389309.68</c:v>
                </c:pt>
                <c:pt idx="7">
                  <c:v>25810810447.57</c:v>
                </c:pt>
                <c:pt idx="8">
                  <c:v>26082310834.120003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45051</c:v>
                </c:pt>
                <c:pt idx="1">
                  <c:v>45058</c:v>
                </c:pt>
                <c:pt idx="2">
                  <c:v>45065</c:v>
                </c:pt>
                <c:pt idx="3">
                  <c:v>45072</c:v>
                </c:pt>
                <c:pt idx="4">
                  <c:v>45079</c:v>
                </c:pt>
                <c:pt idx="5">
                  <c:v>45086</c:v>
                </c:pt>
                <c:pt idx="6">
                  <c:v>45093</c:v>
                </c:pt>
                <c:pt idx="7">
                  <c:v>45100</c:v>
                </c:pt>
              </c:numCache>
            </c:numRef>
          </c:cat>
          <c:val>
            <c:numRef>
              <c:f>'NAV Trend'!$C$8:$K$8</c:f>
              <c:numCache>
                <c:formatCode>#,##0.00</c:formatCode>
                <c:ptCount val="9"/>
                <c:pt idx="0">
                  <c:v>3019546321.4400001</c:v>
                </c:pt>
                <c:pt idx="1">
                  <c:v>3058498106.9700003</c:v>
                </c:pt>
                <c:pt idx="2">
                  <c:v>3052374164.9300003</c:v>
                </c:pt>
                <c:pt idx="3">
                  <c:v>3085351470.0200005</c:v>
                </c:pt>
                <c:pt idx="4">
                  <c:v>3105704717.4300003</c:v>
                </c:pt>
                <c:pt idx="5">
                  <c:v>3224901792.5799999</c:v>
                </c:pt>
                <c:pt idx="6">
                  <c:v>3226244064.04</c:v>
                </c:pt>
                <c:pt idx="7">
                  <c:v>3394394975.1899996</c:v>
                </c:pt>
                <c:pt idx="8">
                  <c:v>3378418489.8299999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45051</c:v>
                </c:pt>
                <c:pt idx="1">
                  <c:v>45058</c:v>
                </c:pt>
                <c:pt idx="2">
                  <c:v>45065</c:v>
                </c:pt>
                <c:pt idx="3">
                  <c:v>45072</c:v>
                </c:pt>
                <c:pt idx="4">
                  <c:v>45079</c:v>
                </c:pt>
                <c:pt idx="5">
                  <c:v>45086</c:v>
                </c:pt>
                <c:pt idx="6">
                  <c:v>45093</c:v>
                </c:pt>
                <c:pt idx="7">
                  <c:v>45100</c:v>
                </c:pt>
              </c:numCache>
            </c:numRef>
          </c:cat>
          <c:val>
            <c:numRef>
              <c:f>'NAV Trend'!$C$7:$K$7</c:f>
              <c:numCache>
                <c:formatCode>_(* #,##0.00_);_(* \(#,##0.00\);_(* "-"??_);_(@_)</c:formatCode>
                <c:ptCount val="9"/>
                <c:pt idx="0">
                  <c:v>31321324637.973106</c:v>
                </c:pt>
                <c:pt idx="1">
                  <c:v>31685014995.591473</c:v>
                </c:pt>
                <c:pt idx="2">
                  <c:v>31764157613.919247</c:v>
                </c:pt>
                <c:pt idx="3">
                  <c:v>32017254793.66489</c:v>
                </c:pt>
                <c:pt idx="4">
                  <c:v>32587344550.170525</c:v>
                </c:pt>
                <c:pt idx="5">
                  <c:v>33634490477.322308</c:v>
                </c:pt>
                <c:pt idx="6">
                  <c:v>33719080186.031113</c:v>
                </c:pt>
                <c:pt idx="7">
                  <c:v>35744115521.98378</c:v>
                </c:pt>
                <c:pt idx="8">
                  <c:v>36228102075.464104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45051</c:v>
                </c:pt>
                <c:pt idx="1">
                  <c:v>45058</c:v>
                </c:pt>
                <c:pt idx="2">
                  <c:v>45065</c:v>
                </c:pt>
                <c:pt idx="3">
                  <c:v>45072</c:v>
                </c:pt>
                <c:pt idx="4">
                  <c:v>45079</c:v>
                </c:pt>
                <c:pt idx="5">
                  <c:v>45086</c:v>
                </c:pt>
                <c:pt idx="6">
                  <c:v>45093</c:v>
                </c:pt>
                <c:pt idx="7">
                  <c:v>45100</c:v>
                </c:pt>
              </c:numCache>
            </c:numRef>
          </c:cat>
          <c:val>
            <c:numRef>
              <c:f>'NAV Trend'!$C$2:$K$2</c:f>
              <c:numCache>
                <c:formatCode>#,##0.00</c:formatCode>
                <c:ptCount val="9"/>
                <c:pt idx="0">
                  <c:v>16794813036.269999</c:v>
                </c:pt>
                <c:pt idx="1">
                  <c:v>16995023834.229998</c:v>
                </c:pt>
                <c:pt idx="2">
                  <c:v>16966112297.950001</c:v>
                </c:pt>
                <c:pt idx="3">
                  <c:v>17079628906.379999</c:v>
                </c:pt>
                <c:pt idx="4">
                  <c:v>17454929325.299999</c:v>
                </c:pt>
                <c:pt idx="5">
                  <c:v>18617819180.259998</c:v>
                </c:pt>
                <c:pt idx="6">
                  <c:v>18707350348.629997</c:v>
                </c:pt>
                <c:pt idx="7">
                  <c:v>20030863173.209999</c:v>
                </c:pt>
                <c:pt idx="8">
                  <c:v>20288689104.509998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45051</c:v>
                </c:pt>
                <c:pt idx="1">
                  <c:v>45058</c:v>
                </c:pt>
                <c:pt idx="2">
                  <c:v>45065</c:v>
                </c:pt>
                <c:pt idx="3">
                  <c:v>45072</c:v>
                </c:pt>
                <c:pt idx="4">
                  <c:v>45079</c:v>
                </c:pt>
                <c:pt idx="5">
                  <c:v>45086</c:v>
                </c:pt>
                <c:pt idx="6">
                  <c:v>45093</c:v>
                </c:pt>
                <c:pt idx="7">
                  <c:v>45100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47216549017.909996</c:v>
                </c:pt>
                <c:pt idx="1">
                  <c:v>94163780372.309998</c:v>
                </c:pt>
                <c:pt idx="2">
                  <c:v>94193238006.570007</c:v>
                </c:pt>
                <c:pt idx="3">
                  <c:v>94202498345.429993</c:v>
                </c:pt>
                <c:pt idx="4">
                  <c:v>94230214273.230011</c:v>
                </c:pt>
                <c:pt idx="5">
                  <c:v>93351135037.830002</c:v>
                </c:pt>
                <c:pt idx="6">
                  <c:v>93428704507.080002</c:v>
                </c:pt>
                <c:pt idx="7">
                  <c:v>93449896565.160004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45051</c:v>
                </c:pt>
                <c:pt idx="1">
                  <c:v>45058</c:v>
                </c:pt>
                <c:pt idx="2">
                  <c:v>45065</c:v>
                </c:pt>
                <c:pt idx="3">
                  <c:v>45072</c:v>
                </c:pt>
                <c:pt idx="4">
                  <c:v>45079</c:v>
                </c:pt>
                <c:pt idx="5">
                  <c:v>45086</c:v>
                </c:pt>
                <c:pt idx="6">
                  <c:v>45093</c:v>
                </c:pt>
                <c:pt idx="7">
                  <c:v>45100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792540018978.42993</c:v>
                </c:pt>
                <c:pt idx="1">
                  <c:v>806100368208.14038</c:v>
                </c:pt>
                <c:pt idx="2">
                  <c:v>813613346034.13635</c:v>
                </c:pt>
                <c:pt idx="3">
                  <c:v>806087341383.99084</c:v>
                </c:pt>
                <c:pt idx="4">
                  <c:v>798748175531.57666</c:v>
                </c:pt>
                <c:pt idx="5">
                  <c:v>807261945859.45349</c:v>
                </c:pt>
                <c:pt idx="6">
                  <c:v>810860786783.24963</c:v>
                </c:pt>
                <c:pt idx="7">
                  <c:v>816758455712.61926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45051</c:v>
                </c:pt>
                <c:pt idx="1">
                  <c:v>45058</c:v>
                </c:pt>
                <c:pt idx="2">
                  <c:v>45065</c:v>
                </c:pt>
                <c:pt idx="3">
                  <c:v>45072</c:v>
                </c:pt>
                <c:pt idx="4">
                  <c:v>45079</c:v>
                </c:pt>
                <c:pt idx="5">
                  <c:v>45086</c:v>
                </c:pt>
                <c:pt idx="6">
                  <c:v>45093</c:v>
                </c:pt>
                <c:pt idx="7">
                  <c:v>45100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324966477016.1626</c:v>
                </c:pt>
                <c:pt idx="1">
                  <c:v>326343931654.87665</c:v>
                </c:pt>
                <c:pt idx="2">
                  <c:v>326621734089.72247</c:v>
                </c:pt>
                <c:pt idx="3">
                  <c:v>326437563760.66541</c:v>
                </c:pt>
                <c:pt idx="4">
                  <c:v>323714339049.49524</c:v>
                </c:pt>
                <c:pt idx="5">
                  <c:v>323395950269.5387</c:v>
                </c:pt>
                <c:pt idx="6">
                  <c:v>319908980259.00153</c:v>
                </c:pt>
                <c:pt idx="7">
                  <c:v>317665884188.13855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45051</c:v>
                </c:pt>
                <c:pt idx="1">
                  <c:v>45058</c:v>
                </c:pt>
                <c:pt idx="2">
                  <c:v>45065</c:v>
                </c:pt>
                <c:pt idx="3">
                  <c:v>45072</c:v>
                </c:pt>
                <c:pt idx="4">
                  <c:v>45079</c:v>
                </c:pt>
                <c:pt idx="5">
                  <c:v>45086</c:v>
                </c:pt>
                <c:pt idx="6">
                  <c:v>45093</c:v>
                </c:pt>
                <c:pt idx="7">
                  <c:v>45100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332681726568.12634</c:v>
                </c:pt>
                <c:pt idx="1">
                  <c:v>334539052167.92297</c:v>
                </c:pt>
                <c:pt idx="2">
                  <c:v>331372584980.02832</c:v>
                </c:pt>
                <c:pt idx="3">
                  <c:v>329647629846.67249</c:v>
                </c:pt>
                <c:pt idx="4">
                  <c:v>331908642809.0658</c:v>
                </c:pt>
                <c:pt idx="5">
                  <c:v>331906740337.94391</c:v>
                </c:pt>
                <c:pt idx="6">
                  <c:v>338597314330.35101</c:v>
                </c:pt>
                <c:pt idx="7">
                  <c:v>470498434802.98218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28213780969686"/>
          <c:y val="0.87222287077957916"/>
          <c:w val="0.78992299039543135"/>
          <c:h val="7.2619152560544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14430</xdr:colOff>
      <xdr:row>0</xdr:row>
      <xdr:rowOff>0</xdr:rowOff>
    </xdr:from>
    <xdr:to>
      <xdr:col>10</xdr:col>
      <xdr:colOff>532946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0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2" customWidth="1"/>
    <col min="9" max="9" width="7.28515625" style="222" customWidth="1"/>
    <col min="10" max="10" width="18" style="218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06" customWidth="1"/>
    <col min="19" max="19" width="7.5703125" style="106" customWidth="1"/>
    <col min="20" max="20" width="29" style="107" customWidth="1"/>
    <col min="21" max="21" width="18.42578125" style="106" customWidth="1"/>
    <col min="22" max="22" width="18.140625" style="106" customWidth="1"/>
    <col min="23" max="23" width="9.42578125" style="106" customWidth="1"/>
    <col min="24" max="24" width="18.42578125" style="106" customWidth="1"/>
    <col min="25" max="25" width="8.85546875" style="106" customWidth="1"/>
    <col min="26" max="26" width="25.140625" style="106" customWidth="1"/>
    <col min="27" max="32" width="8.85546875" style="106"/>
    <col min="33" max="33" width="9" style="106" bestFit="1" customWidth="1"/>
    <col min="34" max="42" width="8.85546875" style="106"/>
    <col min="43" max="43" width="9.28515625" style="106" bestFit="1" customWidth="1"/>
    <col min="44" max="51" width="8.85546875" style="106"/>
    <col min="52" max="52" width="8.85546875" style="106" customWidth="1"/>
    <col min="53" max="103" width="8.85546875" style="106"/>
    <col min="104" max="16384" width="8.85546875" style="3"/>
  </cols>
  <sheetData>
    <row r="1" spans="1:26" s="112" customFormat="1" ht="22.5" customHeight="1">
      <c r="A1" s="441" t="s">
        <v>283</v>
      </c>
      <c r="B1" s="442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4"/>
      <c r="T1" s="289"/>
      <c r="U1" s="113"/>
    </row>
    <row r="2" spans="1:26" s="112" customFormat="1" ht="25.5" customHeight="1">
      <c r="A2" s="242"/>
      <c r="B2" s="243"/>
      <c r="C2" s="243"/>
      <c r="D2" s="445" t="s">
        <v>276</v>
      </c>
      <c r="E2" s="446"/>
      <c r="F2" s="446"/>
      <c r="G2" s="446"/>
      <c r="H2" s="446"/>
      <c r="I2" s="447"/>
      <c r="J2" s="445" t="s">
        <v>284</v>
      </c>
      <c r="K2" s="446"/>
      <c r="L2" s="446"/>
      <c r="M2" s="446"/>
      <c r="N2" s="446"/>
      <c r="O2" s="447"/>
      <c r="P2" s="409" t="s">
        <v>62</v>
      </c>
      <c r="Q2" s="409"/>
      <c r="R2" s="409" t="s">
        <v>216</v>
      </c>
      <c r="S2" s="429"/>
      <c r="T2" s="289"/>
      <c r="U2" s="113"/>
    </row>
    <row r="3" spans="1:26" s="112" customFormat="1" ht="24.75" customHeight="1">
      <c r="A3" s="294" t="s">
        <v>1</v>
      </c>
      <c r="B3" s="295" t="s">
        <v>2</v>
      </c>
      <c r="C3" s="295" t="s">
        <v>194</v>
      </c>
      <c r="D3" s="296" t="s">
        <v>203</v>
      </c>
      <c r="E3" s="297" t="s">
        <v>61</v>
      </c>
      <c r="F3" s="297" t="s">
        <v>213</v>
      </c>
      <c r="G3" s="297" t="s">
        <v>214</v>
      </c>
      <c r="H3" s="297" t="s">
        <v>254</v>
      </c>
      <c r="I3" s="297" t="s">
        <v>255</v>
      </c>
      <c r="J3" s="298" t="s">
        <v>203</v>
      </c>
      <c r="K3" s="297" t="s">
        <v>61</v>
      </c>
      <c r="L3" s="297" t="s">
        <v>213</v>
      </c>
      <c r="M3" s="297" t="s">
        <v>214</v>
      </c>
      <c r="N3" s="297" t="s">
        <v>254</v>
      </c>
      <c r="O3" s="297" t="s">
        <v>255</v>
      </c>
      <c r="P3" s="299" t="s">
        <v>204</v>
      </c>
      <c r="Q3" s="300" t="s">
        <v>119</v>
      </c>
      <c r="R3" s="297" t="s">
        <v>257</v>
      </c>
      <c r="S3" s="301" t="s">
        <v>258</v>
      </c>
      <c r="T3" s="289"/>
      <c r="U3" s="113"/>
    </row>
    <row r="4" spans="1:26" s="112" customFormat="1" ht="5.25" customHeight="1">
      <c r="A4" s="433"/>
      <c r="B4" s="434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6"/>
      <c r="T4" s="289"/>
      <c r="U4" s="113"/>
    </row>
    <row r="5" spans="1:26" s="112" customFormat="1" ht="12.95" customHeight="1">
      <c r="A5" s="437" t="s">
        <v>0</v>
      </c>
      <c r="B5" s="438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40"/>
      <c r="T5" s="289"/>
      <c r="U5" s="113"/>
    </row>
    <row r="6" spans="1:26" s="112" customFormat="1" ht="12.95" customHeight="1">
      <c r="A6" s="400">
        <v>1</v>
      </c>
      <c r="B6" s="368" t="s">
        <v>13</v>
      </c>
      <c r="C6" s="369" t="s">
        <v>57</v>
      </c>
      <c r="D6" s="326">
        <v>515658316.36000001</v>
      </c>
      <c r="E6" s="333">
        <f t="shared" ref="E6:E21" si="0">(D6/$D$22)</f>
        <v>2.5743189991415852E-2</v>
      </c>
      <c r="F6" s="325">
        <v>236.89789999999999</v>
      </c>
      <c r="G6" s="325">
        <v>240.32689999999999</v>
      </c>
      <c r="H6" s="334">
        <v>5.3900000000000003E-2</v>
      </c>
      <c r="I6" s="334">
        <v>0.25669999999999998</v>
      </c>
      <c r="J6" s="326">
        <v>525729217.97000003</v>
      </c>
      <c r="K6" s="333">
        <f t="shared" ref="K6:K11" si="1">(J6/$J$22)</f>
        <v>2.59124291008597E-2</v>
      </c>
      <c r="L6" s="325">
        <v>239.29490000000001</v>
      </c>
      <c r="M6" s="325">
        <v>244.16630000000001</v>
      </c>
      <c r="N6" s="334">
        <v>1.0118433429381346E-2</v>
      </c>
      <c r="O6" s="334">
        <v>0.26939548799784907</v>
      </c>
      <c r="P6" s="109">
        <f>((J6-D6)/D6)</f>
        <v>1.9530183632235163E-2</v>
      </c>
      <c r="Q6" s="109">
        <f t="shared" ref="Q6:Q21" si="2">((M6-G6)/G6)</f>
        <v>1.5975739711201749E-2</v>
      </c>
      <c r="R6" s="329">
        <f>L6-H6</f>
        <v>239.24100000000001</v>
      </c>
      <c r="S6" s="364">
        <f t="shared" ref="S6:S21" si="3">O6-I6</f>
        <v>1.2695487997849086E-2</v>
      </c>
      <c r="U6" s="113"/>
    </row>
    <row r="7" spans="1:26" s="112" customFormat="1" ht="12.95" customHeight="1">
      <c r="A7" s="400">
        <v>2</v>
      </c>
      <c r="B7" s="368" t="s">
        <v>136</v>
      </c>
      <c r="C7" s="369" t="s">
        <v>135</v>
      </c>
      <c r="D7" s="325">
        <v>536194121.19</v>
      </c>
      <c r="E7" s="333">
        <f t="shared" si="0"/>
        <v>2.6768398174030036E-2</v>
      </c>
      <c r="F7" s="325">
        <v>179.10910000000001</v>
      </c>
      <c r="G7" s="325">
        <v>181.00040000000001</v>
      </c>
      <c r="H7" s="334">
        <v>5.0601E-2</v>
      </c>
      <c r="I7" s="334">
        <v>0.23569999999999999</v>
      </c>
      <c r="J7" s="325">
        <v>540228725.09000003</v>
      </c>
      <c r="K7" s="333">
        <f t="shared" si="1"/>
        <v>2.6627088734378208E-2</v>
      </c>
      <c r="L7" s="325">
        <v>179.10910000000001</v>
      </c>
      <c r="M7" s="325">
        <v>181.00040000000001</v>
      </c>
      <c r="N7" s="334">
        <v>5.0601E-2</v>
      </c>
      <c r="O7" s="334">
        <v>0.24340000000000001</v>
      </c>
      <c r="P7" s="329">
        <v>5.6480000000000002E-3</v>
      </c>
      <c r="Q7" s="329">
        <f t="shared" si="2"/>
        <v>0</v>
      </c>
      <c r="R7" s="329">
        <f t="shared" ref="R7:R21" si="4">N7-H7</f>
        <v>0</v>
      </c>
      <c r="S7" s="364">
        <f t="shared" si="3"/>
        <v>7.7000000000000124E-3</v>
      </c>
      <c r="T7" s="289"/>
      <c r="U7" s="113"/>
    </row>
    <row r="8" spans="1:26" s="112" customFormat="1" ht="12.95" customHeight="1">
      <c r="A8" s="400">
        <v>3</v>
      </c>
      <c r="B8" s="368" t="s">
        <v>11</v>
      </c>
      <c r="C8" s="369" t="s">
        <v>6</v>
      </c>
      <c r="D8" s="325">
        <v>2813464823.6100001</v>
      </c>
      <c r="E8" s="333">
        <f t="shared" si="0"/>
        <v>0.14045649452455097</v>
      </c>
      <c r="F8" s="325">
        <v>25.738299999999999</v>
      </c>
      <c r="G8" s="325">
        <v>26.514299999999999</v>
      </c>
      <c r="H8" s="315">
        <v>2.2201</v>
      </c>
      <c r="I8" s="315">
        <v>0.35249999999999998</v>
      </c>
      <c r="J8" s="325">
        <v>2863971512.0100002</v>
      </c>
      <c r="K8" s="333">
        <f t="shared" si="1"/>
        <v>0.14116099355938005</v>
      </c>
      <c r="L8" s="325">
        <v>26.192699999999999</v>
      </c>
      <c r="M8" s="325">
        <v>26.982399999999998</v>
      </c>
      <c r="N8" s="315">
        <v>0.92059999999999997</v>
      </c>
      <c r="O8" s="315">
        <v>0.38129999999999997</v>
      </c>
      <c r="P8" s="329">
        <f t="shared" ref="P8:P22" si="5">((J8-D8)/D8)</f>
        <v>1.7951775325626494E-2</v>
      </c>
      <c r="Q8" s="329">
        <f t="shared" si="2"/>
        <v>1.7654624108499932E-2</v>
      </c>
      <c r="R8" s="329">
        <f t="shared" si="4"/>
        <v>-1.2995000000000001</v>
      </c>
      <c r="S8" s="364">
        <f t="shared" si="3"/>
        <v>2.8799999999999992E-2</v>
      </c>
      <c r="T8" s="289"/>
      <c r="U8" s="113"/>
      <c r="V8" s="145"/>
      <c r="W8" s="114"/>
      <c r="X8" s="114"/>
      <c r="Y8" s="115"/>
    </row>
    <row r="9" spans="1:26" s="112" customFormat="1" ht="12.95" customHeight="1">
      <c r="A9" s="403">
        <v>4</v>
      </c>
      <c r="B9" s="368" t="s">
        <v>81</v>
      </c>
      <c r="C9" s="369" t="s">
        <v>80</v>
      </c>
      <c r="D9" s="325">
        <v>301856283.92000002</v>
      </c>
      <c r="E9" s="333">
        <f t="shared" si="0"/>
        <v>1.5069559474786564E-2</v>
      </c>
      <c r="F9" s="325">
        <v>155.87</v>
      </c>
      <c r="G9" s="325">
        <v>156.96</v>
      </c>
      <c r="H9" s="334">
        <v>5.0500000000000003E-2</v>
      </c>
      <c r="I9" s="334">
        <v>0.1555</v>
      </c>
      <c r="J9" s="325">
        <v>309472758.36000001</v>
      </c>
      <c r="K9" s="333">
        <f t="shared" si="1"/>
        <v>1.525346249655957E-2</v>
      </c>
      <c r="L9" s="325">
        <v>156.63</v>
      </c>
      <c r="M9" s="325">
        <v>157.72999999999999</v>
      </c>
      <c r="N9" s="334">
        <v>4.8999999999999998E-3</v>
      </c>
      <c r="O9" s="334">
        <v>0.16120000000000001</v>
      </c>
      <c r="P9" s="329">
        <f t="shared" si="5"/>
        <v>2.5232121528464078E-2</v>
      </c>
      <c r="Q9" s="329">
        <f t="shared" si="2"/>
        <v>4.905708460754216E-3</v>
      </c>
      <c r="R9" s="329">
        <f t="shared" si="4"/>
        <v>-4.5600000000000002E-2</v>
      </c>
      <c r="S9" s="364">
        <f t="shared" si="3"/>
        <v>5.7000000000000106E-3</v>
      </c>
      <c r="T9" s="289"/>
      <c r="U9" s="113"/>
      <c r="V9" s="145"/>
      <c r="W9" s="114"/>
      <c r="X9" s="114"/>
      <c r="Y9" s="115"/>
    </row>
    <row r="10" spans="1:26" s="112" customFormat="1" ht="12.95" customHeight="1">
      <c r="A10" s="400">
        <v>5</v>
      </c>
      <c r="B10" s="368" t="s">
        <v>52</v>
      </c>
      <c r="C10" s="369" t="s">
        <v>185</v>
      </c>
      <c r="D10" s="325">
        <v>492758236.86000001</v>
      </c>
      <c r="E10" s="333">
        <f t="shared" si="0"/>
        <v>2.4599950216775118E-2</v>
      </c>
      <c r="F10" s="325">
        <v>218.12</v>
      </c>
      <c r="G10" s="325">
        <v>220.97</v>
      </c>
      <c r="H10" s="315">
        <v>6.5600000000000006E-2</v>
      </c>
      <c r="I10" s="315">
        <v>0.31709999999999999</v>
      </c>
      <c r="J10" s="325">
        <v>507848497.44</v>
      </c>
      <c r="K10" s="333">
        <f t="shared" si="1"/>
        <v>2.5031114372347976E-2</v>
      </c>
      <c r="L10" s="325">
        <v>220.78</v>
      </c>
      <c r="M10" s="325">
        <v>223.62</v>
      </c>
      <c r="N10" s="315">
        <v>1.21E-2</v>
      </c>
      <c r="O10" s="315">
        <v>0.33310000000000001</v>
      </c>
      <c r="P10" s="329">
        <f t="shared" si="5"/>
        <v>3.0624065619196037E-2</v>
      </c>
      <c r="Q10" s="329">
        <f t="shared" si="2"/>
        <v>1.1992578178033243E-2</v>
      </c>
      <c r="R10" s="329">
        <f t="shared" si="4"/>
        <v>-5.3500000000000006E-2</v>
      </c>
      <c r="S10" s="364">
        <f t="shared" si="3"/>
        <v>1.6000000000000014E-2</v>
      </c>
      <c r="T10" s="289"/>
      <c r="U10" s="113"/>
      <c r="V10" s="145"/>
      <c r="W10" s="114"/>
      <c r="X10" s="114"/>
      <c r="Y10" s="115"/>
    </row>
    <row r="11" spans="1:26" s="112" customFormat="1" ht="12.95" customHeight="1">
      <c r="A11" s="403">
        <v>6</v>
      </c>
      <c r="B11" s="368" t="s">
        <v>8</v>
      </c>
      <c r="C11" s="369" t="s">
        <v>56</v>
      </c>
      <c r="D11" s="326">
        <v>304110707.12</v>
      </c>
      <c r="E11" s="333">
        <f t="shared" si="0"/>
        <v>1.5182106956165956E-2</v>
      </c>
      <c r="F11" s="325">
        <v>152.83000000000001</v>
      </c>
      <c r="G11" s="325">
        <v>155.47</v>
      </c>
      <c r="H11" s="334">
        <v>1.3849999999999999E-2</v>
      </c>
      <c r="I11" s="334">
        <v>0.15840000000000001</v>
      </c>
      <c r="J11" s="326">
        <v>304110707.12</v>
      </c>
      <c r="K11" s="333">
        <f t="shared" si="1"/>
        <v>1.4989174783717241E-2</v>
      </c>
      <c r="L11" s="325">
        <v>152.83000000000001</v>
      </c>
      <c r="M11" s="325">
        <v>155.47</v>
      </c>
      <c r="N11" s="334">
        <v>1.3849999999999999E-2</v>
      </c>
      <c r="O11" s="334">
        <v>0.15840000000000001</v>
      </c>
      <c r="P11" s="329">
        <f t="shared" si="5"/>
        <v>0</v>
      </c>
      <c r="Q11" s="329">
        <f t="shared" si="2"/>
        <v>0</v>
      </c>
      <c r="R11" s="329">
        <f t="shared" si="4"/>
        <v>0</v>
      </c>
      <c r="S11" s="364">
        <f t="shared" si="3"/>
        <v>0</v>
      </c>
      <c r="T11" s="289"/>
      <c r="U11" s="113"/>
      <c r="V11" s="147"/>
      <c r="W11" s="115"/>
      <c r="X11" s="115"/>
      <c r="Y11" s="116"/>
      <c r="Z11" s="117"/>
    </row>
    <row r="12" spans="1:26" s="112" customFormat="1" ht="12.95" customHeight="1">
      <c r="A12" s="403">
        <v>7</v>
      </c>
      <c r="B12" s="368" t="s">
        <v>217</v>
      </c>
      <c r="C12" s="369" t="s">
        <v>218</v>
      </c>
      <c r="D12" s="74">
        <v>35556033.340000004</v>
      </c>
      <c r="E12" s="333">
        <f t="shared" si="0"/>
        <v>1.7750624639857721E-3</v>
      </c>
      <c r="F12" s="325">
        <v>134.87</v>
      </c>
      <c r="G12" s="325">
        <v>139.05000000000001</v>
      </c>
      <c r="H12" s="334">
        <v>9.4299999999999995E-2</v>
      </c>
      <c r="I12" s="334">
        <v>0.3876</v>
      </c>
      <c r="J12" s="74">
        <v>26309579.190000001</v>
      </c>
      <c r="K12" s="333">
        <v>0.96619999999999995</v>
      </c>
      <c r="L12" s="325">
        <v>102.3</v>
      </c>
      <c r="M12" s="325">
        <v>105.43</v>
      </c>
      <c r="N12" s="334">
        <v>-0.33139999999999997</v>
      </c>
      <c r="O12" s="334">
        <v>5.62E-2</v>
      </c>
      <c r="P12" s="329">
        <f t="shared" si="5"/>
        <v>-0.26005302845742018</v>
      </c>
      <c r="Q12" s="329">
        <f t="shared" si="2"/>
        <v>-0.24178353110391948</v>
      </c>
      <c r="R12" s="329">
        <f t="shared" si="4"/>
        <v>-0.42569999999999997</v>
      </c>
      <c r="S12" s="364">
        <f t="shared" si="3"/>
        <v>-0.33140000000000003</v>
      </c>
      <c r="T12" s="144"/>
      <c r="U12" s="113"/>
    </row>
    <row r="13" spans="1:26" s="330" customFormat="1" ht="12.95" customHeight="1">
      <c r="A13" s="397">
        <v>8</v>
      </c>
      <c r="B13" s="368" t="s">
        <v>277</v>
      </c>
      <c r="C13" s="369" t="s">
        <v>243</v>
      </c>
      <c r="D13" s="326">
        <v>431856945.29000002</v>
      </c>
      <c r="E13" s="333">
        <f t="shared" si="0"/>
        <v>2.1559577415893944E-2</v>
      </c>
      <c r="F13" s="325">
        <v>1.58</v>
      </c>
      <c r="G13" s="325">
        <v>1.62</v>
      </c>
      <c r="H13" s="334">
        <v>7.3999999999999996E-2</v>
      </c>
      <c r="I13" s="334">
        <v>0.2702</v>
      </c>
      <c r="J13" s="326">
        <v>431814652.81999999</v>
      </c>
      <c r="K13" s="333">
        <f t="shared" ref="K13:K19" si="6">(J13/$J$22)</f>
        <v>2.1283516672548911E-2</v>
      </c>
      <c r="L13" s="325">
        <v>1.57</v>
      </c>
      <c r="M13" s="325">
        <v>1.62</v>
      </c>
      <c r="N13" s="334">
        <v>-4.8999999999999998E-3</v>
      </c>
      <c r="O13" s="334">
        <v>0.27020710774437928</v>
      </c>
      <c r="P13" s="329">
        <f t="shared" ref="P13" si="7">((J13-D13)/D13)</f>
        <v>-9.7931665708486933E-5</v>
      </c>
      <c r="Q13" s="329">
        <f t="shared" ref="Q13" si="8">((M13-G13)/G13)</f>
        <v>0</v>
      </c>
      <c r="R13" s="329">
        <f t="shared" ref="R13" si="9">N13-H13</f>
        <v>-7.8899999999999998E-2</v>
      </c>
      <c r="S13" s="364">
        <f t="shared" ref="S13" si="10">O13-I13</f>
        <v>7.1077443792866291E-6</v>
      </c>
      <c r="T13" s="144"/>
      <c r="U13" s="113"/>
    </row>
    <row r="14" spans="1:26" s="112" customFormat="1" ht="12.95" customHeight="1">
      <c r="A14" s="396">
        <v>9</v>
      </c>
      <c r="B14" s="368" t="s">
        <v>45</v>
      </c>
      <c r="C14" s="369" t="s">
        <v>132</v>
      </c>
      <c r="D14" s="326">
        <v>1192552480.03</v>
      </c>
      <c r="E14" s="333">
        <f t="shared" si="0"/>
        <v>5.9535750891901794E-2</v>
      </c>
      <c r="F14" s="325">
        <v>2.38</v>
      </c>
      <c r="G14" s="325">
        <v>2.4300000000000002</v>
      </c>
      <c r="H14" s="334">
        <v>0.1201</v>
      </c>
      <c r="I14" s="334">
        <v>0.20430000000000001</v>
      </c>
      <c r="J14" s="326">
        <v>1203292684.5</v>
      </c>
      <c r="K14" s="333">
        <f t="shared" si="6"/>
        <v>5.9308547649464381E-2</v>
      </c>
      <c r="L14" s="325">
        <v>2.4</v>
      </c>
      <c r="M14" s="325">
        <v>2.4500000000000002</v>
      </c>
      <c r="N14" s="334">
        <v>0.13020000000000001</v>
      </c>
      <c r="O14" s="334">
        <v>0.21510000000000001</v>
      </c>
      <c r="P14" s="329">
        <f t="shared" si="5"/>
        <v>9.0060644289045016E-3</v>
      </c>
      <c r="Q14" s="329">
        <f t="shared" si="2"/>
        <v>8.2304526748971252E-3</v>
      </c>
      <c r="R14" s="329">
        <f t="shared" si="4"/>
        <v>1.0100000000000012E-2</v>
      </c>
      <c r="S14" s="364">
        <f t="shared" si="3"/>
        <v>1.0800000000000004E-2</v>
      </c>
      <c r="T14" s="144"/>
      <c r="U14" s="113"/>
    </row>
    <row r="15" spans="1:26" s="112" customFormat="1" ht="12.95" customHeight="1">
      <c r="A15" s="395">
        <v>10</v>
      </c>
      <c r="B15" s="368" t="s">
        <v>53</v>
      </c>
      <c r="C15" s="369" t="s">
        <v>54</v>
      </c>
      <c r="D15" s="325">
        <v>355880190.25999999</v>
      </c>
      <c r="E15" s="333">
        <f t="shared" si="0"/>
        <v>1.7766592841389234E-2</v>
      </c>
      <c r="F15" s="325">
        <v>14.611423</v>
      </c>
      <c r="G15" s="325">
        <v>14.683999999999999</v>
      </c>
      <c r="H15" s="334">
        <v>-4.0362213486063725E-3</v>
      </c>
      <c r="I15" s="334">
        <v>0.26740062459995606</v>
      </c>
      <c r="J15" s="325">
        <v>373574712.43000001</v>
      </c>
      <c r="K15" s="333">
        <f t="shared" si="6"/>
        <v>1.8412954652006455E-2</v>
      </c>
      <c r="L15" s="325">
        <v>14.773892999999999</v>
      </c>
      <c r="M15" s="325">
        <v>14.849634999999999</v>
      </c>
      <c r="N15" s="334">
        <v>2.8E-3</v>
      </c>
      <c r="O15" s="334">
        <v>0.28070000000000001</v>
      </c>
      <c r="P15" s="329">
        <f t="shared" si="5"/>
        <v>4.9720447089433947E-2</v>
      </c>
      <c r="Q15" s="329">
        <f t="shared" si="2"/>
        <v>1.127996458730591E-2</v>
      </c>
      <c r="R15" s="329">
        <f t="shared" si="4"/>
        <v>6.8362213486063729E-3</v>
      </c>
      <c r="S15" s="364">
        <f t="shared" si="3"/>
        <v>1.3299375400043945E-2</v>
      </c>
      <c r="T15" s="144"/>
      <c r="U15" s="148"/>
      <c r="V15" s="148"/>
    </row>
    <row r="16" spans="1:26" s="112" customFormat="1" ht="12.95" customHeight="1">
      <c r="A16" s="398">
        <v>11</v>
      </c>
      <c r="B16" s="368" t="s">
        <v>125</v>
      </c>
      <c r="C16" s="369" t="s">
        <v>90</v>
      </c>
      <c r="D16" s="325">
        <v>353832052.04000002</v>
      </c>
      <c r="E16" s="333">
        <f t="shared" si="0"/>
        <v>1.7664343717011047E-2</v>
      </c>
      <c r="F16" s="325">
        <v>1.799839</v>
      </c>
      <c r="G16" s="325">
        <v>1.830408</v>
      </c>
      <c r="H16" s="334">
        <v>-4.0000000000000002E-4</v>
      </c>
      <c r="I16" s="334">
        <v>0.26929999999999998</v>
      </c>
      <c r="J16" s="325">
        <v>358347283.30000001</v>
      </c>
      <c r="K16" s="333">
        <f t="shared" si="6"/>
        <v>1.7662416800518794E-2</v>
      </c>
      <c r="L16" s="325">
        <v>1.8228070000000001</v>
      </c>
      <c r="M16" s="325">
        <v>1.853299</v>
      </c>
      <c r="N16" s="334">
        <v>-4.0000000000000002E-4</v>
      </c>
      <c r="O16" s="334">
        <v>0.28539999999999999</v>
      </c>
      <c r="P16" s="329">
        <f t="shared" si="5"/>
        <v>1.2760944730607821E-2</v>
      </c>
      <c r="Q16" s="329">
        <f t="shared" si="2"/>
        <v>1.2505954956490572E-2</v>
      </c>
      <c r="R16" s="329">
        <f t="shared" si="4"/>
        <v>0</v>
      </c>
      <c r="S16" s="364">
        <f t="shared" si="3"/>
        <v>1.6100000000000003E-2</v>
      </c>
      <c r="T16" s="144"/>
      <c r="U16" s="149"/>
      <c r="V16" s="149"/>
    </row>
    <row r="17" spans="1:25" s="112" customFormat="1" ht="12.95" customHeight="1">
      <c r="A17" s="394">
        <v>12</v>
      </c>
      <c r="B17" s="368" t="s">
        <v>10</v>
      </c>
      <c r="C17" s="369" t="s">
        <v>9</v>
      </c>
      <c r="D17" s="326">
        <v>939005677.60000002</v>
      </c>
      <c r="E17" s="333">
        <f t="shared" si="0"/>
        <v>4.6877943775077063E-2</v>
      </c>
      <c r="F17" s="325">
        <v>23.64</v>
      </c>
      <c r="G17" s="325">
        <v>24.13</v>
      </c>
      <c r="H17" s="334">
        <v>2.69E-2</v>
      </c>
      <c r="I17" s="334">
        <v>0.30840000000000001</v>
      </c>
      <c r="J17" s="326">
        <v>931787865.08000004</v>
      </c>
      <c r="K17" s="333">
        <f t="shared" si="6"/>
        <v>4.5926469683685564E-2</v>
      </c>
      <c r="L17" s="325">
        <v>23.52</v>
      </c>
      <c r="M17" s="325">
        <v>23.89</v>
      </c>
      <c r="N17" s="334">
        <v>2.3E-3</v>
      </c>
      <c r="O17" s="334">
        <v>0.31490000000000001</v>
      </c>
      <c r="P17" s="329">
        <f t="shared" si="5"/>
        <v>-7.6866548224159333E-3</v>
      </c>
      <c r="Q17" s="329">
        <f t="shared" si="2"/>
        <v>-9.9461251554081413E-3</v>
      </c>
      <c r="R17" s="329">
        <f t="shared" si="4"/>
        <v>-2.46E-2</v>
      </c>
      <c r="S17" s="364">
        <f t="shared" si="3"/>
        <v>6.5000000000000058E-3</v>
      </c>
      <c r="T17" s="144"/>
      <c r="U17" s="150"/>
      <c r="V17" s="150"/>
    </row>
    <row r="18" spans="1:25" s="112" customFormat="1" ht="12.95" customHeight="1">
      <c r="A18" s="404">
        <v>13</v>
      </c>
      <c r="B18" s="368" t="s">
        <v>67</v>
      </c>
      <c r="C18" s="369" t="s">
        <v>5</v>
      </c>
      <c r="D18" s="326">
        <v>411312309.70999998</v>
      </c>
      <c r="E18" s="333">
        <f t="shared" si="0"/>
        <v>2.0533928376092345E-2</v>
      </c>
      <c r="F18" s="325">
        <v>4282.45</v>
      </c>
      <c r="G18" s="325">
        <v>4335.5600000000004</v>
      </c>
      <c r="H18" s="334">
        <v>9.0300000000000005E-2</v>
      </c>
      <c r="I18" s="334">
        <v>0.3241</v>
      </c>
      <c r="J18" s="326">
        <v>426515600.54000002</v>
      </c>
      <c r="K18" s="333">
        <f t="shared" si="6"/>
        <v>2.1022334086887324E-2</v>
      </c>
      <c r="L18" s="325">
        <v>4266.2299999999996</v>
      </c>
      <c r="M18" s="325">
        <v>4316.53</v>
      </c>
      <c r="N18" s="334">
        <v>-4.4000000000000003E-3</v>
      </c>
      <c r="O18" s="334">
        <v>0.31830000000000003</v>
      </c>
      <c r="P18" s="329">
        <f t="shared" si="5"/>
        <v>3.6962887983389751E-2</v>
      </c>
      <c r="Q18" s="329">
        <f t="shared" si="2"/>
        <v>-4.3892830453276287E-3</v>
      </c>
      <c r="R18" s="329">
        <f t="shared" si="4"/>
        <v>-9.4700000000000006E-2</v>
      </c>
      <c r="S18" s="364">
        <f t="shared" si="3"/>
        <v>-5.7999999999999718E-3</v>
      </c>
      <c r="T18" s="144"/>
      <c r="U18" s="149"/>
      <c r="V18" s="149"/>
    </row>
    <row r="19" spans="1:25" s="112" customFormat="1" ht="12.95" customHeight="1">
      <c r="A19" s="404">
        <v>14</v>
      </c>
      <c r="B19" s="368" t="s">
        <v>225</v>
      </c>
      <c r="C19" s="369" t="s">
        <v>5</v>
      </c>
      <c r="D19" s="326">
        <v>8793551066.7700005</v>
      </c>
      <c r="E19" s="333">
        <f t="shared" si="0"/>
        <v>0.43900010652215993</v>
      </c>
      <c r="F19" s="325">
        <v>15158.92</v>
      </c>
      <c r="G19" s="325">
        <v>15348.97</v>
      </c>
      <c r="H19" s="334">
        <v>4.1999999999999997E-3</v>
      </c>
      <c r="I19" s="334">
        <v>0.24060000000000001</v>
      </c>
      <c r="J19" s="326">
        <v>8729913197.9699993</v>
      </c>
      <c r="K19" s="333">
        <f t="shared" si="6"/>
        <v>0.43028473416892254</v>
      </c>
      <c r="L19" s="325">
        <v>15127.79</v>
      </c>
      <c r="M19" s="325">
        <v>15317</v>
      </c>
      <c r="N19" s="334">
        <v>4.1999999999999997E-3</v>
      </c>
      <c r="O19" s="334">
        <v>0.23799999999999999</v>
      </c>
      <c r="P19" s="329">
        <f t="shared" si="5"/>
        <v>-7.2368794263881226E-3</v>
      </c>
      <c r="Q19" s="329">
        <f t="shared" si="2"/>
        <v>-2.0828759193613215E-3</v>
      </c>
      <c r="R19" s="329">
        <f t="shared" si="4"/>
        <v>0</v>
      </c>
      <c r="S19" s="364">
        <f t="shared" si="3"/>
        <v>-2.600000000000019E-3</v>
      </c>
      <c r="T19" s="144"/>
      <c r="U19" s="151"/>
      <c r="V19" s="151"/>
    </row>
    <row r="20" spans="1:25" s="112" customFormat="1" ht="12.95" customHeight="1">
      <c r="A20" s="400">
        <v>15</v>
      </c>
      <c r="B20" s="368" t="s">
        <v>245</v>
      </c>
      <c r="C20" s="369" t="s">
        <v>246</v>
      </c>
      <c r="D20" s="74">
        <v>66210201.329999998</v>
      </c>
      <c r="E20" s="333">
        <f t="shared" si="0"/>
        <v>3.3054092955191227E-3</v>
      </c>
      <c r="F20" s="325">
        <v>123.63630000000001</v>
      </c>
      <c r="G20" s="325">
        <v>124.14879999999999</v>
      </c>
      <c r="H20" s="334">
        <v>0.18557299999999999</v>
      </c>
      <c r="I20" s="334">
        <v>0.17682300000000001</v>
      </c>
      <c r="J20" s="74">
        <v>66054241.280000001</v>
      </c>
      <c r="K20" s="333">
        <v>0.96619999999999995</v>
      </c>
      <c r="L20" s="325">
        <v>123.1041</v>
      </c>
      <c r="M20" s="325">
        <v>123.6105</v>
      </c>
      <c r="N20" s="334">
        <v>0.1477</v>
      </c>
      <c r="O20" s="334">
        <v>0.17180000000000001</v>
      </c>
      <c r="P20" s="329">
        <f t="shared" si="5"/>
        <v>-2.3555290101395774E-3</v>
      </c>
      <c r="Q20" s="329">
        <f t="shared" si="2"/>
        <v>-4.3359259211526203E-3</v>
      </c>
      <c r="R20" s="329">
        <f t="shared" si="4"/>
        <v>-3.787299999999999E-2</v>
      </c>
      <c r="S20" s="364">
        <f t="shared" si="3"/>
        <v>-5.0229999999999997E-3</v>
      </c>
      <c r="T20" s="309"/>
      <c r="U20" s="309"/>
      <c r="V20" s="151"/>
    </row>
    <row r="21" spans="1:25" s="330" customFormat="1" ht="12.95" customHeight="1">
      <c r="A21" s="396">
        <v>16</v>
      </c>
      <c r="B21" s="369" t="s">
        <v>75</v>
      </c>
      <c r="C21" s="369" t="s">
        <v>41</v>
      </c>
      <c r="D21" s="325">
        <v>2487063727.7800002</v>
      </c>
      <c r="E21" s="333">
        <f t="shared" si="0"/>
        <v>0.12416158536324531</v>
      </c>
      <c r="F21" s="325">
        <v>1.2250000000000001</v>
      </c>
      <c r="G21" s="310">
        <v>1.2363999999999999</v>
      </c>
      <c r="H21" s="334">
        <v>5.3600000000000002E-2</v>
      </c>
      <c r="I21" s="334">
        <v>0.28560000000000002</v>
      </c>
      <c r="J21" s="325">
        <v>2689717869.4099998</v>
      </c>
      <c r="K21" s="333">
        <f>(J21/$J$22)</f>
        <v>0.13257228476196123</v>
      </c>
      <c r="L21" s="325">
        <v>1.1638999999999999</v>
      </c>
      <c r="M21" s="310">
        <v>1.1746000000000001</v>
      </c>
      <c r="N21" s="334">
        <v>-5.1000000000000004E-3</v>
      </c>
      <c r="O21" s="334">
        <v>0.27900000000000003</v>
      </c>
      <c r="P21" s="329">
        <f t="shared" si="5"/>
        <v>8.1483292674165819E-2</v>
      </c>
      <c r="Q21" s="329">
        <f t="shared" si="2"/>
        <v>-4.9983824005176203E-2</v>
      </c>
      <c r="R21" s="329">
        <f t="shared" si="4"/>
        <v>-5.8700000000000002E-2</v>
      </c>
      <c r="S21" s="364">
        <f t="shared" si="3"/>
        <v>-6.5999999999999948E-3</v>
      </c>
      <c r="T21" s="309"/>
      <c r="U21" s="309"/>
      <c r="V21" s="151"/>
    </row>
    <row r="22" spans="1:25" s="112" customFormat="1" ht="12.95" customHeight="1">
      <c r="A22" s="214"/>
      <c r="C22" s="244" t="s">
        <v>42</v>
      </c>
      <c r="D22" s="70">
        <f>SUM(D6:D21)</f>
        <v>20030863173.209999</v>
      </c>
      <c r="E22" s="262">
        <f>(D22/$D$168)</f>
        <v>1.1232136765701818E-2</v>
      </c>
      <c r="F22" s="264"/>
      <c r="G22" s="71"/>
      <c r="H22" s="281"/>
      <c r="I22" s="281"/>
      <c r="J22" s="70">
        <f>SUM(J6:J21)</f>
        <v>20288689104.509998</v>
      </c>
      <c r="K22" s="262">
        <f>(J22/$J$168)</f>
        <v>1.0820441594598759E-2</v>
      </c>
      <c r="L22" s="264"/>
      <c r="M22" s="71"/>
      <c r="N22" s="281"/>
      <c r="O22" s="281"/>
      <c r="P22" s="266">
        <f t="shared" si="5"/>
        <v>1.2871433900303656E-2</v>
      </c>
      <c r="Q22" s="266"/>
      <c r="R22" s="266">
        <f t="shared" ref="R22" si="11">N22-H22</f>
        <v>0</v>
      </c>
      <c r="S22" s="364">
        <f t="shared" ref="S22" si="12">O22-I22</f>
        <v>0</v>
      </c>
      <c r="T22" s="144"/>
      <c r="U22" s="152"/>
      <c r="X22" s="119"/>
      <c r="Y22" s="119"/>
    </row>
    <row r="23" spans="1:25" s="112" customFormat="1" ht="5.25" customHeight="1">
      <c r="A23" s="410"/>
      <c r="B23" s="411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25"/>
      <c r="T23" s="144"/>
      <c r="U23" s="152"/>
      <c r="X23" s="119"/>
      <c r="Y23" s="119"/>
    </row>
    <row r="24" spans="1:25" s="112" customFormat="1" ht="12.95" customHeight="1">
      <c r="A24" s="417" t="s">
        <v>44</v>
      </c>
      <c r="B24" s="418"/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20"/>
      <c r="T24" s="153"/>
      <c r="V24" s="154"/>
    </row>
    <row r="25" spans="1:25" s="112" customFormat="1" ht="12.95" customHeight="1">
      <c r="A25" s="400">
        <v>17</v>
      </c>
      <c r="B25" s="368" t="s">
        <v>115</v>
      </c>
      <c r="C25" s="369" t="s">
        <v>57</v>
      </c>
      <c r="D25" s="321">
        <v>817828258.86000001</v>
      </c>
      <c r="E25" s="193">
        <v>7.9600000000000004E-2</v>
      </c>
      <c r="F25" s="310">
        <v>100</v>
      </c>
      <c r="G25" s="310">
        <v>100</v>
      </c>
      <c r="H25" s="334">
        <v>0.1148</v>
      </c>
      <c r="I25" s="334">
        <v>0.1148</v>
      </c>
      <c r="J25" s="321">
        <v>818463836.38</v>
      </c>
      <c r="K25" s="333">
        <f t="shared" ref="K25:K41" si="13">(J25/$J$54)</f>
        <v>1.0011500657772165E-3</v>
      </c>
      <c r="L25" s="310">
        <v>100</v>
      </c>
      <c r="M25" s="310">
        <v>100</v>
      </c>
      <c r="N25" s="334">
        <v>0.11030231925219151</v>
      </c>
      <c r="O25" s="334">
        <v>0.11030231925219151</v>
      </c>
      <c r="P25" s="109">
        <f t="shared" ref="P25:P53" si="14">((J25-D25)/D25)</f>
        <v>7.7715279841997036E-4</v>
      </c>
      <c r="Q25" s="109">
        <f t="shared" ref="Q25:Q53" si="15">((M25-G25)/G25)</f>
        <v>0</v>
      </c>
      <c r="R25" s="329">
        <f t="shared" ref="R25:R53" si="16">N25-H25</f>
        <v>-4.4976807478084857E-3</v>
      </c>
      <c r="S25" s="364">
        <f t="shared" ref="S25:S53" si="17">O25-I25</f>
        <v>-4.4976807478084857E-3</v>
      </c>
      <c r="T25" s="156"/>
      <c r="U25" s="120"/>
      <c r="V25" s="154"/>
      <c r="W25" s="157"/>
    </row>
    <row r="26" spans="1:25" s="112" customFormat="1" ht="12.95" customHeight="1">
      <c r="A26" s="403">
        <v>18</v>
      </c>
      <c r="B26" s="368" t="s">
        <v>37</v>
      </c>
      <c r="C26" s="369" t="s">
        <v>36</v>
      </c>
      <c r="D26" s="321">
        <v>3317545180.6999998</v>
      </c>
      <c r="E26" s="193">
        <v>8.6400000000000005E-2</v>
      </c>
      <c r="F26" s="310">
        <v>100</v>
      </c>
      <c r="G26" s="310">
        <v>100</v>
      </c>
      <c r="H26" s="334">
        <v>0.11792</v>
      </c>
      <c r="I26" s="334">
        <v>0.11792</v>
      </c>
      <c r="J26" s="321">
        <v>3329801705.5900002</v>
      </c>
      <c r="K26" s="333">
        <f t="shared" si="13"/>
        <v>4.0730341994350055E-3</v>
      </c>
      <c r="L26" s="310">
        <v>100</v>
      </c>
      <c r="M26" s="310">
        <v>100</v>
      </c>
      <c r="N26" s="334">
        <v>0.118419</v>
      </c>
      <c r="O26" s="334">
        <v>0.118419</v>
      </c>
      <c r="P26" s="329">
        <f t="shared" si="14"/>
        <v>3.694456057841607E-3</v>
      </c>
      <c r="Q26" s="329">
        <f t="shared" si="15"/>
        <v>0</v>
      </c>
      <c r="R26" s="329">
        <f t="shared" si="16"/>
        <v>4.9899999999999944E-4</v>
      </c>
      <c r="S26" s="364">
        <f t="shared" si="17"/>
        <v>4.9899999999999944E-4</v>
      </c>
      <c r="T26" s="144"/>
      <c r="U26" s="113"/>
    </row>
    <row r="27" spans="1:25" s="112" customFormat="1" ht="12.95" customHeight="1">
      <c r="A27" s="400">
        <v>19</v>
      </c>
      <c r="B27" s="368" t="s">
        <v>137</v>
      </c>
      <c r="C27" s="369" t="s">
        <v>135</v>
      </c>
      <c r="D27" s="321">
        <v>493551899.81</v>
      </c>
      <c r="E27" s="193">
        <v>2.0000000000000001E-4</v>
      </c>
      <c r="F27" s="310">
        <v>100</v>
      </c>
      <c r="G27" s="310">
        <v>100</v>
      </c>
      <c r="H27" s="334">
        <v>7.8899999999999998E-2</v>
      </c>
      <c r="I27" s="334">
        <v>7.8899999999999998E-2</v>
      </c>
      <c r="J27" s="321">
        <v>485018923.54000002</v>
      </c>
      <c r="K27" s="333">
        <f t="shared" si="13"/>
        <v>5.9327817017906716E-4</v>
      </c>
      <c r="L27" s="310">
        <v>100</v>
      </c>
      <c r="M27" s="310">
        <v>100</v>
      </c>
      <c r="N27" s="334">
        <v>6.6799999999999998E-2</v>
      </c>
      <c r="O27" s="334">
        <v>6.6799999999999998E-2</v>
      </c>
      <c r="P27" s="329">
        <f t="shared" si="14"/>
        <v>-1.7288913837197009E-2</v>
      </c>
      <c r="Q27" s="329">
        <f t="shared" si="15"/>
        <v>0</v>
      </c>
      <c r="R27" s="329">
        <f t="shared" si="16"/>
        <v>-1.21E-2</v>
      </c>
      <c r="S27" s="364">
        <f t="shared" si="17"/>
        <v>-1.21E-2</v>
      </c>
      <c r="T27" s="144"/>
      <c r="U27" s="120"/>
    </row>
    <row r="28" spans="1:25" s="112" customFormat="1" ht="12.95" customHeight="1">
      <c r="A28" s="400">
        <v>20</v>
      </c>
      <c r="B28" s="368" t="s">
        <v>15</v>
      </c>
      <c r="C28" s="369" t="s">
        <v>6</v>
      </c>
      <c r="D28" s="321">
        <v>78884907553.710007</v>
      </c>
      <c r="E28" s="193">
        <v>6.54E-2</v>
      </c>
      <c r="F28" s="310">
        <v>1</v>
      </c>
      <c r="G28" s="310">
        <v>1</v>
      </c>
      <c r="H28" s="334">
        <v>9.9299999999999999E-2</v>
      </c>
      <c r="I28" s="334">
        <v>9.9299999999999999E-2</v>
      </c>
      <c r="J28" s="321">
        <v>79085463217.5</v>
      </c>
      <c r="K28" s="333">
        <f t="shared" si="13"/>
        <v>9.6737831511790079E-2</v>
      </c>
      <c r="L28" s="310">
        <v>1</v>
      </c>
      <c r="M28" s="310">
        <v>1</v>
      </c>
      <c r="N28" s="334">
        <v>9.9400000000000002E-2</v>
      </c>
      <c r="O28" s="334">
        <v>9.9400000000000002E-2</v>
      </c>
      <c r="P28" s="329">
        <f t="shared" si="14"/>
        <v>2.5423832011648344E-3</v>
      </c>
      <c r="Q28" s="329">
        <f t="shared" si="15"/>
        <v>0</v>
      </c>
      <c r="R28" s="329">
        <f t="shared" si="16"/>
        <v>1.0000000000000286E-4</v>
      </c>
      <c r="S28" s="364">
        <f t="shared" si="17"/>
        <v>1.0000000000000286E-4</v>
      </c>
      <c r="T28" s="153"/>
      <c r="U28" s="113"/>
    </row>
    <row r="29" spans="1:25" s="112" customFormat="1" ht="12.95" customHeight="1">
      <c r="A29" s="403">
        <v>21</v>
      </c>
      <c r="B29" s="368" t="s">
        <v>82</v>
      </c>
      <c r="C29" s="369" t="s">
        <v>80</v>
      </c>
      <c r="D29" s="321">
        <v>39607756062</v>
      </c>
      <c r="E29" s="193">
        <v>6.9800000000000001E-2</v>
      </c>
      <c r="F29" s="310">
        <v>1</v>
      </c>
      <c r="G29" s="310">
        <v>1</v>
      </c>
      <c r="H29" s="334">
        <v>9.8400000000000001E-2</v>
      </c>
      <c r="I29" s="334">
        <v>9.8400000000000001E-2</v>
      </c>
      <c r="J29" s="321">
        <v>40934587170.089996</v>
      </c>
      <c r="K29" s="333">
        <f t="shared" si="13"/>
        <v>5.0071442153336213E-2</v>
      </c>
      <c r="L29" s="310">
        <v>1</v>
      </c>
      <c r="M29" s="310">
        <v>1</v>
      </c>
      <c r="N29" s="334">
        <v>9.7600000000000006E-2</v>
      </c>
      <c r="O29" s="334">
        <v>9.5799999999999996E-2</v>
      </c>
      <c r="P29" s="329">
        <f t="shared" si="14"/>
        <v>3.3499274889823127E-2</v>
      </c>
      <c r="Q29" s="329">
        <f t="shared" si="15"/>
        <v>0</v>
      </c>
      <c r="R29" s="329">
        <f t="shared" si="16"/>
        <v>-7.9999999999999516E-4</v>
      </c>
      <c r="S29" s="364">
        <f t="shared" si="17"/>
        <v>-2.6000000000000051E-3</v>
      </c>
      <c r="T29" s="144"/>
      <c r="U29" s="148"/>
      <c r="V29" s="428"/>
      <c r="W29" s="428"/>
    </row>
    <row r="30" spans="1:25" s="112" customFormat="1" ht="12.95" customHeight="1">
      <c r="A30" s="394">
        <v>22</v>
      </c>
      <c r="B30" s="368" t="s">
        <v>97</v>
      </c>
      <c r="C30" s="369" t="s">
        <v>9</v>
      </c>
      <c r="D30" s="321">
        <v>6027359426.3900003</v>
      </c>
      <c r="E30" s="193">
        <v>5.3699999999999998E-2</v>
      </c>
      <c r="F30" s="310">
        <v>100</v>
      </c>
      <c r="G30" s="310">
        <v>100</v>
      </c>
      <c r="H30" s="334">
        <v>9.5899999999999999E-2</v>
      </c>
      <c r="I30" s="334">
        <v>9.5899999999999999E-2</v>
      </c>
      <c r="J30" s="321">
        <v>4830806999.1300001</v>
      </c>
      <c r="K30" s="333">
        <f t="shared" si="13"/>
        <v>5.9090732295844408E-3</v>
      </c>
      <c r="L30" s="310">
        <v>100</v>
      </c>
      <c r="M30" s="310">
        <v>100</v>
      </c>
      <c r="N30" s="334">
        <v>9.9900000000000003E-2</v>
      </c>
      <c r="O30" s="334">
        <v>9.9900000000000003E-2</v>
      </c>
      <c r="P30" s="329">
        <f t="shared" si="14"/>
        <v>-0.19852017153997037</v>
      </c>
      <c r="Q30" s="329">
        <f t="shared" si="15"/>
        <v>0</v>
      </c>
      <c r="R30" s="329">
        <f t="shared" si="16"/>
        <v>4.0000000000000036E-3</v>
      </c>
      <c r="S30" s="364">
        <f t="shared" si="17"/>
        <v>4.0000000000000036E-3</v>
      </c>
      <c r="T30" s="144"/>
      <c r="U30" s="113"/>
      <c r="V30" s="430"/>
      <c r="W30" s="430"/>
    </row>
    <row r="31" spans="1:25" s="112" customFormat="1" ht="12.95" customHeight="1">
      <c r="A31" s="400">
        <v>23</v>
      </c>
      <c r="B31" s="368" t="s">
        <v>230</v>
      </c>
      <c r="C31" s="369" t="s">
        <v>7</v>
      </c>
      <c r="D31" s="321">
        <v>12723815789.6</v>
      </c>
      <c r="E31" s="193">
        <v>6.1269999999999998E-2</v>
      </c>
      <c r="F31" s="310">
        <v>100</v>
      </c>
      <c r="G31" s="310">
        <v>100</v>
      </c>
      <c r="H31" s="334">
        <v>0.1113</v>
      </c>
      <c r="I31" s="334">
        <v>0.1113</v>
      </c>
      <c r="J31" s="321">
        <v>12501464130.220001</v>
      </c>
      <c r="K31" s="333">
        <f t="shared" si="13"/>
        <v>1.5291868840091743E-2</v>
      </c>
      <c r="L31" s="310">
        <v>100</v>
      </c>
      <c r="M31" s="310">
        <v>100</v>
      </c>
      <c r="N31" s="334">
        <v>0.11149402520261401</v>
      </c>
      <c r="O31" s="334">
        <v>0.11149402520261401</v>
      </c>
      <c r="P31" s="329">
        <f t="shared" si="14"/>
        <v>-1.747523408518234E-2</v>
      </c>
      <c r="Q31" s="329">
        <f t="shared" si="15"/>
        <v>0</v>
      </c>
      <c r="R31" s="329">
        <f t="shared" si="16"/>
        <v>1.9402520261400935E-4</v>
      </c>
      <c r="S31" s="364">
        <f t="shared" si="17"/>
        <v>1.9402520261400935E-4</v>
      </c>
      <c r="T31" s="144"/>
      <c r="U31" s="113"/>
      <c r="V31" s="431"/>
      <c r="W31" s="431"/>
    </row>
    <row r="32" spans="1:25" s="112" customFormat="1" ht="12.95" customHeight="1">
      <c r="A32" s="400">
        <v>24</v>
      </c>
      <c r="B32" s="368" t="s">
        <v>89</v>
      </c>
      <c r="C32" s="369" t="s">
        <v>88</v>
      </c>
      <c r="D32" s="321">
        <v>5200927057.8500004</v>
      </c>
      <c r="E32" s="193">
        <v>7.0599999999999996E-2</v>
      </c>
      <c r="F32" s="310">
        <v>100</v>
      </c>
      <c r="G32" s="310">
        <v>100</v>
      </c>
      <c r="H32" s="334">
        <v>9.3700000000000006E-2</v>
      </c>
      <c r="I32" s="334">
        <v>9.3700000000000006E-2</v>
      </c>
      <c r="J32" s="321">
        <v>5195263385.3100004</v>
      </c>
      <c r="K32" s="333">
        <f t="shared" si="13"/>
        <v>6.3548785526526524E-3</v>
      </c>
      <c r="L32" s="310">
        <v>100</v>
      </c>
      <c r="M32" s="310">
        <v>100</v>
      </c>
      <c r="N32" s="334">
        <v>8.6999999999999994E-2</v>
      </c>
      <c r="O32" s="334">
        <v>8.6999999999999994E-2</v>
      </c>
      <c r="P32" s="329">
        <f t="shared" si="14"/>
        <v>-1.0889736535434618E-3</v>
      </c>
      <c r="Q32" s="329">
        <f t="shared" si="15"/>
        <v>0</v>
      </c>
      <c r="R32" s="329">
        <f t="shared" si="16"/>
        <v>-6.7000000000000115E-3</v>
      </c>
      <c r="S32" s="364">
        <f t="shared" si="17"/>
        <v>-6.7000000000000115E-3</v>
      </c>
      <c r="T32" s="144"/>
      <c r="U32" s="113"/>
    </row>
    <row r="33" spans="1:23" s="112" customFormat="1" ht="12.95" customHeight="1">
      <c r="A33" s="403">
        <v>25</v>
      </c>
      <c r="B33" s="368" t="s">
        <v>179</v>
      </c>
      <c r="C33" s="369" t="s">
        <v>178</v>
      </c>
      <c r="D33" s="321">
        <v>44514190.369999997</v>
      </c>
      <c r="E33" s="193">
        <v>3.7000000000000002E-3</v>
      </c>
      <c r="F33" s="310">
        <v>100</v>
      </c>
      <c r="G33" s="310">
        <v>100</v>
      </c>
      <c r="H33" s="334">
        <v>0</v>
      </c>
      <c r="I33" s="334">
        <v>0</v>
      </c>
      <c r="J33" s="321">
        <v>44514190.369999997</v>
      </c>
      <c r="K33" s="333">
        <f t="shared" si="13"/>
        <v>5.4450035097523875E-5</v>
      </c>
      <c r="L33" s="310">
        <v>100</v>
      </c>
      <c r="M33" s="310">
        <v>100</v>
      </c>
      <c r="N33" s="334">
        <v>0</v>
      </c>
      <c r="O33" s="334">
        <v>0</v>
      </c>
      <c r="P33" s="329">
        <f t="shared" si="14"/>
        <v>0</v>
      </c>
      <c r="Q33" s="329">
        <f t="shared" si="15"/>
        <v>0</v>
      </c>
      <c r="R33" s="329">
        <f t="shared" si="16"/>
        <v>0</v>
      </c>
      <c r="S33" s="364">
        <f t="shared" si="17"/>
        <v>0</v>
      </c>
      <c r="T33" s="146"/>
      <c r="U33" s="158"/>
    </row>
    <row r="34" spans="1:23" s="112" customFormat="1" ht="12.95" customHeight="1">
      <c r="A34" s="403">
        <v>26</v>
      </c>
      <c r="B34" s="368" t="s">
        <v>108</v>
      </c>
      <c r="C34" s="369" t="s">
        <v>259</v>
      </c>
      <c r="D34" s="321">
        <v>5561480520.4099998</v>
      </c>
      <c r="E34" s="193">
        <v>6.3E-2</v>
      </c>
      <c r="F34" s="310">
        <v>1</v>
      </c>
      <c r="G34" s="310">
        <v>1</v>
      </c>
      <c r="H34" s="334">
        <v>9.4700000000000006E-2</v>
      </c>
      <c r="I34" s="334">
        <v>9.4700000000000006E-2</v>
      </c>
      <c r="J34" s="321">
        <v>5723289390.6999998</v>
      </c>
      <c r="K34" s="333">
        <f t="shared" si="13"/>
        <v>7.0007632533944488E-3</v>
      </c>
      <c r="L34" s="310">
        <v>1</v>
      </c>
      <c r="M34" s="310">
        <v>1</v>
      </c>
      <c r="N34" s="334">
        <v>9.6000000000000002E-2</v>
      </c>
      <c r="O34" s="334">
        <v>9.6000000000000002E-2</v>
      </c>
      <c r="P34" s="329">
        <f t="shared" si="14"/>
        <v>2.9094567480040582E-2</v>
      </c>
      <c r="Q34" s="329">
        <f t="shared" si="15"/>
        <v>0</v>
      </c>
      <c r="R34" s="329">
        <f t="shared" si="16"/>
        <v>1.2999999999999956E-3</v>
      </c>
      <c r="S34" s="364">
        <f t="shared" si="17"/>
        <v>1.2999999999999956E-3</v>
      </c>
      <c r="T34" s="159"/>
      <c r="U34" s="113"/>
      <c r="V34" s="428"/>
      <c r="W34" s="428"/>
    </row>
    <row r="35" spans="1:23" s="112" customFormat="1" ht="12.95" customHeight="1">
      <c r="A35" s="400">
        <v>27</v>
      </c>
      <c r="B35" s="368" t="s">
        <v>100</v>
      </c>
      <c r="C35" s="369" t="s">
        <v>98</v>
      </c>
      <c r="D35" s="321">
        <v>13178552136.25</v>
      </c>
      <c r="E35" s="193">
        <v>4.5100000000000001E-2</v>
      </c>
      <c r="F35" s="69">
        <v>100</v>
      </c>
      <c r="G35" s="69">
        <v>100</v>
      </c>
      <c r="H35" s="334">
        <v>9.4200000000000006E-2</v>
      </c>
      <c r="I35" s="334">
        <v>9.4200000000000006E-2</v>
      </c>
      <c r="J35" s="321">
        <v>13169237396.639999</v>
      </c>
      <c r="K35" s="333">
        <f t="shared" si="13"/>
        <v>1.6108693261507295E-2</v>
      </c>
      <c r="L35" s="69">
        <v>100</v>
      </c>
      <c r="M35" s="69">
        <v>100</v>
      </c>
      <c r="N35" s="334">
        <v>9.1700000000000004E-2</v>
      </c>
      <c r="O35" s="334">
        <v>9.1700000000000004E-2</v>
      </c>
      <c r="P35" s="329">
        <f t="shared" si="14"/>
        <v>-7.068105444132006E-4</v>
      </c>
      <c r="Q35" s="329">
        <f t="shared" si="15"/>
        <v>0</v>
      </c>
      <c r="R35" s="329">
        <f t="shared" si="16"/>
        <v>-2.5000000000000022E-3</v>
      </c>
      <c r="S35" s="364">
        <f t="shared" si="17"/>
        <v>-2.5000000000000022E-3</v>
      </c>
      <c r="T35" s="144"/>
      <c r="U35" s="122"/>
    </row>
    <row r="36" spans="1:23" s="112" customFormat="1" ht="12.95" customHeight="1">
      <c r="A36" s="400">
        <v>28</v>
      </c>
      <c r="B36" s="368" t="s">
        <v>99</v>
      </c>
      <c r="C36" s="369" t="s">
        <v>98</v>
      </c>
      <c r="D36" s="321">
        <v>571960540.88</v>
      </c>
      <c r="E36" s="193">
        <v>5.2900000000000003E-2</v>
      </c>
      <c r="F36" s="69">
        <v>1000000</v>
      </c>
      <c r="G36" s="69">
        <v>1000000</v>
      </c>
      <c r="H36" s="334">
        <v>7.3899999999999993E-2</v>
      </c>
      <c r="I36" s="334">
        <v>7.3899999999999993E-2</v>
      </c>
      <c r="J36" s="321">
        <v>572794721.44000006</v>
      </c>
      <c r="K36" s="333">
        <f t="shared" si="13"/>
        <v>7.0064607323744115E-4</v>
      </c>
      <c r="L36" s="69">
        <v>1000000</v>
      </c>
      <c r="M36" s="69">
        <v>1000000</v>
      </c>
      <c r="N36" s="334">
        <v>7.3300000000000004E-2</v>
      </c>
      <c r="O36" s="334">
        <v>7.3300000000000004E-2</v>
      </c>
      <c r="P36" s="329">
        <f t="shared" si="14"/>
        <v>1.4584582333540331E-3</v>
      </c>
      <c r="Q36" s="329">
        <f t="shared" si="15"/>
        <v>0</v>
      </c>
      <c r="R36" s="329">
        <f t="shared" si="16"/>
        <v>-5.9999999999998943E-4</v>
      </c>
      <c r="S36" s="364">
        <f t="shared" si="17"/>
        <v>-5.9999999999998943E-4</v>
      </c>
      <c r="T36" s="144"/>
      <c r="U36" s="123"/>
    </row>
    <row r="37" spans="1:23" s="112" customFormat="1" ht="12.95" customHeight="1">
      <c r="A37" s="395">
        <v>29</v>
      </c>
      <c r="B37" s="368" t="s">
        <v>169</v>
      </c>
      <c r="C37" s="369" t="s">
        <v>168</v>
      </c>
      <c r="D37" s="321">
        <v>2203096766.54</v>
      </c>
      <c r="E37" s="193">
        <v>9.0300000000000005E-2</v>
      </c>
      <c r="F37" s="310">
        <v>1</v>
      </c>
      <c r="G37" s="310">
        <v>1</v>
      </c>
      <c r="H37" s="334">
        <v>0.13519999999999999</v>
      </c>
      <c r="I37" s="334">
        <v>0.13519999999999999</v>
      </c>
      <c r="J37" s="321">
        <v>2247105838.5500002</v>
      </c>
      <c r="K37" s="333">
        <f t="shared" si="13"/>
        <v>2.7486738669149995E-3</v>
      </c>
      <c r="L37" s="310">
        <v>1</v>
      </c>
      <c r="M37" s="310">
        <v>1</v>
      </c>
      <c r="N37" s="334">
        <v>0.1278</v>
      </c>
      <c r="O37" s="334">
        <v>0.1278</v>
      </c>
      <c r="P37" s="329">
        <f t="shared" si="14"/>
        <v>1.9976004993696762E-2</v>
      </c>
      <c r="Q37" s="329">
        <f t="shared" si="15"/>
        <v>0</v>
      </c>
      <c r="R37" s="329">
        <f t="shared" si="16"/>
        <v>-7.3999999999999899E-3</v>
      </c>
      <c r="S37" s="364">
        <f t="shared" si="17"/>
        <v>-7.3999999999999899E-3</v>
      </c>
      <c r="T37" s="144"/>
      <c r="U37" s="122"/>
    </row>
    <row r="38" spans="1:23" s="112" customFormat="1" ht="12.95" customHeight="1">
      <c r="A38" s="403">
        <v>30</v>
      </c>
      <c r="B38" s="368" t="s">
        <v>262</v>
      </c>
      <c r="C38" s="369" t="s">
        <v>133</v>
      </c>
      <c r="D38" s="321">
        <v>266633878.59</v>
      </c>
      <c r="E38" s="333">
        <f>(D38/$J$54)</f>
        <v>3.2614822210040389E-4</v>
      </c>
      <c r="F38" s="310">
        <v>1</v>
      </c>
      <c r="G38" s="310">
        <v>1</v>
      </c>
      <c r="H38" s="320">
        <v>7.4200000000000002E-2</v>
      </c>
      <c r="I38" s="320">
        <v>7.4200000000000002E-2</v>
      </c>
      <c r="J38" s="321">
        <v>286270616.13999999</v>
      </c>
      <c r="K38" s="333">
        <f t="shared" si="13"/>
        <v>3.5016800185852249E-4</v>
      </c>
      <c r="L38" s="310">
        <v>1</v>
      </c>
      <c r="M38" s="310">
        <v>1</v>
      </c>
      <c r="N38" s="320">
        <v>7.5899999999999995E-2</v>
      </c>
      <c r="O38" s="320">
        <v>7.5899999999999995E-2</v>
      </c>
      <c r="P38" s="329">
        <f t="shared" si="14"/>
        <v>7.3646821078559105E-2</v>
      </c>
      <c r="Q38" s="329">
        <f t="shared" si="15"/>
        <v>0</v>
      </c>
      <c r="R38" s="329">
        <f t="shared" si="16"/>
        <v>1.6999999999999932E-3</v>
      </c>
      <c r="S38" s="364">
        <f t="shared" si="17"/>
        <v>1.6999999999999932E-3</v>
      </c>
      <c r="T38" s="144"/>
      <c r="U38" s="122"/>
      <c r="V38" s="124"/>
    </row>
    <row r="39" spans="1:23" s="112" customFormat="1" ht="12.95" customHeight="1">
      <c r="A39" s="400">
        <v>31</v>
      </c>
      <c r="B39" s="368" t="s">
        <v>14</v>
      </c>
      <c r="C39" s="369" t="s">
        <v>185</v>
      </c>
      <c r="D39" s="321">
        <v>191887392821.85001</v>
      </c>
      <c r="E39" s="193">
        <v>6.2600000000000003E-2</v>
      </c>
      <c r="F39" s="310">
        <v>100</v>
      </c>
      <c r="G39" s="310">
        <v>100</v>
      </c>
      <c r="H39" s="334">
        <v>-4.19E-2</v>
      </c>
      <c r="I39" s="334">
        <v>0.1084</v>
      </c>
      <c r="J39" s="321">
        <v>191069692937.47</v>
      </c>
      <c r="K39" s="333">
        <f t="shared" si="13"/>
        <v>0.2337176392526254</v>
      </c>
      <c r="L39" s="310">
        <v>100</v>
      </c>
      <c r="M39" s="310">
        <v>100</v>
      </c>
      <c r="N39" s="334">
        <v>0.1084</v>
      </c>
      <c r="O39" s="334">
        <v>0.1084</v>
      </c>
      <c r="P39" s="329">
        <f t="shared" si="14"/>
        <v>-4.2613528296732081E-3</v>
      </c>
      <c r="Q39" s="329">
        <f t="shared" si="15"/>
        <v>0</v>
      </c>
      <c r="R39" s="329">
        <f t="shared" si="16"/>
        <v>0.15029999999999999</v>
      </c>
      <c r="S39" s="364">
        <f t="shared" si="17"/>
        <v>0</v>
      </c>
      <c r="T39" s="153"/>
      <c r="U39" s="432"/>
      <c r="V39" s="186"/>
    </row>
    <row r="40" spans="1:23" s="112" customFormat="1" ht="12.95" customHeight="1">
      <c r="A40" s="399">
        <v>32</v>
      </c>
      <c r="B40" s="368" t="s">
        <v>122</v>
      </c>
      <c r="C40" s="369" t="s">
        <v>175</v>
      </c>
      <c r="D40" s="321">
        <v>572662387.32000005</v>
      </c>
      <c r="E40" s="193">
        <v>4.9799999999999997E-2</v>
      </c>
      <c r="F40" s="310">
        <v>10</v>
      </c>
      <c r="G40" s="310">
        <v>10</v>
      </c>
      <c r="H40" s="334">
        <v>9.0499999999999997E-2</v>
      </c>
      <c r="I40" s="334">
        <v>9.0499999999999997E-2</v>
      </c>
      <c r="J40" s="321">
        <v>587883712.46000004</v>
      </c>
      <c r="K40" s="333">
        <f t="shared" si="13"/>
        <v>7.1910302109600376E-4</v>
      </c>
      <c r="L40" s="310">
        <v>10</v>
      </c>
      <c r="M40" s="310">
        <v>10</v>
      </c>
      <c r="N40" s="334">
        <v>8.6800000000000002E-2</v>
      </c>
      <c r="O40" s="334">
        <v>8.6800000000000002E-2</v>
      </c>
      <c r="P40" s="109">
        <f t="shared" si="14"/>
        <v>2.6579928203830868E-2</v>
      </c>
      <c r="Q40" s="329">
        <f t="shared" si="15"/>
        <v>0</v>
      </c>
      <c r="R40" s="329">
        <f t="shared" si="16"/>
        <v>-3.699999999999995E-3</v>
      </c>
      <c r="S40" s="364">
        <f t="shared" si="17"/>
        <v>-3.699999999999995E-3</v>
      </c>
      <c r="T40" s="155"/>
      <c r="U40" s="432"/>
      <c r="V40" s="186"/>
    </row>
    <row r="41" spans="1:23" s="112" customFormat="1" ht="12.95" customHeight="1">
      <c r="A41" s="403">
        <v>33</v>
      </c>
      <c r="B41" s="368" t="s">
        <v>86</v>
      </c>
      <c r="C41" s="369" t="s">
        <v>87</v>
      </c>
      <c r="D41" s="321">
        <v>2297935491.6891432</v>
      </c>
      <c r="E41" s="193">
        <v>4.2599999999999999E-2</v>
      </c>
      <c r="F41" s="310">
        <v>100</v>
      </c>
      <c r="G41" s="310">
        <v>100</v>
      </c>
      <c r="H41" s="334">
        <v>0.10100000000000001</v>
      </c>
      <c r="I41" s="334">
        <v>9.01E-2</v>
      </c>
      <c r="J41" s="321">
        <v>2297191442.3656645</v>
      </c>
      <c r="K41" s="333">
        <f t="shared" si="13"/>
        <v>2.8099388896633756E-3</v>
      </c>
      <c r="L41" s="310">
        <v>100</v>
      </c>
      <c r="M41" s="310">
        <v>100</v>
      </c>
      <c r="N41" s="334">
        <v>9.8000000000000004E-2</v>
      </c>
      <c r="O41" s="334">
        <v>8.0500000000000002E-2</v>
      </c>
      <c r="P41" s="329">
        <f t="shared" si="14"/>
        <v>-3.2379034405868829E-4</v>
      </c>
      <c r="Q41" s="329">
        <f t="shared" si="15"/>
        <v>0</v>
      </c>
      <c r="R41" s="329">
        <f t="shared" si="16"/>
        <v>-3.0000000000000027E-3</v>
      </c>
      <c r="S41" s="364">
        <f t="shared" si="17"/>
        <v>-9.5999999999999974E-3</v>
      </c>
      <c r="T41" s="146"/>
      <c r="U41" s="122"/>
    </row>
    <row r="42" spans="1:23" s="330" customFormat="1" ht="12.95" customHeight="1">
      <c r="A42" s="397">
        <v>34</v>
      </c>
      <c r="B42" s="368" t="s">
        <v>278</v>
      </c>
      <c r="C42" s="369" t="s">
        <v>243</v>
      </c>
      <c r="D42" s="321">
        <v>18624859998.630001</v>
      </c>
      <c r="E42" s="193">
        <v>4.7199999999999999E-2</v>
      </c>
      <c r="F42" s="310">
        <v>100</v>
      </c>
      <c r="G42" s="310">
        <v>100</v>
      </c>
      <c r="H42" s="334">
        <v>9.8299999999999998E-2</v>
      </c>
      <c r="I42" s="334">
        <v>0.1087</v>
      </c>
      <c r="J42" s="321">
        <v>19027610965</v>
      </c>
      <c r="K42" s="333">
        <f t="shared" ref="K42" si="18">(J42/$J$54)</f>
        <v>2.3274692322934418E-2</v>
      </c>
      <c r="L42" s="310">
        <v>100</v>
      </c>
      <c r="M42" s="310">
        <v>100</v>
      </c>
      <c r="N42" s="334">
        <v>9.5100000000000004E-2</v>
      </c>
      <c r="O42" s="334">
        <v>9.6500000000000002E-2</v>
      </c>
      <c r="P42" s="329">
        <f t="shared" ref="P42" si="19">((J42-D42)/D42)</f>
        <v>2.1624375506695045E-2</v>
      </c>
      <c r="Q42" s="329">
        <f t="shared" ref="Q42" si="20">((M42-G42)/G42)</f>
        <v>0</v>
      </c>
      <c r="R42" s="329">
        <f t="shared" ref="R42" si="21">N42-H42</f>
        <v>-3.1999999999999945E-3</v>
      </c>
      <c r="S42" s="364">
        <f t="shared" ref="S42" si="22">O42-I42</f>
        <v>-1.2200000000000003E-2</v>
      </c>
      <c r="T42" s="146"/>
      <c r="U42" s="122"/>
    </row>
    <row r="43" spans="1:23" s="112" customFormat="1" ht="12.95" customHeight="1">
      <c r="A43" s="396">
        <v>35</v>
      </c>
      <c r="B43" s="368" t="s">
        <v>121</v>
      </c>
      <c r="C43" s="369" t="s">
        <v>132</v>
      </c>
      <c r="D43" s="321">
        <v>3303707470.5599999</v>
      </c>
      <c r="E43" s="193">
        <v>4.8399999999999999E-2</v>
      </c>
      <c r="F43" s="310">
        <v>1</v>
      </c>
      <c r="G43" s="310">
        <v>1</v>
      </c>
      <c r="H43" s="334">
        <v>9.2399999999999996E-2</v>
      </c>
      <c r="I43" s="334">
        <v>9.2399999999999996E-2</v>
      </c>
      <c r="J43" s="321">
        <v>3223499113.8299999</v>
      </c>
      <c r="K43" s="333">
        <f t="shared" ref="K43:K53" si="23">(J43/$J$54)</f>
        <v>3.9430042066579008E-3</v>
      </c>
      <c r="L43" s="310">
        <v>1</v>
      </c>
      <c r="M43" s="310">
        <v>1</v>
      </c>
      <c r="N43" s="334">
        <v>9.3299999999999994E-2</v>
      </c>
      <c r="O43" s="334">
        <v>9.3299999999999994E-2</v>
      </c>
      <c r="P43" s="109">
        <f t="shared" si="14"/>
        <v>-2.4278286574932188E-2</v>
      </c>
      <c r="Q43" s="109">
        <f t="shared" si="15"/>
        <v>0</v>
      </c>
      <c r="R43" s="329">
        <f t="shared" si="16"/>
        <v>8.9999999999999802E-4</v>
      </c>
      <c r="S43" s="364">
        <f t="shared" si="17"/>
        <v>8.9999999999999802E-4</v>
      </c>
      <c r="T43" s="144"/>
      <c r="U43" s="160"/>
      <c r="V43" s="186"/>
    </row>
    <row r="44" spans="1:23" s="112" customFormat="1" ht="12.95" customHeight="1">
      <c r="A44" s="395">
        <v>36</v>
      </c>
      <c r="B44" s="368" t="s">
        <v>55</v>
      </c>
      <c r="C44" s="369" t="s">
        <v>54</v>
      </c>
      <c r="D44" s="316">
        <v>3002907899.8200002</v>
      </c>
      <c r="E44" s="193">
        <v>6.4500000000000002E-2</v>
      </c>
      <c r="F44" s="310">
        <v>10</v>
      </c>
      <c r="G44" s="310">
        <v>10</v>
      </c>
      <c r="H44" s="334">
        <v>0.1178</v>
      </c>
      <c r="I44" s="334">
        <v>0.1178</v>
      </c>
      <c r="J44" s="316">
        <v>3071845396.8600001</v>
      </c>
      <c r="K44" s="333">
        <f t="shared" si="23"/>
        <v>3.7575004348707462E-3</v>
      </c>
      <c r="L44" s="310">
        <v>10</v>
      </c>
      <c r="M44" s="310">
        <v>10</v>
      </c>
      <c r="N44" s="334">
        <v>0.1162</v>
      </c>
      <c r="O44" s="334">
        <v>0.1162</v>
      </c>
      <c r="P44" s="329">
        <f t="shared" si="14"/>
        <v>2.2956913545078155E-2</v>
      </c>
      <c r="Q44" s="329">
        <f t="shared" si="15"/>
        <v>0</v>
      </c>
      <c r="R44" s="329">
        <f t="shared" si="16"/>
        <v>-1.6000000000000042E-3</v>
      </c>
      <c r="S44" s="364">
        <f t="shared" si="17"/>
        <v>-1.6000000000000042E-3</v>
      </c>
      <c r="T44" s="144"/>
      <c r="U44" s="160"/>
      <c r="V44" s="186"/>
    </row>
    <row r="45" spans="1:23" s="112" customFormat="1" ht="12.95" customHeight="1">
      <c r="A45" s="395">
        <v>37</v>
      </c>
      <c r="B45" s="368" t="s">
        <v>188</v>
      </c>
      <c r="C45" s="369" t="s">
        <v>172</v>
      </c>
      <c r="D45" s="321">
        <v>3610394554.9899998</v>
      </c>
      <c r="E45" s="193">
        <v>7.8700000000000006E-2</v>
      </c>
      <c r="F45" s="310">
        <v>100</v>
      </c>
      <c r="G45" s="310">
        <v>100</v>
      </c>
      <c r="H45" s="334">
        <v>0.1226</v>
      </c>
      <c r="I45" s="334">
        <v>0.1226</v>
      </c>
      <c r="J45" s="321">
        <v>3715299710.0300002</v>
      </c>
      <c r="K45" s="333">
        <f t="shared" si="23"/>
        <v>4.5445777611017981E-3</v>
      </c>
      <c r="L45" s="310">
        <v>100</v>
      </c>
      <c r="M45" s="310">
        <v>100</v>
      </c>
      <c r="N45" s="334">
        <v>0.1198</v>
      </c>
      <c r="O45" s="334">
        <v>0.1198</v>
      </c>
      <c r="P45" s="329">
        <f t="shared" si="14"/>
        <v>2.9056424011887811E-2</v>
      </c>
      <c r="Q45" s="329">
        <f t="shared" si="15"/>
        <v>0</v>
      </c>
      <c r="R45" s="329">
        <f t="shared" si="16"/>
        <v>-2.7999999999999969E-3</v>
      </c>
      <c r="S45" s="364">
        <f t="shared" si="17"/>
        <v>-2.7999999999999969E-3</v>
      </c>
      <c r="T45" s="144"/>
      <c r="U45" s="122"/>
    </row>
    <row r="46" spans="1:23" s="112" customFormat="1" ht="12.95" customHeight="1">
      <c r="A46" s="403">
        <v>38</v>
      </c>
      <c r="B46" s="368" t="s">
        <v>162</v>
      </c>
      <c r="C46" s="369" t="s">
        <v>160</v>
      </c>
      <c r="D46" s="321">
        <v>140805259.56</v>
      </c>
      <c r="E46" s="193">
        <v>2.9985000000000001E-2</v>
      </c>
      <c r="F46" s="310">
        <v>1</v>
      </c>
      <c r="G46" s="310">
        <v>1</v>
      </c>
      <c r="H46" s="334">
        <v>7.0745000000000002E-2</v>
      </c>
      <c r="I46" s="334">
        <v>7.0745000000000002E-2</v>
      </c>
      <c r="J46" s="321">
        <v>140745259.96000001</v>
      </c>
      <c r="K46" s="333">
        <f t="shared" si="23"/>
        <v>1.7216047918501372E-4</v>
      </c>
      <c r="L46" s="310">
        <v>1</v>
      </c>
      <c r="M46" s="310">
        <v>1</v>
      </c>
      <c r="N46" s="334">
        <v>5.1299999999999998E-2</v>
      </c>
      <c r="O46" s="334">
        <v>5.1291000000000003E-2</v>
      </c>
      <c r="P46" s="329">
        <f t="shared" si="14"/>
        <v>-4.261176051767227E-4</v>
      </c>
      <c r="Q46" s="329">
        <f t="shared" si="15"/>
        <v>0</v>
      </c>
      <c r="R46" s="329">
        <f t="shared" si="16"/>
        <v>-1.9445000000000004E-2</v>
      </c>
      <c r="S46" s="364">
        <f t="shared" si="17"/>
        <v>-1.9453999999999999E-2</v>
      </c>
      <c r="T46" s="144"/>
      <c r="U46" s="122"/>
    </row>
    <row r="47" spans="1:23" s="112" customFormat="1" ht="12.95" customHeight="1">
      <c r="A47" s="398">
        <v>39</v>
      </c>
      <c r="B47" s="368" t="s">
        <v>95</v>
      </c>
      <c r="C47" s="369" t="s">
        <v>90</v>
      </c>
      <c r="D47" s="316">
        <v>659737414.15999997</v>
      </c>
      <c r="E47" s="193">
        <v>6.6600000000000006E-2</v>
      </c>
      <c r="F47" s="310">
        <v>10</v>
      </c>
      <c r="G47" s="310">
        <v>10</v>
      </c>
      <c r="H47" s="334">
        <v>9.2899999999999996E-2</v>
      </c>
      <c r="I47" s="334">
        <v>9.2899999999999996E-2</v>
      </c>
      <c r="J47" s="316">
        <v>669207531.46000004</v>
      </c>
      <c r="K47" s="333">
        <f t="shared" si="23"/>
        <v>8.1857882335161338E-4</v>
      </c>
      <c r="L47" s="310">
        <v>10</v>
      </c>
      <c r="M47" s="310">
        <v>10</v>
      </c>
      <c r="N47" s="334">
        <v>9.06E-2</v>
      </c>
      <c r="O47" s="334">
        <v>9.06E-2</v>
      </c>
      <c r="P47" s="329">
        <f t="shared" si="14"/>
        <v>1.4354373568547338E-2</v>
      </c>
      <c r="Q47" s="329">
        <f t="shared" si="15"/>
        <v>0</v>
      </c>
      <c r="R47" s="329">
        <f t="shared" si="16"/>
        <v>-2.2999999999999965E-3</v>
      </c>
      <c r="S47" s="364">
        <f t="shared" si="17"/>
        <v>-2.2999999999999965E-3</v>
      </c>
      <c r="T47" s="153"/>
      <c r="U47" s="122"/>
    </row>
    <row r="48" spans="1:23" s="112" customFormat="1" ht="12.95" customHeight="1">
      <c r="A48" s="404">
        <v>40</v>
      </c>
      <c r="B48" s="368" t="s">
        <v>34</v>
      </c>
      <c r="C48" s="369" t="s">
        <v>5</v>
      </c>
      <c r="D48" s="321">
        <v>347912159703.41998</v>
      </c>
      <c r="E48" s="193">
        <v>3.6200000000000003E-2</v>
      </c>
      <c r="F48" s="310">
        <v>100</v>
      </c>
      <c r="G48" s="310">
        <v>100</v>
      </c>
      <c r="H48" s="334">
        <v>0.10340000000000001</v>
      </c>
      <c r="I48" s="334">
        <v>0.10340000000000001</v>
      </c>
      <c r="J48" s="321">
        <v>347302845839.95001</v>
      </c>
      <c r="K48" s="333">
        <f t="shared" si="23"/>
        <v>0.4248230056139557</v>
      </c>
      <c r="L48" s="310">
        <v>100</v>
      </c>
      <c r="M48" s="310">
        <v>100</v>
      </c>
      <c r="N48" s="334">
        <v>0.1027</v>
      </c>
      <c r="O48" s="334">
        <v>0.1027</v>
      </c>
      <c r="P48" s="329">
        <f t="shared" si="14"/>
        <v>-1.7513439713903198E-3</v>
      </c>
      <c r="Q48" s="329">
        <f t="shared" si="15"/>
        <v>0</v>
      </c>
      <c r="R48" s="329">
        <f t="shared" si="16"/>
        <v>-7.0000000000000617E-4</v>
      </c>
      <c r="S48" s="364">
        <f t="shared" si="17"/>
        <v>-7.0000000000000617E-4</v>
      </c>
      <c r="T48" s="153"/>
      <c r="U48" s="122"/>
    </row>
    <row r="49" spans="1:23" s="112" customFormat="1" ht="12.95" customHeight="1">
      <c r="A49" s="397">
        <v>41</v>
      </c>
      <c r="B49" s="368" t="s">
        <v>150</v>
      </c>
      <c r="C49" s="369" t="s">
        <v>149</v>
      </c>
      <c r="D49" s="321">
        <v>1955331148.1600001</v>
      </c>
      <c r="E49" s="193">
        <v>5.3145060299999998E-2</v>
      </c>
      <c r="F49" s="310">
        <v>1</v>
      </c>
      <c r="G49" s="310">
        <v>1</v>
      </c>
      <c r="H49" s="334">
        <v>0.12567878536014349</v>
      </c>
      <c r="I49" s="334">
        <v>0.12567878536014349</v>
      </c>
      <c r="J49" s="321">
        <v>1871697039.27</v>
      </c>
      <c r="K49" s="333">
        <f t="shared" si="23"/>
        <v>2.2894714838814002E-3</v>
      </c>
      <c r="L49" s="310">
        <v>1</v>
      </c>
      <c r="M49" s="310">
        <v>1</v>
      </c>
      <c r="N49" s="334">
        <v>0.1310789078878698</v>
      </c>
      <c r="O49" s="334">
        <v>0.1310789078878698</v>
      </c>
      <c r="P49" s="329">
        <f t="shared" si="14"/>
        <v>-4.2772350334980967E-2</v>
      </c>
      <c r="Q49" s="329">
        <f t="shared" si="15"/>
        <v>0</v>
      </c>
      <c r="R49" s="329">
        <f t="shared" si="16"/>
        <v>5.4001225277263143E-3</v>
      </c>
      <c r="S49" s="364">
        <f t="shared" si="17"/>
        <v>5.4001225277263143E-3</v>
      </c>
      <c r="T49" s="144"/>
      <c r="U49" s="122"/>
    </row>
    <row r="50" spans="1:23" s="112" customFormat="1" ht="12.95" customHeight="1">
      <c r="A50" s="396">
        <v>42</v>
      </c>
      <c r="B50" s="368" t="s">
        <v>76</v>
      </c>
      <c r="C50" s="369" t="s">
        <v>41</v>
      </c>
      <c r="D50" s="321">
        <v>47016801670.660004</v>
      </c>
      <c r="E50" s="193">
        <v>5.2600000000000001E-2</v>
      </c>
      <c r="F50" s="310">
        <v>1</v>
      </c>
      <c r="G50" s="310">
        <v>1</v>
      </c>
      <c r="H50" s="334">
        <v>0.1022</v>
      </c>
      <c r="I50" s="334">
        <v>0.1022</v>
      </c>
      <c r="J50" s="321">
        <v>47758737757.550003</v>
      </c>
      <c r="K50" s="333">
        <f t="shared" si="23"/>
        <v>5.8418785683780519E-2</v>
      </c>
      <c r="L50" s="310">
        <v>1</v>
      </c>
      <c r="M50" s="310">
        <v>1</v>
      </c>
      <c r="N50" s="334">
        <v>9.8799999999999999E-2</v>
      </c>
      <c r="O50" s="334">
        <v>9.8799999999999999E-2</v>
      </c>
      <c r="P50" s="329">
        <f t="shared" si="14"/>
        <v>1.578023303428977E-2</v>
      </c>
      <c r="Q50" s="329">
        <f t="shared" si="15"/>
        <v>0</v>
      </c>
      <c r="R50" s="329">
        <f t="shared" si="16"/>
        <v>-3.4000000000000002E-3</v>
      </c>
      <c r="S50" s="364">
        <f t="shared" si="17"/>
        <v>-3.4000000000000002E-3</v>
      </c>
      <c r="T50" s="144"/>
      <c r="U50" s="122"/>
    </row>
    <row r="51" spans="1:23" s="112" customFormat="1" ht="12.95" customHeight="1">
      <c r="A51" s="396">
        <v>43</v>
      </c>
      <c r="B51" s="368" t="s">
        <v>159</v>
      </c>
      <c r="C51" s="369" t="s">
        <v>106</v>
      </c>
      <c r="D51" s="321">
        <v>1746093745.9000001</v>
      </c>
      <c r="E51" s="193">
        <v>6.4199999999999993E-2</v>
      </c>
      <c r="F51" s="310">
        <v>1</v>
      </c>
      <c r="G51" s="310">
        <v>1</v>
      </c>
      <c r="H51" s="334">
        <v>7.5700000000000003E-2</v>
      </c>
      <c r="I51" s="334">
        <v>7.5700000000000003E-2</v>
      </c>
      <c r="J51" s="321">
        <v>1747483379.8699999</v>
      </c>
      <c r="K51" s="333">
        <f t="shared" si="23"/>
        <v>2.1375325615354138E-3</v>
      </c>
      <c r="L51" s="310">
        <v>1</v>
      </c>
      <c r="M51" s="310">
        <v>1</v>
      </c>
      <c r="N51" s="334">
        <v>6.93E-2</v>
      </c>
      <c r="O51" s="334">
        <v>6.93E-2</v>
      </c>
      <c r="P51" s="329">
        <f t="shared" si="14"/>
        <v>7.9585301377018704E-4</v>
      </c>
      <c r="Q51" s="329">
        <f t="shared" si="15"/>
        <v>0</v>
      </c>
      <c r="R51" s="329">
        <f t="shared" si="16"/>
        <v>-6.4000000000000029E-3</v>
      </c>
      <c r="S51" s="364">
        <f t="shared" si="17"/>
        <v>-6.4000000000000029E-3</v>
      </c>
      <c r="T51" s="88"/>
      <c r="U51" s="122"/>
    </row>
    <row r="52" spans="1:23" s="112" customFormat="1" ht="12.95" customHeight="1">
      <c r="A52" s="403">
        <v>44</v>
      </c>
      <c r="B52" s="368" t="s">
        <v>131</v>
      </c>
      <c r="C52" s="369" t="s">
        <v>38</v>
      </c>
      <c r="D52" s="321">
        <v>1455997321.7</v>
      </c>
      <c r="E52" s="193">
        <v>2.2200000000000001E-2</v>
      </c>
      <c r="F52" s="310">
        <v>1</v>
      </c>
      <c r="G52" s="310">
        <v>1</v>
      </c>
      <c r="H52" s="334">
        <v>0.1075</v>
      </c>
      <c r="I52" s="334">
        <v>0.1075</v>
      </c>
      <c r="J52" s="321">
        <v>1502214044.52</v>
      </c>
      <c r="K52" s="333">
        <f t="shared" si="23"/>
        <v>1.8375175818817729E-3</v>
      </c>
      <c r="L52" s="310">
        <v>1</v>
      </c>
      <c r="M52" s="310">
        <v>1</v>
      </c>
      <c r="N52" s="334">
        <v>0.1075</v>
      </c>
      <c r="O52" s="334">
        <v>0.1075</v>
      </c>
      <c r="P52" s="329">
        <f t="shared" si="14"/>
        <v>3.1742313073789177E-2</v>
      </c>
      <c r="Q52" s="329">
        <f t="shared" si="15"/>
        <v>0</v>
      </c>
      <c r="R52" s="329">
        <f t="shared" si="16"/>
        <v>0</v>
      </c>
      <c r="S52" s="364">
        <f t="shared" si="17"/>
        <v>0</v>
      </c>
      <c r="U52" s="122"/>
    </row>
    <row r="53" spans="1:23" s="112" customFormat="1" ht="12.95" customHeight="1">
      <c r="A53" s="399">
        <v>45</v>
      </c>
      <c r="B53" s="368" t="s">
        <v>112</v>
      </c>
      <c r="C53" s="369" t="s">
        <v>12</v>
      </c>
      <c r="D53" s="321">
        <v>23671739562.240002</v>
      </c>
      <c r="E53" s="193">
        <v>5.9200000000000003E-2</v>
      </c>
      <c r="F53" s="310">
        <v>1</v>
      </c>
      <c r="G53" s="310">
        <v>1</v>
      </c>
      <c r="H53" s="334">
        <v>0.10489999999999999</v>
      </c>
      <c r="I53" s="334">
        <v>0.10489999999999999</v>
      </c>
      <c r="J53" s="321">
        <v>24313594778.380001</v>
      </c>
      <c r="K53" s="333">
        <f t="shared" si="23"/>
        <v>2.9740540668621945E-2</v>
      </c>
      <c r="L53" s="310">
        <v>1</v>
      </c>
      <c r="M53" s="310">
        <v>1</v>
      </c>
      <c r="N53" s="334">
        <v>0.1043</v>
      </c>
      <c r="O53" s="334">
        <v>0.1043</v>
      </c>
      <c r="P53" s="329">
        <f t="shared" si="14"/>
        <v>2.7114830933838735E-2</v>
      </c>
      <c r="Q53" s="329">
        <f t="shared" si="15"/>
        <v>0</v>
      </c>
      <c r="R53" s="329">
        <f t="shared" si="16"/>
        <v>-5.9999999999998943E-4</v>
      </c>
      <c r="S53" s="364">
        <f t="shared" si="17"/>
        <v>-5.9999999999998943E-4</v>
      </c>
      <c r="T53" s="161"/>
      <c r="U53" s="122"/>
    </row>
    <row r="54" spans="1:23" s="112" customFormat="1" ht="12.95" customHeight="1">
      <c r="A54" s="214"/>
      <c r="C54" s="244" t="s">
        <v>42</v>
      </c>
      <c r="D54" s="76">
        <f>SUM(D25:D53)</f>
        <v>816758455712.61926</v>
      </c>
      <c r="E54" s="262">
        <f>(D54/$D$168)</f>
        <v>0.45799038213076682</v>
      </c>
      <c r="F54" s="264"/>
      <c r="G54" s="73"/>
      <c r="H54" s="280"/>
      <c r="I54" s="280"/>
      <c r="J54" s="76">
        <f>SUM(J25:J53)</f>
        <v>817523630430.57593</v>
      </c>
      <c r="K54" s="262">
        <f>(J54/$J$168)</f>
        <v>0.4360048423883634</v>
      </c>
      <c r="L54" s="264"/>
      <c r="M54" s="73"/>
      <c r="N54" s="280"/>
      <c r="O54" s="280"/>
      <c r="P54" s="266">
        <f t="shared" ref="P54" si="24">((J54-D54)/D54)</f>
        <v>9.3684333795975515E-4</v>
      </c>
      <c r="Q54" s="266"/>
      <c r="R54" s="266">
        <f t="shared" ref="R54:S54" si="25">N54-H54</f>
        <v>0</v>
      </c>
      <c r="S54" s="364">
        <f t="shared" si="25"/>
        <v>0</v>
      </c>
    </row>
    <row r="55" spans="1:23" s="112" customFormat="1" ht="4.5" customHeight="1">
      <c r="A55" s="410">
        <v>1</v>
      </c>
      <c r="B55" s="411"/>
      <c r="C55" s="412"/>
      <c r="D55" s="412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25"/>
    </row>
    <row r="56" spans="1:23" s="112" customFormat="1" ht="12.95" customHeight="1">
      <c r="A56" s="417" t="s">
        <v>263</v>
      </c>
      <c r="B56" s="418"/>
      <c r="C56" s="419"/>
      <c r="D56" s="419"/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9"/>
      <c r="S56" s="420"/>
      <c r="V56" s="124"/>
      <c r="W56" s="125"/>
    </row>
    <row r="57" spans="1:23" s="112" customFormat="1" ht="12.95" customHeight="1">
      <c r="A57" s="400">
        <v>46</v>
      </c>
      <c r="B57" s="368" t="s">
        <v>138</v>
      </c>
      <c r="C57" s="369" t="s">
        <v>135</v>
      </c>
      <c r="D57" s="326">
        <v>438176583.14999998</v>
      </c>
      <c r="E57" s="333">
        <f>(D57/$D$87)</f>
        <v>1.3793630508036822E-3</v>
      </c>
      <c r="F57" s="327">
        <v>1.2897000000000001</v>
      </c>
      <c r="G57" s="327">
        <v>1.2897000000000001</v>
      </c>
      <c r="H57" s="334">
        <v>-6.1899999999999998E-4</v>
      </c>
      <c r="I57" s="334">
        <v>4.7500000000000001E-2</v>
      </c>
      <c r="J57" s="326">
        <v>441747390.16000003</v>
      </c>
      <c r="K57" s="333">
        <f t="shared" ref="K57:K76" si="26">(J57/$J$87)</f>
        <v>1.348643474403693E-3</v>
      </c>
      <c r="L57" s="327">
        <v>1.2982</v>
      </c>
      <c r="M57" s="327">
        <v>1.2982</v>
      </c>
      <c r="N57" s="334">
        <v>6.2459999999999998E-3</v>
      </c>
      <c r="O57" s="334">
        <v>5.4399999999999997E-2</v>
      </c>
      <c r="P57" s="329">
        <v>-8.3999999999999995E-5</v>
      </c>
      <c r="Q57" s="329">
        <f t="shared" ref="Q57:Q67" si="27">((M57-G57)/G57)</f>
        <v>6.590680003101459E-3</v>
      </c>
      <c r="R57" s="329">
        <f t="shared" ref="R57:R86" si="28">N57-H57</f>
        <v>6.8649999999999996E-3</v>
      </c>
      <c r="S57" s="364">
        <f t="shared" ref="S57:S86" si="29">O57-I57</f>
        <v>6.8999999999999964E-3</v>
      </c>
      <c r="T57" s="144"/>
    </row>
    <row r="58" spans="1:23" s="112" customFormat="1" ht="12.95" customHeight="1">
      <c r="A58" s="400">
        <v>47</v>
      </c>
      <c r="B58" s="368" t="s">
        <v>144</v>
      </c>
      <c r="C58" s="369" t="s">
        <v>6</v>
      </c>
      <c r="D58" s="326">
        <v>993025846.11000001</v>
      </c>
      <c r="E58" s="333">
        <f>(D58/$D$87)</f>
        <v>3.1260072155619881E-3</v>
      </c>
      <c r="F58" s="327">
        <v>1.1324000000000001</v>
      </c>
      <c r="G58" s="327">
        <v>1.1324000000000001</v>
      </c>
      <c r="H58" s="334">
        <v>4.8899999999999999E-2</v>
      </c>
      <c r="I58" s="334">
        <v>-0.29759999999999998</v>
      </c>
      <c r="J58" s="326">
        <v>572772340.07000005</v>
      </c>
      <c r="K58" s="333">
        <f t="shared" si="26"/>
        <v>1.7486592925304051E-3</v>
      </c>
      <c r="L58" s="327">
        <v>1.1323000000000001</v>
      </c>
      <c r="M58" s="327">
        <v>1.1323000000000001</v>
      </c>
      <c r="N58" s="334">
        <v>-4.5999999999999999E-3</v>
      </c>
      <c r="O58" s="334">
        <v>4.6800000000000001E-2</v>
      </c>
      <c r="P58" s="329">
        <f t="shared" ref="P58:P67" si="30">((J58-D58)/D58)</f>
        <v>-0.42320500285694218</v>
      </c>
      <c r="Q58" s="329">
        <f t="shared" si="27"/>
        <v>-8.8308018368058087E-5</v>
      </c>
      <c r="R58" s="329">
        <f t="shared" si="28"/>
        <v>-5.3499999999999999E-2</v>
      </c>
      <c r="S58" s="364">
        <f t="shared" si="29"/>
        <v>0.34439999999999998</v>
      </c>
      <c r="T58" s="144"/>
      <c r="U58" s="126"/>
    </row>
    <row r="59" spans="1:23" s="112" customFormat="1" ht="12.95" customHeight="1">
      <c r="A59" s="400">
        <v>48</v>
      </c>
      <c r="B59" s="368" t="s">
        <v>226</v>
      </c>
      <c r="C59" s="369" t="s">
        <v>6</v>
      </c>
      <c r="D59" s="326">
        <v>840701547.28999996</v>
      </c>
      <c r="E59" s="333">
        <f>(D59/$D$87)</f>
        <v>2.6464961745532988E-3</v>
      </c>
      <c r="F59" s="327">
        <v>1.0261</v>
      </c>
      <c r="G59" s="327">
        <v>1.0261</v>
      </c>
      <c r="H59" s="334">
        <v>-1.9599999999999999E-2</v>
      </c>
      <c r="I59" s="334">
        <v>-1.8431999999999999</v>
      </c>
      <c r="J59" s="326">
        <v>591074536.51999998</v>
      </c>
      <c r="K59" s="333">
        <f t="shared" si="26"/>
        <v>1.8045354297965622E-3</v>
      </c>
      <c r="L59" s="327">
        <v>1.0271999999999999</v>
      </c>
      <c r="M59" s="327">
        <v>1.0271999999999999</v>
      </c>
      <c r="N59" s="334">
        <v>5.5899999999999998E-2</v>
      </c>
      <c r="O59" s="334">
        <v>-1.66E-2</v>
      </c>
      <c r="P59" s="329">
        <f t="shared" si="30"/>
        <v>-0.29692702668940274</v>
      </c>
      <c r="Q59" s="329">
        <f t="shared" si="27"/>
        <v>1.0720202709286412E-3</v>
      </c>
      <c r="R59" s="329">
        <f t="shared" si="28"/>
        <v>7.5499999999999998E-2</v>
      </c>
      <c r="S59" s="364">
        <f t="shared" si="29"/>
        <v>1.8266</v>
      </c>
      <c r="T59" s="144"/>
      <c r="U59" s="127"/>
      <c r="V59" s="120"/>
    </row>
    <row r="60" spans="1:23" s="128" customFormat="1" ht="12.95" customHeight="1">
      <c r="A60" s="403">
        <v>49</v>
      </c>
      <c r="B60" s="368" t="s">
        <v>167</v>
      </c>
      <c r="C60" s="369" t="s">
        <v>147</v>
      </c>
      <c r="D60" s="326">
        <v>250569426.77000001</v>
      </c>
      <c r="E60" s="333">
        <f>(D60/$D$87)</f>
        <v>7.8878292961922071E-4</v>
      </c>
      <c r="F60" s="74">
        <v>1094.24</v>
      </c>
      <c r="G60" s="74">
        <v>1094.24</v>
      </c>
      <c r="H60" s="334">
        <v>1.6999999999999999E-3</v>
      </c>
      <c r="I60" s="334">
        <v>5.3100000000000001E-2</v>
      </c>
      <c r="J60" s="326">
        <v>252584086.44</v>
      </c>
      <c r="K60" s="333">
        <f t="shared" si="26"/>
        <v>7.7113275030814114E-4</v>
      </c>
      <c r="L60" s="74">
        <v>1104.05</v>
      </c>
      <c r="M60" s="74">
        <v>1104.05</v>
      </c>
      <c r="N60" s="334">
        <v>-8.9999999999999998E-4</v>
      </c>
      <c r="O60" s="334">
        <v>5.3199999999999997E-2</v>
      </c>
      <c r="P60" s="329">
        <f t="shared" si="30"/>
        <v>8.040325174424658E-3</v>
      </c>
      <c r="Q60" s="329">
        <f t="shared" si="27"/>
        <v>8.9651264804795523E-3</v>
      </c>
      <c r="R60" s="329">
        <f t="shared" si="28"/>
        <v>-2.5999999999999999E-3</v>
      </c>
      <c r="S60" s="364">
        <f t="shared" si="29"/>
        <v>9.9999999999995925E-5</v>
      </c>
      <c r="T60" s="153"/>
      <c r="U60" s="162"/>
    </row>
    <row r="61" spans="1:23" s="112" customFormat="1" ht="12.95" customHeight="1">
      <c r="A61" s="403">
        <v>50</v>
      </c>
      <c r="B61" s="368" t="s">
        <v>176</v>
      </c>
      <c r="C61" s="369" t="s">
        <v>177</v>
      </c>
      <c r="D61" s="326">
        <v>1380876684.46</v>
      </c>
      <c r="E61" s="333">
        <f>(D61/$J$87)</f>
        <v>4.2157811702716831E-3</v>
      </c>
      <c r="F61" s="74">
        <v>1.0422</v>
      </c>
      <c r="G61" s="74">
        <v>1.0422</v>
      </c>
      <c r="H61" s="334">
        <v>1.6999999999999999E-3</v>
      </c>
      <c r="I61" s="334">
        <v>3.9699999999999999E-2</v>
      </c>
      <c r="J61" s="326">
        <v>1375989298.0699999</v>
      </c>
      <c r="K61" s="333">
        <f t="shared" si="26"/>
        <v>4.2008601047292789E-3</v>
      </c>
      <c r="L61" s="74">
        <v>1.044</v>
      </c>
      <c r="M61" s="74">
        <v>1.044</v>
      </c>
      <c r="N61" s="334">
        <v>1.2999999999999999E-3</v>
      </c>
      <c r="O61" s="334">
        <v>4.1099999999999998E-2</v>
      </c>
      <c r="P61" s="329">
        <f t="shared" si="30"/>
        <v>-3.5393358762599038E-3</v>
      </c>
      <c r="Q61" s="329">
        <f t="shared" si="27"/>
        <v>1.7271157167530454E-3</v>
      </c>
      <c r="R61" s="329">
        <f t="shared" si="28"/>
        <v>-3.9999999999999996E-4</v>
      </c>
      <c r="S61" s="364">
        <f t="shared" si="29"/>
        <v>1.3999999999999985E-3</v>
      </c>
      <c r="T61" s="144"/>
      <c r="U61" s="131"/>
      <c r="V61" s="131"/>
    </row>
    <row r="62" spans="1:23" s="112" customFormat="1" ht="12.95" customHeight="1">
      <c r="A62" s="399">
        <v>51</v>
      </c>
      <c r="B62" s="368" t="s">
        <v>105</v>
      </c>
      <c r="C62" s="369" t="s">
        <v>102</v>
      </c>
      <c r="D62" s="326">
        <v>427641327.52999997</v>
      </c>
      <c r="E62" s="333">
        <f t="shared" ref="E62:E86" si="31">(D62/$D$87)</f>
        <v>1.3461984708333619E-3</v>
      </c>
      <c r="F62" s="74">
        <v>2.2075999999999998</v>
      </c>
      <c r="G62" s="74">
        <v>2.2075999999999998</v>
      </c>
      <c r="H62" s="334">
        <v>9.7020973127162388E-2</v>
      </c>
      <c r="I62" s="334">
        <v>0.17741682479588491</v>
      </c>
      <c r="J62" s="326">
        <v>426641143.81999999</v>
      </c>
      <c r="K62" s="333">
        <f t="shared" si="26"/>
        <v>1.3025244910141213E-3</v>
      </c>
      <c r="L62" s="74">
        <v>2.2023999999999999</v>
      </c>
      <c r="M62" s="74">
        <v>2.2023999999999999</v>
      </c>
      <c r="N62" s="334">
        <v>-0.12282245748453093</v>
      </c>
      <c r="O62" s="334">
        <v>0.16505545656365828</v>
      </c>
      <c r="P62" s="109">
        <f t="shared" si="30"/>
        <v>-2.3388378194804231E-3</v>
      </c>
      <c r="Q62" s="109">
        <f t="shared" si="27"/>
        <v>-2.3554991846348396E-3</v>
      </c>
      <c r="R62" s="329">
        <f t="shared" si="28"/>
        <v>-0.21984343061169331</v>
      </c>
      <c r="S62" s="364">
        <f t="shared" si="29"/>
        <v>-1.2361368232226638E-2</v>
      </c>
      <c r="T62" s="144"/>
      <c r="U62" s="131"/>
      <c r="V62" s="131"/>
    </row>
    <row r="63" spans="1:23" s="112" customFormat="1" ht="12" customHeight="1">
      <c r="A63" s="400">
        <v>52</v>
      </c>
      <c r="B63" s="368" t="s">
        <v>18</v>
      </c>
      <c r="C63" s="369" t="s">
        <v>7</v>
      </c>
      <c r="D63" s="326">
        <v>3349492057.9685998</v>
      </c>
      <c r="E63" s="333">
        <f t="shared" si="31"/>
        <v>1.0544072324697144E-2</v>
      </c>
      <c r="F63" s="326">
        <v>3841.8106843473502</v>
      </c>
      <c r="G63" s="326">
        <v>3841.8106843473502</v>
      </c>
      <c r="H63" s="334">
        <v>7.6316391682786033E-2</v>
      </c>
      <c r="I63" s="334">
        <v>7.6366885497142767E-2</v>
      </c>
      <c r="J63" s="326">
        <v>3355160303.19665</v>
      </c>
      <c r="K63" s="333">
        <f t="shared" si="26"/>
        <v>1.0243218520986764E-2</v>
      </c>
      <c r="L63" s="326">
        <v>3847.2670315517398</v>
      </c>
      <c r="M63" s="326">
        <v>3847.2670315517398</v>
      </c>
      <c r="N63" s="334">
        <v>7.4056104315470869E-2</v>
      </c>
      <c r="O63" s="334">
        <v>7.6378020066060745E-2</v>
      </c>
      <c r="P63" s="329">
        <f t="shared" si="30"/>
        <v>1.6922700904948285E-3</v>
      </c>
      <c r="Q63" s="329">
        <f t="shared" si="27"/>
        <v>1.4202540553651948E-3</v>
      </c>
      <c r="R63" s="329">
        <f t="shared" si="28"/>
        <v>-2.2602873673151641E-3</v>
      </c>
      <c r="S63" s="364">
        <f t="shared" si="29"/>
        <v>1.1134568917978149E-5</v>
      </c>
      <c r="T63" s="144"/>
      <c r="U63" s="164"/>
      <c r="V63" s="131"/>
    </row>
    <row r="64" spans="1:23" s="112" customFormat="1" ht="12.75" customHeight="1">
      <c r="A64" s="400">
        <v>53</v>
      </c>
      <c r="B64" s="368" t="s">
        <v>222</v>
      </c>
      <c r="C64" s="369" t="s">
        <v>88</v>
      </c>
      <c r="D64" s="326">
        <v>334531774.12</v>
      </c>
      <c r="E64" s="333">
        <f t="shared" si="31"/>
        <v>1.0530931735869772E-3</v>
      </c>
      <c r="F64" s="327">
        <v>106</v>
      </c>
      <c r="G64" s="327">
        <v>106</v>
      </c>
      <c r="H64" s="334">
        <v>1.9E-3</v>
      </c>
      <c r="I64" s="334">
        <v>8.8499999999999995E-2</v>
      </c>
      <c r="J64" s="326">
        <v>325338460.38999999</v>
      </c>
      <c r="K64" s="333">
        <f t="shared" si="26"/>
        <v>9.9324999162665761E-4</v>
      </c>
      <c r="L64" s="327">
        <v>106.19</v>
      </c>
      <c r="M64" s="327">
        <v>106.19</v>
      </c>
      <c r="N64" s="334">
        <v>1.8E-3</v>
      </c>
      <c r="O64" s="334">
        <v>0.1022</v>
      </c>
      <c r="P64" s="329">
        <f t="shared" si="30"/>
        <v>-2.7481137641359839E-2</v>
      </c>
      <c r="Q64" s="329">
        <f t="shared" si="27"/>
        <v>1.7924528301886578E-3</v>
      </c>
      <c r="R64" s="329">
        <f t="shared" si="28"/>
        <v>-1.0000000000000005E-4</v>
      </c>
      <c r="S64" s="364">
        <f t="shared" si="29"/>
        <v>1.3700000000000004E-2</v>
      </c>
      <c r="T64" s="146"/>
      <c r="U64" s="184"/>
      <c r="V64" s="165"/>
    </row>
    <row r="65" spans="1:23" s="112" customFormat="1" ht="12" customHeight="1">
      <c r="A65" s="403">
        <v>54</v>
      </c>
      <c r="B65" s="368" t="s">
        <v>110</v>
      </c>
      <c r="C65" s="369" t="s">
        <v>107</v>
      </c>
      <c r="D65" s="326">
        <v>348172202.95999998</v>
      </c>
      <c r="E65" s="333">
        <f t="shared" si="31"/>
        <v>1.0960327195658E-3</v>
      </c>
      <c r="F65" s="327">
        <v>1.4218999999999999</v>
      </c>
      <c r="G65" s="327">
        <v>1.4218999999999999</v>
      </c>
      <c r="H65" s="334">
        <v>-4.0000000000000002E-4</v>
      </c>
      <c r="I65" s="334">
        <v>6.0199999999999997E-2</v>
      </c>
      <c r="J65" s="326">
        <v>352998746.98000002</v>
      </c>
      <c r="K65" s="333">
        <f t="shared" si="26"/>
        <v>1.0776961385438541E-3</v>
      </c>
      <c r="L65" s="327">
        <v>1.4416</v>
      </c>
      <c r="M65" s="327">
        <v>1.4416</v>
      </c>
      <c r="N65" s="334">
        <v>1.3899999999999999E-2</v>
      </c>
      <c r="O65" s="334">
        <v>7.4200000000000002E-2</v>
      </c>
      <c r="P65" s="329">
        <f t="shared" si="30"/>
        <v>1.3862519692746815E-2</v>
      </c>
      <c r="Q65" s="329">
        <f t="shared" si="27"/>
        <v>1.3854701455798616E-2</v>
      </c>
      <c r="R65" s="329">
        <f t="shared" si="28"/>
        <v>1.4299999999999998E-2</v>
      </c>
      <c r="S65" s="364">
        <f t="shared" si="29"/>
        <v>1.4000000000000005E-2</v>
      </c>
      <c r="T65" s="153"/>
      <c r="U65" s="186"/>
      <c r="V65" s="166"/>
      <c r="W65" s="184"/>
    </row>
    <row r="66" spans="1:23" s="112" customFormat="1" ht="12.95" customHeight="1">
      <c r="A66" s="403">
        <v>55</v>
      </c>
      <c r="B66" s="368" t="s">
        <v>238</v>
      </c>
      <c r="C66" s="369" t="s">
        <v>237</v>
      </c>
      <c r="D66" s="326">
        <v>766103183.28000009</v>
      </c>
      <c r="E66" s="333">
        <f t="shared" si="31"/>
        <v>2.4116633904139144E-3</v>
      </c>
      <c r="F66" s="74">
        <v>1000</v>
      </c>
      <c r="G66" s="74">
        <v>1000</v>
      </c>
      <c r="H66" s="390">
        <v>9.2519340144914293E-6</v>
      </c>
      <c r="I66" s="334">
        <v>0.17100000000000001</v>
      </c>
      <c r="J66" s="326">
        <v>819285447.79000008</v>
      </c>
      <c r="K66" s="333">
        <f t="shared" si="26"/>
        <v>2.5012575002099952E-3</v>
      </c>
      <c r="L66" s="74">
        <v>1000</v>
      </c>
      <c r="M66" s="74">
        <v>1000</v>
      </c>
      <c r="N66" s="334">
        <v>1.06941919270235E-2</v>
      </c>
      <c r="O66" s="334">
        <v>0.16800000000000001</v>
      </c>
      <c r="P66" s="329">
        <f t="shared" si="30"/>
        <v>6.9419192702352486E-2</v>
      </c>
      <c r="Q66" s="329">
        <f t="shared" si="27"/>
        <v>0</v>
      </c>
      <c r="R66" s="329">
        <f t="shared" si="28"/>
        <v>1.0684939993009009E-2</v>
      </c>
      <c r="S66" s="364">
        <f t="shared" si="29"/>
        <v>-3.0000000000000027E-3</v>
      </c>
      <c r="T66" s="144"/>
      <c r="U66" s="131"/>
      <c r="V66" s="166"/>
      <c r="W66" s="184"/>
    </row>
    <row r="67" spans="1:23" s="112" customFormat="1" ht="12.95" customHeight="1">
      <c r="A67" s="400">
        <v>56</v>
      </c>
      <c r="B67" s="368" t="s">
        <v>101</v>
      </c>
      <c r="C67" s="369" t="s">
        <v>98</v>
      </c>
      <c r="D67" s="326">
        <v>279255206.41000003</v>
      </c>
      <c r="E67" s="333">
        <f t="shared" si="31"/>
        <v>8.7908466193558992E-4</v>
      </c>
      <c r="F67" s="74">
        <v>1155.5899999999999</v>
      </c>
      <c r="G67" s="74">
        <v>1166.33</v>
      </c>
      <c r="H67" s="334">
        <v>2.2000000000000001E-3</v>
      </c>
      <c r="I67" s="334">
        <v>4.6899999999999997E-2</v>
      </c>
      <c r="J67" s="326">
        <v>280455552.80000001</v>
      </c>
      <c r="K67" s="333">
        <f t="shared" si="26"/>
        <v>8.5622362365741329E-4</v>
      </c>
      <c r="L67" s="74">
        <v>1160.56</v>
      </c>
      <c r="M67" s="74">
        <v>1171.9000000000001</v>
      </c>
      <c r="N67" s="334">
        <v>4.7000000000000002E-3</v>
      </c>
      <c r="O67" s="334">
        <v>5.16E-2</v>
      </c>
      <c r="P67" s="329">
        <f t="shared" si="30"/>
        <v>4.2983849985509231E-3</v>
      </c>
      <c r="Q67" s="329">
        <f t="shared" si="27"/>
        <v>4.7756638344209311E-3</v>
      </c>
      <c r="R67" s="329">
        <f t="shared" si="28"/>
        <v>2.5000000000000001E-3</v>
      </c>
      <c r="S67" s="364">
        <f t="shared" si="29"/>
        <v>4.7000000000000028E-3</v>
      </c>
      <c r="T67" s="144"/>
      <c r="U67" s="167"/>
      <c r="V67" s="163"/>
    </row>
    <row r="68" spans="1:23" s="112" customFormat="1" ht="12.95" customHeight="1">
      <c r="A68" s="395">
        <v>57</v>
      </c>
      <c r="B68" s="368" t="s">
        <v>170</v>
      </c>
      <c r="C68" s="369" t="s">
        <v>168</v>
      </c>
      <c r="D68" s="326">
        <v>714449304</v>
      </c>
      <c r="E68" s="333">
        <f t="shared" si="31"/>
        <v>2.249058962771291E-3</v>
      </c>
      <c r="F68" s="311">
        <v>1.0529999999999999</v>
      </c>
      <c r="G68" s="311">
        <v>1.0529999999999999</v>
      </c>
      <c r="H68" s="334">
        <v>0.10551038843721566</v>
      </c>
      <c r="I68" s="334">
        <v>0.10380456884825177</v>
      </c>
      <c r="J68" s="326">
        <v>716982747.07000005</v>
      </c>
      <c r="K68" s="333">
        <f t="shared" si="26"/>
        <v>2.1889299736343893E-3</v>
      </c>
      <c r="L68" s="311">
        <v>1.0568</v>
      </c>
      <c r="M68" s="311">
        <v>1.0568</v>
      </c>
      <c r="N68" s="334">
        <v>0.11775712995225157</v>
      </c>
      <c r="O68" s="334">
        <v>0.10709574954911297</v>
      </c>
      <c r="P68" s="329">
        <v>0.10585480093676825</v>
      </c>
      <c r="Q68" s="329">
        <f>(M68-G68)/G68</f>
        <v>3.6087369420702998E-3</v>
      </c>
      <c r="R68" s="329">
        <f t="shared" si="28"/>
        <v>1.2246741515035908E-2</v>
      </c>
      <c r="S68" s="364">
        <f t="shared" si="29"/>
        <v>3.2911807008611932E-3</v>
      </c>
      <c r="T68" s="88"/>
      <c r="U68" s="166"/>
      <c r="V68" s="186"/>
    </row>
    <row r="69" spans="1:23" s="112" customFormat="1" ht="12" customHeight="1">
      <c r="A69" s="400">
        <v>58</v>
      </c>
      <c r="B69" s="368" t="s">
        <v>251</v>
      </c>
      <c r="C69" s="369" t="s">
        <v>185</v>
      </c>
      <c r="D69" s="326">
        <v>66586071668.029999</v>
      </c>
      <c r="E69" s="333">
        <f t="shared" si="31"/>
        <v>0.20961039564637102</v>
      </c>
      <c r="F69" s="311">
        <v>1550.28</v>
      </c>
      <c r="G69" s="326">
        <v>1550.28</v>
      </c>
      <c r="H69" s="334">
        <v>2.2000000000000001E-3</v>
      </c>
      <c r="I69" s="334">
        <v>0.1195</v>
      </c>
      <c r="J69" s="326">
        <v>67249605090.529999</v>
      </c>
      <c r="K69" s="333">
        <f t="shared" si="26"/>
        <v>0.20531132290044507</v>
      </c>
      <c r="L69" s="311">
        <v>1553.62</v>
      </c>
      <c r="M69" s="326">
        <v>1553.62</v>
      </c>
      <c r="N69" s="334">
        <v>2.2000000000000001E-3</v>
      </c>
      <c r="O69" s="334">
        <v>0.11840000000000001</v>
      </c>
      <c r="P69" s="329">
        <f t="shared" ref="P69:P86" si="32">((J69-D69)/D69)</f>
        <v>9.9650483333526135E-3</v>
      </c>
      <c r="Q69" s="329">
        <f t="shared" ref="Q69:Q86" si="33">((M69-G69)/G69)</f>
        <v>2.1544495187965518E-3</v>
      </c>
      <c r="R69" s="329">
        <f t="shared" si="28"/>
        <v>0</v>
      </c>
      <c r="S69" s="364">
        <f t="shared" si="29"/>
        <v>-1.0999999999999899E-3</v>
      </c>
      <c r="U69" s="166"/>
      <c r="V69" s="186"/>
    </row>
    <row r="70" spans="1:23" s="112" customFormat="1" ht="12.95" customHeight="1">
      <c r="A70" s="399" t="s">
        <v>275</v>
      </c>
      <c r="B70" s="368" t="s">
        <v>174</v>
      </c>
      <c r="C70" s="369" t="s">
        <v>175</v>
      </c>
      <c r="D70" s="326">
        <v>21711622.109999999</v>
      </c>
      <c r="E70" s="333">
        <f t="shared" si="31"/>
        <v>6.8347352330542455E-5</v>
      </c>
      <c r="F70" s="326">
        <v>0.64770000000000005</v>
      </c>
      <c r="G70" s="326">
        <v>0.64770000000000005</v>
      </c>
      <c r="H70" s="334">
        <v>2.8999999999999998E-3</v>
      </c>
      <c r="I70" s="334">
        <v>-5.21E-2</v>
      </c>
      <c r="J70" s="326">
        <v>21761622.530000001</v>
      </c>
      <c r="K70" s="333">
        <f t="shared" si="26"/>
        <v>6.6437676534751805E-5</v>
      </c>
      <c r="L70" s="326">
        <v>0.6492</v>
      </c>
      <c r="M70" s="326">
        <v>0.6492</v>
      </c>
      <c r="N70" s="334">
        <v>2.3E-3</v>
      </c>
      <c r="O70" s="334">
        <v>-8.2400000000000001E-2</v>
      </c>
      <c r="P70" s="109">
        <f t="shared" si="32"/>
        <v>2.3029334126524088E-3</v>
      </c>
      <c r="Q70" s="109">
        <f t="shared" si="33"/>
        <v>2.3158869847150622E-3</v>
      </c>
      <c r="R70" s="329">
        <f t="shared" si="28"/>
        <v>-5.9999999999999984E-4</v>
      </c>
      <c r="S70" s="364">
        <f t="shared" si="29"/>
        <v>-3.0300000000000001E-2</v>
      </c>
      <c r="U70" s="427"/>
      <c r="V70" s="427"/>
    </row>
    <row r="71" spans="1:23" s="128" customFormat="1" ht="12.95" customHeight="1">
      <c r="A71" s="395">
        <v>60</v>
      </c>
      <c r="B71" s="368" t="s">
        <v>104</v>
      </c>
      <c r="C71" s="369" t="s">
        <v>103</v>
      </c>
      <c r="D71" s="326">
        <v>905766915.50999999</v>
      </c>
      <c r="E71" s="333">
        <f t="shared" si="31"/>
        <v>2.8513194541644796E-3</v>
      </c>
      <c r="F71" s="326">
        <v>203.90546699999999</v>
      </c>
      <c r="G71" s="326">
        <v>204.76953</v>
      </c>
      <c r="H71" s="334">
        <v>1E-3</v>
      </c>
      <c r="I71" s="334">
        <v>2.69E-2</v>
      </c>
      <c r="J71" s="326">
        <v>974655774.58000004</v>
      </c>
      <c r="K71" s="333">
        <f t="shared" si="26"/>
        <v>2.9755991307636202E-3</v>
      </c>
      <c r="L71" s="326">
        <v>204.51091099999999</v>
      </c>
      <c r="M71" s="326">
        <v>205.39851899999999</v>
      </c>
      <c r="N71" s="334">
        <v>1.2999999999999999E-3</v>
      </c>
      <c r="O71" s="334">
        <v>0.03</v>
      </c>
      <c r="P71" s="329">
        <f t="shared" si="32"/>
        <v>7.6055834995045687E-2</v>
      </c>
      <c r="Q71" s="329">
        <f t="shared" si="33"/>
        <v>3.0716923557913621E-3</v>
      </c>
      <c r="R71" s="329">
        <f t="shared" si="28"/>
        <v>2.9999999999999992E-4</v>
      </c>
      <c r="S71" s="364">
        <f t="shared" si="29"/>
        <v>3.0999999999999986E-3</v>
      </c>
      <c r="T71" s="168"/>
      <c r="U71" s="169"/>
      <c r="V71" s="407"/>
      <c r="W71" s="129"/>
    </row>
    <row r="72" spans="1:23" s="112" customFormat="1" ht="12.95" customHeight="1">
      <c r="A72" s="396">
        <v>61</v>
      </c>
      <c r="B72" s="368" t="s">
        <v>111</v>
      </c>
      <c r="C72" s="369" t="s">
        <v>132</v>
      </c>
      <c r="D72" s="326">
        <v>1245630004.48</v>
      </c>
      <c r="E72" s="333">
        <f t="shared" si="31"/>
        <v>3.9211954020919411E-3</v>
      </c>
      <c r="F72" s="327">
        <v>3.5</v>
      </c>
      <c r="G72" s="327">
        <v>3.5</v>
      </c>
      <c r="H72" s="320">
        <v>-1.0699999999999999E-2</v>
      </c>
      <c r="I72" s="320">
        <v>-4.53E-2</v>
      </c>
      <c r="J72" s="326">
        <v>1245948704.3099999</v>
      </c>
      <c r="K72" s="333">
        <f t="shared" si="26"/>
        <v>3.8038495007311798E-3</v>
      </c>
      <c r="L72" s="327">
        <v>3.5</v>
      </c>
      <c r="M72" s="327">
        <v>3.5</v>
      </c>
      <c r="N72" s="320">
        <v>-9.7000000000000003E-3</v>
      </c>
      <c r="O72" s="320">
        <v>-4.1399999999999999E-2</v>
      </c>
      <c r="P72" s="329">
        <f t="shared" si="32"/>
        <v>2.5585432982000781E-4</v>
      </c>
      <c r="Q72" s="329">
        <f t="shared" si="33"/>
        <v>0</v>
      </c>
      <c r="R72" s="329">
        <f t="shared" si="28"/>
        <v>9.9999999999999915E-4</v>
      </c>
      <c r="S72" s="364">
        <f t="shared" si="29"/>
        <v>3.9000000000000007E-3</v>
      </c>
      <c r="U72" s="170"/>
      <c r="V72" s="407"/>
    </row>
    <row r="73" spans="1:23" s="112" customFormat="1" ht="12.95" customHeight="1">
      <c r="A73" s="395">
        <v>62</v>
      </c>
      <c r="B73" s="368" t="s">
        <v>85</v>
      </c>
      <c r="C73" s="369" t="s">
        <v>23</v>
      </c>
      <c r="D73" s="326">
        <v>16074541304.75</v>
      </c>
      <c r="E73" s="333">
        <f t="shared" si="31"/>
        <v>5.0602038509208642E-2</v>
      </c>
      <c r="F73" s="326">
        <v>1193.5</v>
      </c>
      <c r="G73" s="326">
        <v>1193.5</v>
      </c>
      <c r="H73" s="334">
        <v>1.6000000000000001E-3</v>
      </c>
      <c r="I73" s="334">
        <v>4.5999999999999999E-2</v>
      </c>
      <c r="J73" s="326">
        <v>16256989084.93</v>
      </c>
      <c r="K73" s="333">
        <f t="shared" si="26"/>
        <v>4.9632171533377394E-2</v>
      </c>
      <c r="L73" s="326">
        <v>1195.07</v>
      </c>
      <c r="M73" s="326">
        <v>1195.07</v>
      </c>
      <c r="N73" s="334">
        <v>3.9699999999999999E-2</v>
      </c>
      <c r="O73" s="334">
        <v>4.7399999999999998E-2</v>
      </c>
      <c r="P73" s="329">
        <f t="shared" si="32"/>
        <v>1.1350108019946254E-2</v>
      </c>
      <c r="Q73" s="329">
        <f t="shared" si="33"/>
        <v>1.3154587348135202E-3</v>
      </c>
      <c r="R73" s="329">
        <f t="shared" si="28"/>
        <v>3.8100000000000002E-2</v>
      </c>
      <c r="S73" s="364">
        <f t="shared" si="29"/>
        <v>1.3999999999999985E-3</v>
      </c>
      <c r="T73" s="171"/>
      <c r="U73" s="130"/>
      <c r="V73" s="407"/>
    </row>
    <row r="74" spans="1:23" s="112" customFormat="1" ht="12.95" customHeight="1">
      <c r="A74" s="394">
        <v>63</v>
      </c>
      <c r="B74" s="369" t="s">
        <v>232</v>
      </c>
      <c r="C74" s="387" t="s">
        <v>9</v>
      </c>
      <c r="D74" s="326">
        <v>1752480340</v>
      </c>
      <c r="E74" s="333">
        <f t="shared" si="31"/>
        <v>5.5167407871916409E-3</v>
      </c>
      <c r="F74" s="327">
        <v>104.31</v>
      </c>
      <c r="G74" s="327">
        <v>104.31</v>
      </c>
      <c r="H74" s="334">
        <v>1.6999999999999999E-3</v>
      </c>
      <c r="I74" s="334">
        <v>9.9299999999999999E-2</v>
      </c>
      <c r="J74" s="326">
        <v>1226133454</v>
      </c>
      <c r="K74" s="333">
        <f t="shared" si="26"/>
        <v>3.7433540487612706E-3</v>
      </c>
      <c r="L74" s="327">
        <v>103.45</v>
      </c>
      <c r="M74" s="327">
        <v>103.45</v>
      </c>
      <c r="N74" s="334">
        <v>1.6999999999999999E-3</v>
      </c>
      <c r="O74" s="334">
        <v>0.1023</v>
      </c>
      <c r="P74" s="329">
        <f t="shared" si="32"/>
        <v>-0.300343960492019</v>
      </c>
      <c r="Q74" s="329">
        <f t="shared" si="33"/>
        <v>-8.2446553542325704E-3</v>
      </c>
      <c r="R74" s="329">
        <f t="shared" si="28"/>
        <v>0</v>
      </c>
      <c r="S74" s="364">
        <f t="shared" si="29"/>
        <v>3.0000000000000027E-3</v>
      </c>
      <c r="T74" s="123"/>
      <c r="U74" s="130"/>
      <c r="V74" s="407"/>
    </row>
    <row r="75" spans="1:23" s="112" customFormat="1" ht="12.95" customHeight="1">
      <c r="A75" s="400">
        <v>64</v>
      </c>
      <c r="B75" s="368" t="s">
        <v>17</v>
      </c>
      <c r="C75" s="369" t="s">
        <v>57</v>
      </c>
      <c r="D75" s="326">
        <v>1571852032.3800001</v>
      </c>
      <c r="E75" s="333">
        <f t="shared" si="31"/>
        <v>4.9481298138048281E-3</v>
      </c>
      <c r="F75" s="327">
        <v>339.07859999999999</v>
      </c>
      <c r="G75" s="327">
        <v>339.07859999999999</v>
      </c>
      <c r="H75" s="334">
        <v>2.0999999999999999E-3</v>
      </c>
      <c r="I75" s="334">
        <v>9.4899999999999998E-2</v>
      </c>
      <c r="J75" s="326">
        <v>1575703570.24</v>
      </c>
      <c r="K75" s="333">
        <f t="shared" si="26"/>
        <v>4.8105826654212579E-3</v>
      </c>
      <c r="L75" s="327">
        <v>339.79730000000001</v>
      </c>
      <c r="M75" s="327">
        <v>339.79730000000001</v>
      </c>
      <c r="N75" s="334">
        <v>2.0999999999999999E-3</v>
      </c>
      <c r="O75" s="334">
        <v>9.7110314588376712E-2</v>
      </c>
      <c r="P75" s="109">
        <f t="shared" si="32"/>
        <v>2.4503183382777686E-3</v>
      </c>
      <c r="Q75" s="109">
        <f t="shared" si="33"/>
        <v>2.1195675574926065E-3</v>
      </c>
      <c r="R75" s="329">
        <f t="shared" si="28"/>
        <v>0</v>
      </c>
      <c r="S75" s="364">
        <f t="shared" si="29"/>
        <v>2.2103145883767134E-3</v>
      </c>
      <c r="T75" s="144"/>
      <c r="U75" s="172"/>
      <c r="V75" s="407"/>
    </row>
    <row r="76" spans="1:23" s="112" customFormat="1" ht="12.95" customHeight="1">
      <c r="A76" s="398">
        <v>65</v>
      </c>
      <c r="B76" s="368" t="s">
        <v>91</v>
      </c>
      <c r="C76" s="369" t="s">
        <v>90</v>
      </c>
      <c r="D76" s="326">
        <v>52941217.170000002</v>
      </c>
      <c r="E76" s="333">
        <f t="shared" si="31"/>
        <v>1.6665691786608541E-4</v>
      </c>
      <c r="F76" s="327">
        <v>11.626645</v>
      </c>
      <c r="G76" s="326">
        <v>11.94599</v>
      </c>
      <c r="H76" s="334">
        <v>2.0400000000000001E-2</v>
      </c>
      <c r="I76" s="334">
        <v>5.33E-2</v>
      </c>
      <c r="J76" s="326">
        <v>53346346.43</v>
      </c>
      <c r="K76" s="333">
        <f t="shared" si="26"/>
        <v>1.6286503010247517E-4</v>
      </c>
      <c r="L76" s="327">
        <v>11.619327999999999</v>
      </c>
      <c r="M76" s="326">
        <v>11.938226999999999</v>
      </c>
      <c r="N76" s="334">
        <v>2.0400000000000001E-2</v>
      </c>
      <c r="O76" s="334">
        <v>5.2600000000000001E-2</v>
      </c>
      <c r="P76" s="329">
        <f t="shared" si="32"/>
        <v>7.6524356948402573E-3</v>
      </c>
      <c r="Q76" s="329">
        <f t="shared" si="33"/>
        <v>-6.4984149492847642E-4</v>
      </c>
      <c r="R76" s="329">
        <f t="shared" si="28"/>
        <v>0</v>
      </c>
      <c r="S76" s="364">
        <f t="shared" si="29"/>
        <v>-6.9999999999999923E-4</v>
      </c>
      <c r="T76" s="153"/>
      <c r="U76" s="172"/>
      <c r="V76" s="407"/>
    </row>
    <row r="77" spans="1:23" s="112" customFormat="1" ht="12.95" customHeight="1">
      <c r="A77" s="403">
        <v>66</v>
      </c>
      <c r="B77" s="368" t="s">
        <v>35</v>
      </c>
      <c r="C77" s="369" t="s">
        <v>20</v>
      </c>
      <c r="D77" s="326">
        <v>6574211292.6000004</v>
      </c>
      <c r="E77" s="333">
        <f t="shared" si="31"/>
        <v>2.0695364594790433E-2</v>
      </c>
      <c r="F77" s="327">
        <v>1.05</v>
      </c>
      <c r="G77" s="327">
        <v>1.05</v>
      </c>
      <c r="H77" s="334">
        <v>0</v>
      </c>
      <c r="I77" s="334">
        <v>0.1104</v>
      </c>
      <c r="J77" s="326">
        <v>6651252133.2299995</v>
      </c>
      <c r="K77" s="333">
        <f>(J77/$J$119)</f>
        <v>7.1164378470173456E-2</v>
      </c>
      <c r="L77" s="327">
        <v>1.05</v>
      </c>
      <c r="M77" s="327">
        <v>1.05</v>
      </c>
      <c r="N77" s="334">
        <v>0</v>
      </c>
      <c r="O77" s="334">
        <v>0.11</v>
      </c>
      <c r="P77" s="329">
        <f t="shared" si="32"/>
        <v>1.1718643834389248E-2</v>
      </c>
      <c r="Q77" s="329">
        <f t="shared" si="33"/>
        <v>0</v>
      </c>
      <c r="R77" s="329">
        <f t="shared" si="28"/>
        <v>0</v>
      </c>
      <c r="S77" s="364">
        <f t="shared" si="29"/>
        <v>-3.9999999999999758E-4</v>
      </c>
      <c r="T77" s="144"/>
      <c r="U77" s="172"/>
      <c r="V77" s="407"/>
    </row>
    <row r="78" spans="1:23" s="112" customFormat="1" ht="12.95" customHeight="1">
      <c r="A78" s="404">
        <v>67</v>
      </c>
      <c r="B78" s="368" t="s">
        <v>68</v>
      </c>
      <c r="C78" s="369" t="s">
        <v>5</v>
      </c>
      <c r="D78" s="326">
        <v>24783269491.759998</v>
      </c>
      <c r="E78" s="333">
        <f t="shared" si="31"/>
        <v>7.8016780288191201E-2</v>
      </c>
      <c r="F78" s="326">
        <v>4750.82</v>
      </c>
      <c r="G78" s="326">
        <v>4750.82</v>
      </c>
      <c r="H78" s="334">
        <v>1.8E-3</v>
      </c>
      <c r="I78" s="334">
        <v>3.9100000000000003E-2</v>
      </c>
      <c r="J78" s="326">
        <v>24045984083.23</v>
      </c>
      <c r="K78" s="333">
        <f t="shared" ref="K78:K86" si="34">(J78/$J$87)</f>
        <v>7.3411773882166728E-2</v>
      </c>
      <c r="L78" s="326">
        <v>4759.12</v>
      </c>
      <c r="M78" s="326">
        <v>4759.12</v>
      </c>
      <c r="N78" s="334">
        <v>1.6999999999999999E-3</v>
      </c>
      <c r="O78" s="334">
        <v>4.1000000000000002E-2</v>
      </c>
      <c r="P78" s="329">
        <f t="shared" si="32"/>
        <v>-2.9749319748757653E-2</v>
      </c>
      <c r="Q78" s="329">
        <f t="shared" si="33"/>
        <v>1.7470668221486359E-3</v>
      </c>
      <c r="R78" s="329">
        <f t="shared" si="28"/>
        <v>-1.0000000000000005E-4</v>
      </c>
      <c r="S78" s="364">
        <f t="shared" si="29"/>
        <v>1.8999999999999989E-3</v>
      </c>
      <c r="T78" s="144"/>
      <c r="U78" s="172"/>
      <c r="V78" s="407"/>
    </row>
    <row r="79" spans="1:23" s="112" customFormat="1" ht="12.95" customHeight="1">
      <c r="A79" s="404">
        <v>68</v>
      </c>
      <c r="B79" s="368" t="s">
        <v>16</v>
      </c>
      <c r="C79" s="369" t="s">
        <v>5</v>
      </c>
      <c r="D79" s="326">
        <v>39948050523.889999</v>
      </c>
      <c r="E79" s="333">
        <f t="shared" si="31"/>
        <v>0.12575492840846153</v>
      </c>
      <c r="F79" s="327">
        <v>249.63</v>
      </c>
      <c r="G79" s="327">
        <v>249.63</v>
      </c>
      <c r="H79" s="334">
        <v>8.9999999999999998E-4</v>
      </c>
      <c r="I79" s="334">
        <v>1.8599999999999998E-2</v>
      </c>
      <c r="J79" s="326">
        <v>43656850980.110001</v>
      </c>
      <c r="K79" s="333">
        <f t="shared" si="34"/>
        <v>0.13328324852358381</v>
      </c>
      <c r="L79" s="327">
        <v>249.82</v>
      </c>
      <c r="M79" s="327">
        <v>249.82</v>
      </c>
      <c r="N79" s="334">
        <v>8.0000000000000004E-4</v>
      </c>
      <c r="O79" s="334">
        <v>1.9400000000000001E-2</v>
      </c>
      <c r="P79" s="329">
        <f t="shared" si="32"/>
        <v>9.2840586901782346E-2</v>
      </c>
      <c r="Q79" s="329">
        <f t="shared" si="33"/>
        <v>7.6112646717140463E-4</v>
      </c>
      <c r="R79" s="329">
        <f t="shared" si="28"/>
        <v>-9.9999999999999937E-5</v>
      </c>
      <c r="S79" s="364">
        <f t="shared" si="29"/>
        <v>8.000000000000021E-4</v>
      </c>
      <c r="T79" s="144"/>
      <c r="U79" s="172"/>
      <c r="V79" s="407"/>
    </row>
    <row r="80" spans="1:23" s="112" customFormat="1" ht="12.95" customHeight="1">
      <c r="A80" s="404">
        <v>69</v>
      </c>
      <c r="B80" s="368" t="s">
        <v>69</v>
      </c>
      <c r="C80" s="369" t="s">
        <v>5</v>
      </c>
      <c r="D80" s="326">
        <v>269116980.75</v>
      </c>
      <c r="E80" s="333">
        <f t="shared" si="31"/>
        <v>8.4716991702708203E-4</v>
      </c>
      <c r="F80" s="326">
        <v>4755.3599999999997</v>
      </c>
      <c r="G80" s="326">
        <v>4776.09</v>
      </c>
      <c r="H80" s="334">
        <v>2.81E-2</v>
      </c>
      <c r="I80" s="334">
        <v>0.12139999999999999</v>
      </c>
      <c r="J80" s="326">
        <v>268567070.63999999</v>
      </c>
      <c r="K80" s="333">
        <f t="shared" si="34"/>
        <v>8.1992839194174538E-4</v>
      </c>
      <c r="L80" s="326">
        <v>4757.92</v>
      </c>
      <c r="M80" s="326">
        <v>4778.4799999999996</v>
      </c>
      <c r="N80" s="334">
        <v>5.0000000000000001E-4</v>
      </c>
      <c r="O80" s="334">
        <v>0.122</v>
      </c>
      <c r="P80" s="329">
        <f t="shared" si="32"/>
        <v>-2.0433868887331976E-3</v>
      </c>
      <c r="Q80" s="329">
        <f t="shared" si="33"/>
        <v>5.0040933064481985E-4</v>
      </c>
      <c r="R80" s="329">
        <f t="shared" si="28"/>
        <v>-2.76E-2</v>
      </c>
      <c r="S80" s="364">
        <f t="shared" si="29"/>
        <v>6.0000000000000331E-4</v>
      </c>
      <c r="T80" s="144"/>
      <c r="U80" s="172"/>
      <c r="V80" s="407"/>
    </row>
    <row r="81" spans="1:22" s="112" customFormat="1" ht="12.95" customHeight="1">
      <c r="A81" s="404">
        <v>70</v>
      </c>
      <c r="B81" s="368" t="s">
        <v>166</v>
      </c>
      <c r="C81" s="369" t="s">
        <v>5</v>
      </c>
      <c r="D81" s="326">
        <v>19129113536.549999</v>
      </c>
      <c r="E81" s="333">
        <f t="shared" si="31"/>
        <v>6.0217714550740757E-2</v>
      </c>
      <c r="F81" s="327">
        <v>119.76</v>
      </c>
      <c r="G81" s="327">
        <v>119.76</v>
      </c>
      <c r="H81" s="334">
        <v>1.8E-3</v>
      </c>
      <c r="I81" s="334">
        <v>4.1399999999999999E-2</v>
      </c>
      <c r="J81" s="326">
        <v>19235455121.529999</v>
      </c>
      <c r="K81" s="333">
        <f t="shared" si="34"/>
        <v>5.8725352100983487E-2</v>
      </c>
      <c r="L81" s="327">
        <v>119.98</v>
      </c>
      <c r="M81" s="327">
        <v>119.98</v>
      </c>
      <c r="N81" s="334">
        <v>1.8E-3</v>
      </c>
      <c r="O81" s="334">
        <v>4.3299999999999998E-2</v>
      </c>
      <c r="P81" s="329">
        <f t="shared" si="32"/>
        <v>5.5591486127578608E-3</v>
      </c>
      <c r="Q81" s="329">
        <f t="shared" si="33"/>
        <v>1.8370073480293825E-3</v>
      </c>
      <c r="R81" s="329">
        <f t="shared" si="28"/>
        <v>0</v>
      </c>
      <c r="S81" s="364">
        <f t="shared" si="29"/>
        <v>1.8999999999999989E-3</v>
      </c>
      <c r="T81" s="144"/>
      <c r="U81" s="172"/>
      <c r="V81" s="407"/>
    </row>
    <row r="82" spans="1:22" s="112" customFormat="1" ht="12.95" customHeight="1">
      <c r="A82" s="404">
        <v>71</v>
      </c>
      <c r="B82" s="368" t="s">
        <v>63</v>
      </c>
      <c r="C82" s="369" t="s">
        <v>5</v>
      </c>
      <c r="D82" s="326">
        <v>14470501789.379999</v>
      </c>
      <c r="E82" s="333">
        <f t="shared" si="31"/>
        <v>4.5552583735462768E-2</v>
      </c>
      <c r="F82" s="327">
        <v>341.43</v>
      </c>
      <c r="G82" s="327">
        <v>341.43</v>
      </c>
      <c r="H82" s="334">
        <v>1.2999999999999999E-3</v>
      </c>
      <c r="I82" s="334">
        <v>2.6800000000000001E-2</v>
      </c>
      <c r="J82" s="326">
        <v>14472172652.34</v>
      </c>
      <c r="K82" s="333">
        <f t="shared" si="34"/>
        <v>4.4183172652027709E-2</v>
      </c>
      <c r="L82" s="327">
        <v>341.7</v>
      </c>
      <c r="M82" s="327">
        <v>341.7</v>
      </c>
      <c r="N82" s="334">
        <v>8.0000000000000004E-4</v>
      </c>
      <c r="O82" s="334">
        <v>2.76E-2</v>
      </c>
      <c r="P82" s="329">
        <f t="shared" si="32"/>
        <v>1.1546682930009032E-4</v>
      </c>
      <c r="Q82" s="329">
        <f t="shared" si="33"/>
        <v>7.9079167032768594E-4</v>
      </c>
      <c r="R82" s="329">
        <f t="shared" si="28"/>
        <v>-4.999999999999999E-4</v>
      </c>
      <c r="S82" s="364">
        <f t="shared" si="29"/>
        <v>7.9999999999999863E-4</v>
      </c>
      <c r="T82" s="144"/>
      <c r="U82" s="172"/>
      <c r="V82" s="407"/>
    </row>
    <row r="83" spans="1:22" s="112" customFormat="1" ht="12.95" customHeight="1">
      <c r="A83" s="400">
        <v>72</v>
      </c>
      <c r="B83" s="368" t="s">
        <v>247</v>
      </c>
      <c r="C83" s="369" t="s">
        <v>246</v>
      </c>
      <c r="D83" s="326">
        <v>69603613.450000003</v>
      </c>
      <c r="E83" s="333">
        <f t="shared" si="31"/>
        <v>2.1910950125439676E-4</v>
      </c>
      <c r="F83" s="74">
        <v>106.10169999999999</v>
      </c>
      <c r="G83" s="74">
        <v>106.10169999999999</v>
      </c>
      <c r="H83" s="334">
        <v>4.0883999999999997E-2</v>
      </c>
      <c r="I83" s="334">
        <v>3.6971999999999998E-2</v>
      </c>
      <c r="J83" s="326">
        <v>69859876.75</v>
      </c>
      <c r="K83" s="333">
        <f t="shared" si="34"/>
        <v>2.1328041545963384E-4</v>
      </c>
      <c r="L83" s="74">
        <v>106.3017</v>
      </c>
      <c r="M83" s="74">
        <v>106.3017</v>
      </c>
      <c r="N83" s="334">
        <v>3.95E-2</v>
      </c>
      <c r="O83" s="334">
        <v>4.2799999999999998E-2</v>
      </c>
      <c r="P83" s="329">
        <f t="shared" si="32"/>
        <v>3.6817528185384319E-3</v>
      </c>
      <c r="Q83" s="329">
        <f t="shared" si="33"/>
        <v>1.8849839352244389E-3</v>
      </c>
      <c r="R83" s="329">
        <f t="shared" si="28"/>
        <v>-1.3839999999999963E-3</v>
      </c>
      <c r="S83" s="364">
        <f t="shared" si="29"/>
        <v>5.8279999999999998E-3</v>
      </c>
      <c r="T83" s="144"/>
      <c r="U83" s="172"/>
      <c r="V83" s="407"/>
    </row>
    <row r="84" spans="1:22" s="330" customFormat="1" ht="12.95" customHeight="1">
      <c r="A84" s="396">
        <v>73</v>
      </c>
      <c r="B84" s="368" t="s">
        <v>157</v>
      </c>
      <c r="C84" s="369" t="s">
        <v>41</v>
      </c>
      <c r="D84" s="326">
        <v>101928161772.24001</v>
      </c>
      <c r="E84" s="333">
        <f t="shared" si="31"/>
        <v>0.32086593759584442</v>
      </c>
      <c r="F84" s="326">
        <v>2.0165000000000002</v>
      </c>
      <c r="G84" s="326">
        <v>2.0165000000000002</v>
      </c>
      <c r="H84" s="334">
        <v>7.51E-2</v>
      </c>
      <c r="I84" s="334">
        <v>7.3499999999999996E-2</v>
      </c>
      <c r="J84" s="326">
        <v>108873034819.67999</v>
      </c>
      <c r="K84" s="333">
        <f t="shared" si="34"/>
        <v>0.33238658839592827</v>
      </c>
      <c r="L84" s="326">
        <v>1.883</v>
      </c>
      <c r="M84" s="326">
        <v>1.883</v>
      </c>
      <c r="N84" s="334">
        <v>5.8500000000000003E-2</v>
      </c>
      <c r="O84" s="334">
        <v>7.3400000000000007E-2</v>
      </c>
      <c r="P84" s="109">
        <f t="shared" si="32"/>
        <v>6.813497787744284E-2</v>
      </c>
      <c r="Q84" s="109">
        <f t="shared" si="33"/>
        <v>-6.6203818497396566E-2</v>
      </c>
      <c r="R84" s="329">
        <f t="shared" si="28"/>
        <v>-1.6599999999999997E-2</v>
      </c>
      <c r="S84" s="364">
        <f t="shared" si="29"/>
        <v>-9.9999999999988987E-5</v>
      </c>
      <c r="T84" s="144"/>
      <c r="U84" s="172"/>
      <c r="V84" s="338"/>
    </row>
    <row r="85" spans="1:22" s="330" customFormat="1" ht="12.95" customHeight="1">
      <c r="A85" s="397">
        <v>74</v>
      </c>
      <c r="B85" s="368" t="s">
        <v>279</v>
      </c>
      <c r="C85" s="369" t="s">
        <v>243</v>
      </c>
      <c r="D85" s="326">
        <v>9592351018.3799992</v>
      </c>
      <c r="E85" s="333">
        <f t="shared" si="31"/>
        <v>3.0196352506959484E-2</v>
      </c>
      <c r="F85" s="327">
        <v>1</v>
      </c>
      <c r="G85" s="327">
        <v>1</v>
      </c>
      <c r="H85" s="334">
        <v>0.06</v>
      </c>
      <c r="I85" s="334">
        <v>0.06</v>
      </c>
      <c r="J85" s="326">
        <v>9596445122.3099995</v>
      </c>
      <c r="K85" s="333">
        <f t="shared" si="34"/>
        <v>2.9297701310671914E-2</v>
      </c>
      <c r="L85" s="327">
        <v>1</v>
      </c>
      <c r="M85" s="327">
        <v>1</v>
      </c>
      <c r="N85" s="334">
        <v>0.06</v>
      </c>
      <c r="O85" s="334">
        <v>0.06</v>
      </c>
      <c r="P85" s="329">
        <f t="shared" si="32"/>
        <v>4.2680922770190041E-4</v>
      </c>
      <c r="Q85" s="329">
        <f t="shared" si="33"/>
        <v>0</v>
      </c>
      <c r="R85" s="329">
        <f t="shared" si="28"/>
        <v>0</v>
      </c>
      <c r="S85" s="364">
        <f t="shared" si="29"/>
        <v>0</v>
      </c>
      <c r="T85" s="144"/>
      <c r="U85" s="172"/>
      <c r="V85" s="339"/>
    </row>
    <row r="86" spans="1:22" s="112" customFormat="1" ht="12.95" customHeight="1">
      <c r="A86" s="399">
        <v>75</v>
      </c>
      <c r="B86" s="368" t="s">
        <v>19</v>
      </c>
      <c r="C86" s="369" t="s">
        <v>12</v>
      </c>
      <c r="D86" s="326">
        <v>2567513920.6599998</v>
      </c>
      <c r="E86" s="333">
        <f t="shared" si="31"/>
        <v>8.0824351888520145E-3</v>
      </c>
      <c r="F86" s="327">
        <v>24.331099999999999</v>
      </c>
      <c r="G86" s="327">
        <v>24.331099999999999</v>
      </c>
      <c r="H86" s="334">
        <v>1E-3</v>
      </c>
      <c r="I86" s="334">
        <v>3.2800000000000003E-2</v>
      </c>
      <c r="J86" s="326">
        <v>2564626168.6799998</v>
      </c>
      <c r="K86" s="333">
        <f t="shared" si="34"/>
        <v>7.8297380442303652E-3</v>
      </c>
      <c r="L86" s="327">
        <v>24.3658</v>
      </c>
      <c r="M86" s="327">
        <v>24.3658</v>
      </c>
      <c r="N86" s="334">
        <v>1E-3</v>
      </c>
      <c r="O86" s="334">
        <v>3.4299999999999997E-2</v>
      </c>
      <c r="P86" s="329">
        <f t="shared" si="32"/>
        <v>-1.1247269028468207E-3</v>
      </c>
      <c r="Q86" s="329">
        <f t="shared" si="33"/>
        <v>1.4261582912404635E-3</v>
      </c>
      <c r="R86" s="329">
        <f t="shared" si="28"/>
        <v>0</v>
      </c>
      <c r="S86" s="364">
        <f t="shared" si="29"/>
        <v>1.4999999999999944E-3</v>
      </c>
      <c r="T86" s="144"/>
      <c r="U86" s="172"/>
      <c r="V86" s="291"/>
    </row>
    <row r="87" spans="1:22" s="112" customFormat="1" ht="12.95" customHeight="1">
      <c r="A87" s="214"/>
      <c r="C87" s="244" t="s">
        <v>42</v>
      </c>
      <c r="D87" s="76">
        <f>SUM(D57:D86)</f>
        <v>317665884188.13855</v>
      </c>
      <c r="E87" s="262">
        <f>(D87/$D$168)</f>
        <v>0.17812845238595751</v>
      </c>
      <c r="F87" s="327"/>
      <c r="G87" s="327"/>
      <c r="H87" s="334"/>
      <c r="I87" s="334"/>
      <c r="J87" s="76">
        <f>SUM(J57:J86)</f>
        <v>327549421729.35663</v>
      </c>
      <c r="K87" s="262">
        <f>(J87/$J$168)</f>
        <v>0.17468991559337613</v>
      </c>
      <c r="L87" s="264"/>
      <c r="M87" s="73"/>
      <c r="N87" s="279"/>
      <c r="O87" s="279"/>
      <c r="P87" s="266">
        <f t="shared" ref="P87" si="35">((J87-D87)/D87)</f>
        <v>3.1112996494658283E-2</v>
      </c>
      <c r="Q87" s="266"/>
      <c r="R87" s="266">
        <f t="shared" ref="R87:S87" si="36">N87-H87</f>
        <v>0</v>
      </c>
      <c r="S87" s="364">
        <f t="shared" si="36"/>
        <v>0</v>
      </c>
      <c r="T87" s="88"/>
      <c r="U87" s="173"/>
      <c r="V87" s="185"/>
    </row>
    <row r="88" spans="1:22" s="112" customFormat="1" ht="5.25" customHeight="1">
      <c r="A88" s="410"/>
      <c r="B88" s="411"/>
      <c r="C88" s="412"/>
      <c r="D88" s="412"/>
      <c r="E88" s="412"/>
      <c r="F88" s="412"/>
      <c r="G88" s="412"/>
      <c r="H88" s="412"/>
      <c r="I88" s="412"/>
      <c r="J88" s="412"/>
      <c r="K88" s="412"/>
      <c r="L88" s="412"/>
      <c r="M88" s="412"/>
      <c r="N88" s="412"/>
      <c r="O88" s="412"/>
      <c r="P88" s="412"/>
      <c r="Q88" s="412"/>
      <c r="R88" s="412"/>
      <c r="S88" s="425"/>
      <c r="T88" s="88"/>
      <c r="U88" s="173"/>
      <c r="V88" s="185"/>
    </row>
    <row r="89" spans="1:22" s="112" customFormat="1" ht="12" customHeight="1">
      <c r="A89" s="417" t="s">
        <v>195</v>
      </c>
      <c r="B89" s="418"/>
      <c r="C89" s="419"/>
      <c r="D89" s="419"/>
      <c r="E89" s="419"/>
      <c r="F89" s="419"/>
      <c r="G89" s="419"/>
      <c r="H89" s="419"/>
      <c r="I89" s="419"/>
      <c r="J89" s="419"/>
      <c r="K89" s="419"/>
      <c r="L89" s="419"/>
      <c r="M89" s="419"/>
      <c r="N89" s="419"/>
      <c r="O89" s="419"/>
      <c r="P89" s="419"/>
      <c r="Q89" s="419"/>
      <c r="R89" s="419"/>
      <c r="S89" s="420"/>
      <c r="T89" s="88"/>
      <c r="U89" s="173"/>
      <c r="V89" s="185"/>
    </row>
    <row r="90" spans="1:22" s="112" customFormat="1" ht="12.95" customHeight="1">
      <c r="A90" s="421" t="s">
        <v>196</v>
      </c>
      <c r="B90" s="422"/>
      <c r="C90" s="423"/>
      <c r="D90" s="423"/>
      <c r="E90" s="423"/>
      <c r="F90" s="423"/>
      <c r="G90" s="423"/>
      <c r="H90" s="423"/>
      <c r="I90" s="423"/>
      <c r="J90" s="423"/>
      <c r="K90" s="423"/>
      <c r="L90" s="423"/>
      <c r="M90" s="423"/>
      <c r="N90" s="423"/>
      <c r="O90" s="423"/>
      <c r="P90" s="423"/>
      <c r="Q90" s="423"/>
      <c r="R90" s="423"/>
      <c r="S90" s="424"/>
      <c r="T90" s="88"/>
      <c r="U90" s="173"/>
      <c r="V90" s="185"/>
    </row>
    <row r="91" spans="1:22" s="112" customFormat="1" ht="12.95" customHeight="1">
      <c r="A91" s="400">
        <v>76</v>
      </c>
      <c r="B91" s="368" t="s">
        <v>145</v>
      </c>
      <c r="C91" s="369" t="s">
        <v>57</v>
      </c>
      <c r="D91" s="326">
        <v>1009385874.39</v>
      </c>
      <c r="E91" s="333">
        <f t="shared" ref="E91:E100" si="37">(D91/$D$112)</f>
        <v>2.1453543725659216E-3</v>
      </c>
      <c r="F91" s="326">
        <f>108.7447*588.95</f>
        <v>64045.191064999999</v>
      </c>
      <c r="G91" s="326">
        <f>108.7447*588.95</f>
        <v>64045.191064999999</v>
      </c>
      <c r="H91" s="334">
        <v>1.1999999999999999E-3</v>
      </c>
      <c r="I91" s="334">
        <v>8.48E-2</v>
      </c>
      <c r="J91" s="326">
        <v>1274486249.7</v>
      </c>
      <c r="K91" s="333">
        <f t="shared" ref="K91:K100" si="38">(J91/$J$112)</f>
        <v>2.3150607171071873E-3</v>
      </c>
      <c r="L91" s="326">
        <f>108.8704*742.77</f>
        <v>80865.667008000004</v>
      </c>
      <c r="M91" s="326">
        <f>108.8704*742.77</f>
        <v>80865.667008000004</v>
      </c>
      <c r="N91" s="334">
        <v>1.1999999999999999E-3</v>
      </c>
      <c r="O91" s="334">
        <v>8.48E-2</v>
      </c>
      <c r="P91" s="329">
        <f t="shared" ref="P91:P100" si="39">((J91-D91)/D91)</f>
        <v>0.26263531324946232</v>
      </c>
      <c r="Q91" s="329">
        <f t="shared" ref="Q91:Q100" si="40">((M91-G91)/G91)</f>
        <v>0.26263448766869574</v>
      </c>
      <c r="R91" s="329">
        <f t="shared" ref="R91:R100" si="41">N91-H91</f>
        <v>0</v>
      </c>
      <c r="S91" s="364">
        <f t="shared" ref="S91:S100" si="42">O91-I91</f>
        <v>0</v>
      </c>
      <c r="T91" s="88"/>
      <c r="U91" s="173"/>
      <c r="V91" s="185"/>
    </row>
    <row r="92" spans="1:22" s="112" customFormat="1" ht="12.95" customHeight="1">
      <c r="A92" s="400">
        <v>77</v>
      </c>
      <c r="B92" s="368" t="s">
        <v>146</v>
      </c>
      <c r="C92" s="369" t="s">
        <v>6</v>
      </c>
      <c r="D92" s="326">
        <f>11684243.38*589.45</f>
        <v>6887277260.3410006</v>
      </c>
      <c r="E92" s="333">
        <f t="shared" si="37"/>
        <v>1.4638257538996911E-2</v>
      </c>
      <c r="F92" s="326">
        <f>1.1265*589.45</f>
        <v>664.01542500000005</v>
      </c>
      <c r="G92" s="326">
        <f>1.1265*589.45</f>
        <v>664.01542500000005</v>
      </c>
      <c r="H92" s="334">
        <v>2.3E-3</v>
      </c>
      <c r="I92" s="334">
        <v>-1.2382</v>
      </c>
      <c r="J92" s="326">
        <f>11794314.09*742.77</f>
        <v>8760462676.6292992</v>
      </c>
      <c r="K92" s="333">
        <f t="shared" si="38"/>
        <v>1.591308106393623E-2</v>
      </c>
      <c r="L92" s="326">
        <f>1.1397*742.77</f>
        <v>846.53496899999993</v>
      </c>
      <c r="M92" s="326">
        <f>1.1397*742.77</f>
        <v>846.53496899999993</v>
      </c>
      <c r="N92" s="334">
        <v>0.61099999999999999</v>
      </c>
      <c r="O92" s="334">
        <v>2.6800000000000001E-2</v>
      </c>
      <c r="P92" s="329">
        <f t="shared" si="39"/>
        <v>0.271977640144482</v>
      </c>
      <c r="Q92" s="329">
        <f t="shared" si="40"/>
        <v>0.27487244592247218</v>
      </c>
      <c r="R92" s="329">
        <f t="shared" si="41"/>
        <v>0.60870000000000002</v>
      </c>
      <c r="S92" s="364">
        <f t="shared" si="42"/>
        <v>1.2649999999999999</v>
      </c>
      <c r="U92" s="164"/>
      <c r="V92" s="163"/>
    </row>
    <row r="93" spans="1:22" s="112" customFormat="1" ht="12.95" customHeight="1">
      <c r="A93" s="395">
        <v>78</v>
      </c>
      <c r="B93" s="368" t="s">
        <v>171</v>
      </c>
      <c r="C93" s="369" t="s">
        <v>168</v>
      </c>
      <c r="D93" s="326">
        <v>1430072390.3730001</v>
      </c>
      <c r="E93" s="333">
        <f t="shared" si="37"/>
        <v>3.0394838422190132E-3</v>
      </c>
      <c r="F93" s="326">
        <v>61217.152914999999</v>
      </c>
      <c r="G93" s="326">
        <v>61217.152914999999</v>
      </c>
      <c r="H93" s="334">
        <v>5.8238637882958182E-2</v>
      </c>
      <c r="I93" s="334">
        <v>5.1300590241996818E-2</v>
      </c>
      <c r="J93" s="326">
        <v>1805383438.0857</v>
      </c>
      <c r="K93" s="333">
        <f>(J93/$J$112)</f>
        <v>3.2794173164378548E-3</v>
      </c>
      <c r="L93" s="326">
        <v>77283.059116999997</v>
      </c>
      <c r="M93" s="326">
        <v>77283.059116999997</v>
      </c>
      <c r="N93" s="334">
        <v>5.848752095083342E-2</v>
      </c>
      <c r="O93" s="334">
        <v>5.1682526837977999E-2</v>
      </c>
      <c r="P93" s="329">
        <f>((J93-D93)/D93)</f>
        <v>0.26244199261465989</v>
      </c>
      <c r="Q93" s="329">
        <f t="shared" si="40"/>
        <v>0.26244125113605832</v>
      </c>
      <c r="R93" s="329">
        <f t="shared" si="41"/>
        <v>2.4888306787523851E-4</v>
      </c>
      <c r="S93" s="364">
        <f t="shared" si="42"/>
        <v>3.8193659598118046E-4</v>
      </c>
      <c r="T93" s="383" t="s">
        <v>285</v>
      </c>
      <c r="U93" s="174"/>
      <c r="V93" s="163"/>
    </row>
    <row r="94" spans="1:22" s="112" customFormat="1" ht="12.95" customHeight="1">
      <c r="A94" s="400">
        <v>79</v>
      </c>
      <c r="B94" s="368" t="s">
        <v>239</v>
      </c>
      <c r="C94" s="369" t="s">
        <v>185</v>
      </c>
      <c r="D94" s="326">
        <v>18912307316.380001</v>
      </c>
      <c r="E94" s="333">
        <f t="shared" si="37"/>
        <v>4.0196323552700856E-2</v>
      </c>
      <c r="F94" s="326">
        <v>82097.61</v>
      </c>
      <c r="G94" s="326">
        <v>82097.61</v>
      </c>
      <c r="H94" s="334">
        <v>1E-3</v>
      </c>
      <c r="I94" s="334">
        <v>7.17E-2</v>
      </c>
      <c r="J94" s="326">
        <v>21968043746.759998</v>
      </c>
      <c r="K94" s="333">
        <f t="shared" si="38"/>
        <v>3.9904200709727174E-2</v>
      </c>
      <c r="L94" s="326">
        <v>95470.27</v>
      </c>
      <c r="M94" s="326">
        <v>95470.27</v>
      </c>
      <c r="N94" s="334">
        <v>1.1000000000000001E-3</v>
      </c>
      <c r="O94" s="334">
        <v>7.1900000000000006E-2</v>
      </c>
      <c r="P94" s="329">
        <f t="shared" si="39"/>
        <v>0.16157396235484264</v>
      </c>
      <c r="Q94" s="329">
        <f t="shared" si="40"/>
        <v>0.16288732400370734</v>
      </c>
      <c r="R94" s="329">
        <f t="shared" si="41"/>
        <v>1.0000000000000005E-4</v>
      </c>
      <c r="S94" s="364">
        <f t="shared" si="42"/>
        <v>2.0000000000000573E-4</v>
      </c>
      <c r="U94" s="174"/>
      <c r="V94" s="163"/>
    </row>
    <row r="95" spans="1:22" s="330" customFormat="1" ht="12.95" customHeight="1">
      <c r="A95" s="400">
        <v>80</v>
      </c>
      <c r="B95" s="401" t="s">
        <v>267</v>
      </c>
      <c r="C95" s="401" t="s">
        <v>185</v>
      </c>
      <c r="D95" s="326">
        <v>11797150548.02</v>
      </c>
      <c r="E95" s="333">
        <f t="shared" si="37"/>
        <v>2.5073729635168653E-2</v>
      </c>
      <c r="F95" s="326">
        <v>72198.429999999993</v>
      </c>
      <c r="G95" s="326">
        <v>72198.429999999993</v>
      </c>
      <c r="H95" s="334">
        <v>1.9E-3</v>
      </c>
      <c r="I95" s="334">
        <v>9.4799999999999995E-2</v>
      </c>
      <c r="J95" s="326">
        <v>13829499913.58</v>
      </c>
      <c r="K95" s="333">
        <f t="shared" si="38"/>
        <v>2.5120813970886342E-2</v>
      </c>
      <c r="L95" s="326">
        <v>84025.55</v>
      </c>
      <c r="M95" s="326">
        <v>84025.55</v>
      </c>
      <c r="N95" s="334">
        <v>1.9E-3</v>
      </c>
      <c r="O95" s="334">
        <v>9.7299999999999998E-2</v>
      </c>
      <c r="P95" s="329">
        <f t="shared" si="39"/>
        <v>0.17227459777574028</v>
      </c>
      <c r="Q95" s="329">
        <f t="shared" si="40"/>
        <v>0.16381408847810142</v>
      </c>
      <c r="R95" s="329">
        <f t="shared" si="41"/>
        <v>0</v>
      </c>
      <c r="S95" s="364">
        <f t="shared" si="42"/>
        <v>2.5000000000000022E-3</v>
      </c>
      <c r="U95" s="332"/>
      <c r="V95" s="163"/>
    </row>
    <row r="96" spans="1:22" s="112" customFormat="1" ht="12.95" customHeight="1">
      <c r="A96" s="403">
        <v>81</v>
      </c>
      <c r="B96" s="368" t="s">
        <v>236</v>
      </c>
      <c r="C96" s="369" t="s">
        <v>218</v>
      </c>
      <c r="D96" s="326">
        <f>84686.24*589.45</f>
        <v>49918304.168000005</v>
      </c>
      <c r="E96" s="333">
        <f t="shared" si="37"/>
        <v>1.0609664235950739E-4</v>
      </c>
      <c r="F96" s="326">
        <f>102.09*589.45</f>
        <v>60176.950500000006</v>
      </c>
      <c r="G96" s="326">
        <f>102.09*589.45</f>
        <v>60176.950500000006</v>
      </c>
      <c r="H96" s="334">
        <v>1E-3</v>
      </c>
      <c r="I96" s="334">
        <v>0.04</v>
      </c>
      <c r="J96" s="326">
        <f>80066.12*743.27</f>
        <v>59510745.012399994</v>
      </c>
      <c r="K96" s="333">
        <f t="shared" si="38"/>
        <v>1.0809923453973667E-4</v>
      </c>
      <c r="L96" s="326">
        <f>101.32*743.27</f>
        <v>75308.116399999999</v>
      </c>
      <c r="M96" s="326">
        <f>101.32*743.27</f>
        <v>75308.116399999999</v>
      </c>
      <c r="N96" s="334">
        <v>-8.0000000000000002E-3</v>
      </c>
      <c r="O96" s="334">
        <v>3.2000000000000001E-2</v>
      </c>
      <c r="P96" s="329">
        <f t="shared" si="39"/>
        <v>0.19216279487613677</v>
      </c>
      <c r="Q96" s="329">
        <f t="shared" si="40"/>
        <v>0.25144454436919317</v>
      </c>
      <c r="R96" s="329">
        <f t="shared" si="41"/>
        <v>-9.0000000000000011E-3</v>
      </c>
      <c r="S96" s="364">
        <f t="shared" si="42"/>
        <v>-8.0000000000000002E-3</v>
      </c>
      <c r="T96" s="124"/>
      <c r="U96" s="174"/>
      <c r="V96" s="131"/>
    </row>
    <row r="97" spans="1:43" s="112" customFormat="1" ht="12.95" customHeight="1">
      <c r="A97" s="396">
        <v>82</v>
      </c>
      <c r="B97" s="368" t="s">
        <v>120</v>
      </c>
      <c r="C97" s="369" t="s">
        <v>132</v>
      </c>
      <c r="D97" s="326">
        <v>7169191969.5200005</v>
      </c>
      <c r="E97" s="333">
        <f t="shared" si="37"/>
        <v>1.5237440635742068E-2</v>
      </c>
      <c r="F97" s="326">
        <v>588.95000000000005</v>
      </c>
      <c r="G97" s="326">
        <v>588.95000000000005</v>
      </c>
      <c r="H97" s="320">
        <v>9.1999999999999998E-3</v>
      </c>
      <c r="I97" s="320">
        <v>5.6500000000000002E-2</v>
      </c>
      <c r="J97" s="326">
        <v>9530705087.2399998</v>
      </c>
      <c r="K97" s="333">
        <f t="shared" si="38"/>
        <v>1.7312200079833431E-2</v>
      </c>
      <c r="L97" s="326">
        <v>742.77</v>
      </c>
      <c r="M97" s="326">
        <v>742.77</v>
      </c>
      <c r="N97" s="320">
        <v>1.0200000000000001E-2</v>
      </c>
      <c r="O97" s="320">
        <v>5.6300000000000003E-2</v>
      </c>
      <c r="P97" s="329">
        <f t="shared" si="39"/>
        <v>0.32939738923996337</v>
      </c>
      <c r="Q97" s="329">
        <f t="shared" si="40"/>
        <v>0.26117667034553005</v>
      </c>
      <c r="R97" s="329">
        <f t="shared" si="41"/>
        <v>1.0000000000000009E-3</v>
      </c>
      <c r="S97" s="364">
        <f t="shared" si="42"/>
        <v>-1.9999999999999879E-4</v>
      </c>
      <c r="U97" s="174"/>
      <c r="V97" s="131"/>
    </row>
    <row r="98" spans="1:43" s="330" customFormat="1" ht="12.95" customHeight="1">
      <c r="A98" s="395">
        <v>83</v>
      </c>
      <c r="B98" s="368" t="s">
        <v>250</v>
      </c>
      <c r="C98" s="369" t="s">
        <v>172</v>
      </c>
      <c r="D98" s="326">
        <f>2009282.34*589.45</f>
        <v>1184371475.3130002</v>
      </c>
      <c r="E98" s="333">
        <f t="shared" si="37"/>
        <v>2.5172697456665232E-3</v>
      </c>
      <c r="F98" s="326">
        <f>102.4*589.45</f>
        <v>60359.680000000008</v>
      </c>
      <c r="G98" s="326">
        <f>102.4*589.45</f>
        <v>60359.680000000008</v>
      </c>
      <c r="H98" s="334">
        <v>3.8999999999999998E-3</v>
      </c>
      <c r="I98" s="334">
        <v>4.7899999999999998E-2</v>
      </c>
      <c r="J98" s="326">
        <f>2020647.39*743.27</f>
        <v>1501886585.5653</v>
      </c>
      <c r="K98" s="333">
        <f t="shared" si="38"/>
        <v>2.7281256558169269E-3</v>
      </c>
      <c r="L98" s="326">
        <f>102.61*743.27</f>
        <v>76266.934699999998</v>
      </c>
      <c r="M98" s="326">
        <f>102.61*743.27</f>
        <v>76266.934699999998</v>
      </c>
      <c r="N98" s="334">
        <v>2E-3</v>
      </c>
      <c r="O98" s="334">
        <v>0.05</v>
      </c>
      <c r="P98" s="329">
        <f t="shared" si="39"/>
        <v>0.26808743444989536</v>
      </c>
      <c r="Q98" s="329">
        <f t="shared" si="40"/>
        <v>0.26354107079427835</v>
      </c>
      <c r="R98" s="329">
        <f t="shared" si="41"/>
        <v>-1.8999999999999998E-3</v>
      </c>
      <c r="S98" s="364">
        <f t="shared" si="42"/>
        <v>2.1000000000000046E-3</v>
      </c>
      <c r="U98" s="332"/>
      <c r="V98" s="331"/>
    </row>
    <row r="99" spans="1:43" s="330" customFormat="1" ht="12.95" customHeight="1">
      <c r="A99" s="398">
        <v>84</v>
      </c>
      <c r="B99" s="368" t="s">
        <v>127</v>
      </c>
      <c r="C99" s="369" t="s">
        <v>90</v>
      </c>
      <c r="D99" s="326">
        <f>1696598.64*589.45</f>
        <v>1000060068.348</v>
      </c>
      <c r="E99" s="333">
        <f t="shared" si="37"/>
        <v>2.125533252340718E-3</v>
      </c>
      <c r="F99" s="326">
        <f>126.2*589.45</f>
        <v>74388.590000000011</v>
      </c>
      <c r="G99" s="326">
        <f>126.2*589.45</f>
        <v>74388.590000000011</v>
      </c>
      <c r="H99" s="334">
        <v>1.6799999999999999E-2</v>
      </c>
      <c r="I99" s="334">
        <v>0.1358</v>
      </c>
      <c r="J99" s="326">
        <f>1702290.92*743.27</f>
        <v>1265261772.1083999</v>
      </c>
      <c r="K99" s="333">
        <f t="shared" si="38"/>
        <v>2.2983047688078817E-3</v>
      </c>
      <c r="L99" s="326">
        <f>126.63*743.27</f>
        <v>94120.280099999989</v>
      </c>
      <c r="M99" s="326">
        <f>130.28*743.27</f>
        <v>96833.215599999996</v>
      </c>
      <c r="N99" s="334">
        <v>1.6799999999999999E-2</v>
      </c>
      <c r="O99" s="334">
        <v>0.13950000000000001</v>
      </c>
      <c r="P99" s="329">
        <f t="shared" si="39"/>
        <v>0.26518577448901315</v>
      </c>
      <c r="Q99" s="329">
        <f t="shared" si="40"/>
        <v>0.30172134731952821</v>
      </c>
      <c r="R99" s="329">
        <f t="shared" si="41"/>
        <v>0</v>
      </c>
      <c r="S99" s="364">
        <f t="shared" si="42"/>
        <v>3.7000000000000088E-3</v>
      </c>
      <c r="U99" s="332"/>
      <c r="V99" s="331"/>
    </row>
    <row r="100" spans="1:43" s="330" customFormat="1" ht="12.95" customHeight="1">
      <c r="A100" s="396">
        <v>85</v>
      </c>
      <c r="B100" s="368" t="s">
        <v>252</v>
      </c>
      <c r="C100" s="369" t="s">
        <v>41</v>
      </c>
      <c r="D100" s="326">
        <v>100063914841.14</v>
      </c>
      <c r="E100" s="333">
        <f t="shared" si="37"/>
        <v>0.21267640323403209</v>
      </c>
      <c r="F100" s="326">
        <v>85352.41</v>
      </c>
      <c r="G100" s="326">
        <v>85352.41</v>
      </c>
      <c r="H100" s="334">
        <v>5.2400000000000002E-2</v>
      </c>
      <c r="I100" s="334">
        <v>5.9499999999999997E-2</v>
      </c>
      <c r="J100" s="326">
        <v>115594181627.23</v>
      </c>
      <c r="K100" s="333">
        <f t="shared" si="38"/>
        <v>0.20997288050329721</v>
      </c>
      <c r="L100" s="326">
        <v>92516.67</v>
      </c>
      <c r="M100" s="326">
        <v>92516.67</v>
      </c>
      <c r="N100" s="334">
        <v>4.4699999999999997E-2</v>
      </c>
      <c r="O100" s="334">
        <v>5.9299999999999999E-2</v>
      </c>
      <c r="P100" s="329">
        <f t="shared" si="39"/>
        <v>0.1552034698097273</v>
      </c>
      <c r="Q100" s="329">
        <f t="shared" si="40"/>
        <v>8.3937407274147197E-2</v>
      </c>
      <c r="R100" s="329">
        <f t="shared" si="41"/>
        <v>-7.7000000000000055E-3</v>
      </c>
      <c r="S100" s="364">
        <f t="shared" si="42"/>
        <v>-1.9999999999999879E-4</v>
      </c>
      <c r="U100" s="332"/>
      <c r="V100" s="331"/>
    </row>
    <row r="101" spans="1:43" s="112" customFormat="1" ht="4.5" customHeight="1">
      <c r="A101" s="410"/>
      <c r="B101" s="411"/>
      <c r="C101" s="412"/>
      <c r="D101" s="412"/>
      <c r="E101" s="412"/>
      <c r="F101" s="412"/>
      <c r="G101" s="412"/>
      <c r="H101" s="412"/>
      <c r="I101" s="412"/>
      <c r="J101" s="412"/>
      <c r="K101" s="412"/>
      <c r="L101" s="412"/>
      <c r="M101" s="412"/>
      <c r="N101" s="412"/>
      <c r="O101" s="412"/>
      <c r="P101" s="412"/>
      <c r="Q101" s="412"/>
      <c r="R101" s="412"/>
      <c r="S101" s="425"/>
      <c r="U101" s="175"/>
      <c r="V101" s="131"/>
    </row>
    <row r="102" spans="1:43" s="112" customFormat="1" ht="12.95" customHeight="1">
      <c r="A102" s="421" t="s">
        <v>197</v>
      </c>
      <c r="B102" s="422"/>
      <c r="C102" s="423"/>
      <c r="D102" s="423"/>
      <c r="E102" s="423"/>
      <c r="F102" s="423"/>
      <c r="G102" s="423"/>
      <c r="H102" s="423"/>
      <c r="I102" s="423"/>
      <c r="J102" s="423"/>
      <c r="K102" s="423"/>
      <c r="L102" s="423"/>
      <c r="M102" s="423"/>
      <c r="N102" s="423"/>
      <c r="O102" s="423"/>
      <c r="P102" s="423"/>
      <c r="Q102" s="423"/>
      <c r="R102" s="423"/>
      <c r="S102" s="424"/>
      <c r="T102" s="176"/>
      <c r="U102" s="175"/>
      <c r="V102" s="131"/>
      <c r="AQ102" s="121">
        <v>185280902</v>
      </c>
    </row>
    <row r="103" spans="1:43" s="112" customFormat="1" ht="12.95" customHeight="1">
      <c r="A103" s="403">
        <v>86</v>
      </c>
      <c r="B103" s="368" t="s">
        <v>148</v>
      </c>
      <c r="C103" s="369" t="s">
        <v>147</v>
      </c>
      <c r="D103" s="325">
        <v>419170905.30000001</v>
      </c>
      <c r="E103" s="333">
        <f>(D103/$D$112)</f>
        <v>8.9090818224618498E-4</v>
      </c>
      <c r="F103" s="326">
        <v>45183.35</v>
      </c>
      <c r="G103" s="326">
        <v>45183.35</v>
      </c>
      <c r="H103" s="334">
        <v>3.5299999999999998E-2</v>
      </c>
      <c r="I103" s="334">
        <v>4.7699999999999999E-2</v>
      </c>
      <c r="J103" s="325">
        <v>404929163.23000002</v>
      </c>
      <c r="K103" s="333">
        <f t="shared" ref="K103:K111" si="43">(J103/$J$112)</f>
        <v>7.3553998658323623E-4</v>
      </c>
      <c r="L103" s="326">
        <v>44879.519999999997</v>
      </c>
      <c r="M103" s="326">
        <v>44879.519999999997</v>
      </c>
      <c r="N103" s="334">
        <v>-5.1000000000000004E-3</v>
      </c>
      <c r="O103" s="334">
        <v>4.7899999999999998E-2</v>
      </c>
      <c r="P103" s="329">
        <f t="shared" ref="P103:P111" si="44">((J103-D103)/D103)</f>
        <v>-3.3975979463095607E-2</v>
      </c>
      <c r="Q103" s="329">
        <f t="shared" ref="Q103:Q111" si="45">((M103-G103)/G103)</f>
        <v>-6.724379666403703E-3</v>
      </c>
      <c r="R103" s="329">
        <f t="shared" ref="R103:R111" si="46">N103-H103</f>
        <v>-4.0399999999999998E-2</v>
      </c>
      <c r="S103" s="364">
        <f t="shared" ref="S103:S111" si="47">O103-I103</f>
        <v>1.9999999999999879E-4</v>
      </c>
      <c r="T103"/>
      <c r="U103" s="426"/>
      <c r="V103" s="131"/>
    </row>
    <row r="104" spans="1:43" s="112" customFormat="1" ht="12.95" customHeight="1">
      <c r="A104" s="403">
        <v>87</v>
      </c>
      <c r="B104" s="369" t="s">
        <v>227</v>
      </c>
      <c r="C104" s="369" t="s">
        <v>80</v>
      </c>
      <c r="D104" s="326">
        <f>6112359.3*589.45</f>
        <v>3602930189.3850002</v>
      </c>
      <c r="E104" s="333">
        <f>(D104/$J$112)</f>
        <v>6.5445995591464027E-3</v>
      </c>
      <c r="F104" s="325">
        <f>126.49*589.45</f>
        <v>74559.530500000008</v>
      </c>
      <c r="G104" s="325">
        <f>127.37*589.45</f>
        <v>75078.246500000008</v>
      </c>
      <c r="H104" s="334">
        <v>8.0000000000000004E-4</v>
      </c>
      <c r="I104" s="334">
        <v>2.0899999999999998E-2</v>
      </c>
      <c r="J104" s="326">
        <f>6337526.48 *743.27</f>
        <v>4710493306.7896004</v>
      </c>
      <c r="K104" s="333">
        <f t="shared" si="43"/>
        <v>8.5564501110246358E-3</v>
      </c>
      <c r="L104" s="325">
        <f>126.58*743.27</f>
        <v>94083.116599999994</v>
      </c>
      <c r="M104" s="325">
        <f>127.47*743.27</f>
        <v>94744.626900000003</v>
      </c>
      <c r="N104" s="334">
        <v>8.0000000000000004E-4</v>
      </c>
      <c r="O104" s="334">
        <v>2.1700000000000001E-2</v>
      </c>
      <c r="P104" s="329">
        <f t="shared" si="44"/>
        <v>0.30740621083020619</v>
      </c>
      <c r="Q104" s="329">
        <f t="shared" si="45"/>
        <v>0.26194512148069404</v>
      </c>
      <c r="R104" s="329">
        <f t="shared" si="46"/>
        <v>0</v>
      </c>
      <c r="S104" s="364">
        <f t="shared" si="47"/>
        <v>8.000000000000021E-4</v>
      </c>
      <c r="U104" s="426"/>
      <c r="V104" s="132"/>
    </row>
    <row r="105" spans="1:43" s="112" customFormat="1" ht="12.75" customHeight="1">
      <c r="A105" s="400">
        <v>88</v>
      </c>
      <c r="B105" s="368" t="s">
        <v>142</v>
      </c>
      <c r="C105" s="369" t="s">
        <v>88</v>
      </c>
      <c r="D105" s="325">
        <v>7028962530.79</v>
      </c>
      <c r="E105" s="333">
        <f t="shared" ref="E105:E111" si="48">(D105/$D$112)</f>
        <v>1.4939396203801034E-2</v>
      </c>
      <c r="F105" s="325">
        <v>70541.2</v>
      </c>
      <c r="G105" s="325">
        <v>70541.2</v>
      </c>
      <c r="H105" s="334">
        <v>1.6999999999999999E-3</v>
      </c>
      <c r="I105" s="334">
        <v>6.0299999999999999E-2</v>
      </c>
      <c r="J105" s="325">
        <v>6799890710.54</v>
      </c>
      <c r="K105" s="333">
        <f t="shared" si="43"/>
        <v>1.235176908993625E-2</v>
      </c>
      <c r="L105" s="325">
        <v>70718.38</v>
      </c>
      <c r="M105" s="325">
        <v>70718.38</v>
      </c>
      <c r="N105" s="334">
        <v>2.5000000000000001E-3</v>
      </c>
      <c r="O105" s="334">
        <v>7.3999999999999996E-2</v>
      </c>
      <c r="P105" s="329">
        <f t="shared" si="44"/>
        <v>-3.258970569932091E-2</v>
      </c>
      <c r="Q105" s="329">
        <f t="shared" si="45"/>
        <v>2.5117236451890181E-3</v>
      </c>
      <c r="R105" s="329">
        <f t="shared" si="46"/>
        <v>8.0000000000000015E-4</v>
      </c>
      <c r="S105" s="364">
        <f t="shared" si="47"/>
        <v>1.3699999999999997E-2</v>
      </c>
      <c r="T105" s="177"/>
      <c r="U105" s="178"/>
      <c r="V105" s="179"/>
      <c r="W105" s="186"/>
      <c r="X105" s="184"/>
      <c r="Y105" s="142"/>
    </row>
    <row r="106" spans="1:43" s="112" customFormat="1" ht="12.95" customHeight="1" thickBot="1">
      <c r="A106" s="400">
        <v>89</v>
      </c>
      <c r="B106" s="368" t="s">
        <v>153</v>
      </c>
      <c r="C106" s="369" t="s">
        <v>7</v>
      </c>
      <c r="D106" s="325">
        <v>2365369091.164094</v>
      </c>
      <c r="E106" s="333">
        <f t="shared" si="48"/>
        <v>5.027368671597335E-3</v>
      </c>
      <c r="F106" s="325">
        <v>761.1109190492383</v>
      </c>
      <c r="G106" s="325">
        <v>761.1109190492383</v>
      </c>
      <c r="H106" s="334">
        <v>5.4274617031241819E-2</v>
      </c>
      <c r="I106" s="334">
        <v>5.5359744280067402E-2</v>
      </c>
      <c r="J106" s="325">
        <v>2696126232.9686165</v>
      </c>
      <c r="K106" s="333">
        <f t="shared" si="43"/>
        <v>4.8974211622738583E-3</v>
      </c>
      <c r="L106" s="325">
        <v>878.07767162177015</v>
      </c>
      <c r="M106" s="325">
        <v>878.07767162177015</v>
      </c>
      <c r="N106" s="334">
        <v>5.4217504182889252E-2</v>
      </c>
      <c r="O106" s="334">
        <v>5.5369038748182886E-2</v>
      </c>
      <c r="P106" s="329">
        <f t="shared" si="44"/>
        <v>0.13983320532938204</v>
      </c>
      <c r="Q106" s="329">
        <f t="shared" si="45"/>
        <v>0.15367898376578795</v>
      </c>
      <c r="R106" s="329">
        <f t="shared" si="46"/>
        <v>-5.7112848352566803E-5</v>
      </c>
      <c r="S106" s="364">
        <f t="shared" si="47"/>
        <v>9.2944681154838449E-6</v>
      </c>
      <c r="T106" s="166"/>
      <c r="U106" s="160"/>
      <c r="V106" s="179"/>
      <c r="W106" s="186"/>
      <c r="X106" s="184"/>
      <c r="Y106" s="143"/>
    </row>
    <row r="107" spans="1:43" s="112" customFormat="1" ht="12.75" customHeight="1">
      <c r="A107" s="394">
        <v>90</v>
      </c>
      <c r="B107" s="369" t="s">
        <v>192</v>
      </c>
      <c r="C107" s="387" t="s">
        <v>9</v>
      </c>
      <c r="D107" s="326">
        <v>6059403446.3500004</v>
      </c>
      <c r="E107" s="333">
        <f t="shared" si="48"/>
        <v>1.2878689912937398E-2</v>
      </c>
      <c r="F107" s="325">
        <f>1.0196*589.45</f>
        <v>601.00322000000006</v>
      </c>
      <c r="G107" s="325">
        <f>1.0196*589.45</f>
        <v>601.00322000000006</v>
      </c>
      <c r="H107" s="334">
        <v>1.6000000000000001E-3</v>
      </c>
      <c r="I107" s="334">
        <v>9.5000000000000001E-2</v>
      </c>
      <c r="J107" s="326">
        <v>7796972792.04</v>
      </c>
      <c r="K107" s="333">
        <f t="shared" si="43"/>
        <v>1.4162934615774968E-2</v>
      </c>
      <c r="L107" s="325">
        <f>1.0122*743.27</f>
        <v>752.33789400000001</v>
      </c>
      <c r="M107" s="325">
        <f>1.0122*743.27</f>
        <v>752.33789400000001</v>
      </c>
      <c r="N107" s="334">
        <v>1.6000000000000001E-3</v>
      </c>
      <c r="O107" s="334">
        <v>9.0399999999999994E-2</v>
      </c>
      <c r="P107" s="329">
        <f t="shared" si="44"/>
        <v>0.28675584338861909</v>
      </c>
      <c r="Q107" s="329">
        <f t="shared" si="45"/>
        <v>0.25180343293335422</v>
      </c>
      <c r="R107" s="329">
        <f t="shared" si="46"/>
        <v>0</v>
      </c>
      <c r="S107" s="364">
        <f t="shared" si="47"/>
        <v>-4.6000000000000069E-3</v>
      </c>
      <c r="U107" s="184"/>
      <c r="V107" s="184"/>
      <c r="W107" s="184"/>
      <c r="X107" s="186"/>
    </row>
    <row r="108" spans="1:43" s="112" customFormat="1" ht="12.75" customHeight="1">
      <c r="A108" s="403">
        <v>91</v>
      </c>
      <c r="B108" s="368" t="s">
        <v>161</v>
      </c>
      <c r="C108" s="369" t="s">
        <v>160</v>
      </c>
      <c r="D108" s="325">
        <v>160963794.09999999</v>
      </c>
      <c r="E108" s="333">
        <f t="shared" si="48"/>
        <v>3.421133465989157E-4</v>
      </c>
      <c r="F108" s="325">
        <v>663.04</v>
      </c>
      <c r="G108" s="325">
        <v>663.04</v>
      </c>
      <c r="H108" s="334">
        <v>3.5362999999999999E-2</v>
      </c>
      <c r="I108" s="334">
        <v>0.102686</v>
      </c>
      <c r="J108" s="325">
        <v>183968364.40000001</v>
      </c>
      <c r="K108" s="333">
        <f t="shared" si="43"/>
        <v>3.3417224682741927E-4</v>
      </c>
      <c r="L108" s="325">
        <v>756.35</v>
      </c>
      <c r="M108" s="325">
        <v>756.35</v>
      </c>
      <c r="N108" s="334">
        <v>1.5380000000000001E-3</v>
      </c>
      <c r="O108" s="334">
        <v>0.104379</v>
      </c>
      <c r="P108" s="329">
        <f t="shared" si="44"/>
        <v>0.14291766933443584</v>
      </c>
      <c r="Q108" s="329">
        <f t="shared" si="45"/>
        <v>0.14073057432432443</v>
      </c>
      <c r="R108" s="329">
        <f t="shared" si="46"/>
        <v>-3.3825000000000001E-2</v>
      </c>
      <c r="S108" s="364">
        <f t="shared" si="47"/>
        <v>1.6930000000000001E-3</v>
      </c>
      <c r="U108" s="184"/>
      <c r="V108" s="184"/>
      <c r="W108" s="184"/>
      <c r="X108" s="186"/>
    </row>
    <row r="109" spans="1:43" s="112" customFormat="1" ht="12.75" customHeight="1">
      <c r="A109" s="404">
        <v>92</v>
      </c>
      <c r="B109" s="368" t="s">
        <v>93</v>
      </c>
      <c r="C109" s="369" t="s">
        <v>5</v>
      </c>
      <c r="D109" s="326">
        <v>285263219285.98999</v>
      </c>
      <c r="E109" s="333">
        <f t="shared" si="48"/>
        <v>0.6063000388204095</v>
      </c>
      <c r="F109" s="325">
        <v>933.69</v>
      </c>
      <c r="G109" s="325">
        <v>933.69</v>
      </c>
      <c r="H109" s="334">
        <v>1.4E-3</v>
      </c>
      <c r="I109" s="334">
        <v>3.1800000000000002E-2</v>
      </c>
      <c r="J109" s="326">
        <v>331639905466.70001</v>
      </c>
      <c r="K109" s="333">
        <f t="shared" si="43"/>
        <v>0.60241255451113895</v>
      </c>
      <c r="L109" s="325">
        <v>1086.17</v>
      </c>
      <c r="M109" s="325">
        <v>1086.17</v>
      </c>
      <c r="N109" s="334">
        <v>1.5E-3</v>
      </c>
      <c r="O109" s="334">
        <v>3.3300000000000003E-2</v>
      </c>
      <c r="P109" s="329">
        <f t="shared" si="44"/>
        <v>0.16257506416982268</v>
      </c>
      <c r="Q109" s="329">
        <f t="shared" si="45"/>
        <v>0.16330902119547175</v>
      </c>
      <c r="R109" s="329">
        <f t="shared" si="46"/>
        <v>1.0000000000000005E-4</v>
      </c>
      <c r="S109" s="364">
        <f t="shared" si="47"/>
        <v>1.5000000000000013E-3</v>
      </c>
      <c r="T109"/>
      <c r="U109" s="292"/>
      <c r="V109" s="292"/>
      <c r="W109" s="292"/>
      <c r="X109" s="293"/>
    </row>
    <row r="110" spans="1:43" s="330" customFormat="1" ht="12.75" customHeight="1">
      <c r="A110" s="396">
        <v>93</v>
      </c>
      <c r="B110" s="368" t="s">
        <v>253</v>
      </c>
      <c r="C110" s="369" t="s">
        <v>41</v>
      </c>
      <c r="D110" s="326">
        <v>8265942111.2600002</v>
      </c>
      <c r="E110" s="333">
        <f t="shared" si="48"/>
        <v>1.756847950986554E-2</v>
      </c>
      <c r="F110" s="326">
        <v>688.43</v>
      </c>
      <c r="G110" s="326">
        <v>688.43</v>
      </c>
      <c r="H110" s="334">
        <v>8.9200000000000002E-2</v>
      </c>
      <c r="I110" s="334">
        <v>8.7800000000000003E-2</v>
      </c>
      <c r="J110" s="326">
        <v>9654825881.5300007</v>
      </c>
      <c r="K110" s="333">
        <f t="shared" si="43"/>
        <v>1.7537661260842299E-2</v>
      </c>
      <c r="L110" s="326">
        <v>800.9</v>
      </c>
      <c r="M110" s="326">
        <v>800.9</v>
      </c>
      <c r="N110" s="334">
        <v>8.3599999999999994E-2</v>
      </c>
      <c r="O110" s="334">
        <v>8.7599999999999997E-2</v>
      </c>
      <c r="P110" s="329">
        <f t="shared" si="44"/>
        <v>0.16802486051505738</v>
      </c>
      <c r="Q110" s="329">
        <f t="shared" si="45"/>
        <v>0.16337172987812854</v>
      </c>
      <c r="R110" s="329">
        <f t="shared" si="46"/>
        <v>-5.6000000000000077E-3</v>
      </c>
      <c r="S110" s="364">
        <f t="shared" si="47"/>
        <v>-2.0000000000000573E-4</v>
      </c>
      <c r="T110" s="356"/>
      <c r="U110" s="355"/>
      <c r="V110" s="355"/>
      <c r="W110" s="355"/>
      <c r="X110" s="354"/>
    </row>
    <row r="111" spans="1:43" s="112" customFormat="1" ht="12.95" customHeight="1">
      <c r="A111" s="397">
        <v>94</v>
      </c>
      <c r="B111" s="368" t="s">
        <v>280</v>
      </c>
      <c r="C111" s="369" t="s">
        <v>243</v>
      </c>
      <c r="D111" s="325">
        <v>7828823400.6499996</v>
      </c>
      <c r="E111" s="333">
        <f t="shared" si="48"/>
        <v>1.6639424962015575E-2</v>
      </c>
      <c r="F111" s="325">
        <v>588.95000000000005</v>
      </c>
      <c r="G111" s="325">
        <v>588.95000000000005</v>
      </c>
      <c r="H111" s="334">
        <v>1E-3</v>
      </c>
      <c r="I111" s="334">
        <v>3.7100000000000001E-2</v>
      </c>
      <c r="J111" s="325">
        <v>11043044530.93</v>
      </c>
      <c r="K111" s="333">
        <f t="shared" si="43"/>
        <v>2.0059312995208228E-2</v>
      </c>
      <c r="L111" s="325">
        <v>742.77</v>
      </c>
      <c r="M111" s="325">
        <v>742.77</v>
      </c>
      <c r="N111" s="334">
        <v>1.2999999999999999E-3</v>
      </c>
      <c r="O111" s="334">
        <v>3.7100000000000001E-2</v>
      </c>
      <c r="P111" s="329">
        <f t="shared" si="44"/>
        <v>0.41056247737215978</v>
      </c>
      <c r="Q111" s="329">
        <f t="shared" si="45"/>
        <v>0.26117667034553005</v>
      </c>
      <c r="R111" s="329">
        <f t="shared" si="46"/>
        <v>2.9999999999999992E-4</v>
      </c>
      <c r="S111" s="364">
        <f t="shared" si="47"/>
        <v>0</v>
      </c>
      <c r="U111" s="184"/>
      <c r="V111" s="184"/>
      <c r="W111" s="184"/>
      <c r="X111" s="186"/>
    </row>
    <row r="112" spans="1:43" s="112" customFormat="1" ht="13.5" customHeight="1">
      <c r="A112" s="214"/>
      <c r="C112" s="286" t="s">
        <v>42</v>
      </c>
      <c r="D112" s="76">
        <f>SUM(D91:D111)</f>
        <v>470498434802.98218</v>
      </c>
      <c r="E112" s="262">
        <f>(D112/$D$168)</f>
        <v>0.26382800990941263</v>
      </c>
      <c r="F112" s="264"/>
      <c r="G112" s="73"/>
      <c r="H112" s="276"/>
      <c r="I112" s="276"/>
      <c r="J112" s="76">
        <f>SUM(J91:J111)</f>
        <v>550519578291.03943</v>
      </c>
      <c r="K112" s="262">
        <f>(J112/$J$168)</f>
        <v>0.29360521583709281</v>
      </c>
      <c r="L112" s="264"/>
      <c r="M112" s="73"/>
      <c r="N112" s="278"/>
      <c r="O112" s="278"/>
      <c r="P112" s="266">
        <f t="shared" ref="P112" si="49">((J112-D112)/D112)</f>
        <v>0.17007738510663808</v>
      </c>
      <c r="Q112" s="266"/>
      <c r="R112" s="266">
        <f t="shared" ref="R112:S112" si="50">N112-H112</f>
        <v>0</v>
      </c>
      <c r="S112" s="364">
        <f t="shared" si="50"/>
        <v>0</v>
      </c>
      <c r="U112" s="184"/>
      <c r="V112" s="184"/>
      <c r="W112" s="184"/>
      <c r="X112" s="184"/>
    </row>
    <row r="113" spans="1:23" s="112" customFormat="1" ht="4.5" customHeight="1">
      <c r="A113" s="410"/>
      <c r="B113" s="411"/>
      <c r="C113" s="412"/>
      <c r="D113" s="412"/>
      <c r="E113" s="412"/>
      <c r="F113" s="412"/>
      <c r="G113" s="412"/>
      <c r="H113" s="412"/>
      <c r="I113" s="412"/>
      <c r="J113" s="412"/>
      <c r="K113" s="412"/>
      <c r="L113" s="412"/>
      <c r="M113" s="412"/>
      <c r="N113" s="412"/>
      <c r="O113" s="412"/>
      <c r="P113" s="412"/>
      <c r="Q113" s="412"/>
      <c r="R113" s="412"/>
      <c r="S113" s="425"/>
      <c r="T113" s="118"/>
      <c r="U113" s="133"/>
    </row>
    <row r="114" spans="1:23" s="112" customFormat="1" ht="12.95" customHeight="1">
      <c r="A114" s="413" t="s">
        <v>211</v>
      </c>
      <c r="B114" s="414"/>
      <c r="C114" s="415"/>
      <c r="D114" s="415"/>
      <c r="E114" s="415"/>
      <c r="F114" s="415"/>
      <c r="G114" s="415"/>
      <c r="H114" s="415"/>
      <c r="I114" s="415"/>
      <c r="J114" s="415"/>
      <c r="K114" s="415"/>
      <c r="L114" s="415"/>
      <c r="M114" s="415"/>
      <c r="N114" s="415"/>
      <c r="O114" s="415"/>
      <c r="P114" s="415"/>
      <c r="Q114" s="415"/>
      <c r="R114" s="415"/>
      <c r="S114" s="416"/>
    </row>
    <row r="115" spans="1:23" s="112" customFormat="1" ht="12.95" customHeight="1">
      <c r="A115" s="394">
        <v>95</v>
      </c>
      <c r="B115" s="368" t="s">
        <v>224</v>
      </c>
      <c r="C115" s="369" t="s">
        <v>9</v>
      </c>
      <c r="D115" s="326">
        <v>54330953714</v>
      </c>
      <c r="E115" s="333">
        <f>(D115/$D$119)</f>
        <v>0.58139126645385364</v>
      </c>
      <c r="F115" s="327">
        <v>101.54</v>
      </c>
      <c r="G115" s="327">
        <v>101.54</v>
      </c>
      <c r="H115" s="334">
        <v>0</v>
      </c>
      <c r="I115" s="334">
        <v>7.6999999999999999E-2</v>
      </c>
      <c r="J115" s="326">
        <v>54330953714</v>
      </c>
      <c r="K115" s="333">
        <f>(J115/$J$119)</f>
        <v>0.58130837251405565</v>
      </c>
      <c r="L115" s="327">
        <v>101.72</v>
      </c>
      <c r="M115" s="327">
        <v>101.72</v>
      </c>
      <c r="N115" s="334">
        <v>0</v>
      </c>
      <c r="O115" s="334">
        <v>7.6999999999999999E-2</v>
      </c>
      <c r="P115" s="329">
        <f>((J115-D115)/D115)</f>
        <v>0</v>
      </c>
      <c r="Q115" s="329">
        <f>((M115-G115)/G115)</f>
        <v>1.7727004136300236E-3</v>
      </c>
      <c r="R115" s="329">
        <f t="shared" ref="R115:S118" si="51">N115-H115</f>
        <v>0</v>
      </c>
      <c r="S115" s="364">
        <f t="shared" si="51"/>
        <v>0</v>
      </c>
    </row>
    <row r="116" spans="1:23" s="112" customFormat="1" ht="12.95" customHeight="1">
      <c r="A116" s="397">
        <v>96</v>
      </c>
      <c r="B116" s="368" t="s">
        <v>140</v>
      </c>
      <c r="C116" s="369" t="s">
        <v>20</v>
      </c>
      <c r="D116" s="326">
        <v>2388045303.77</v>
      </c>
      <c r="E116" s="333">
        <f>(D116/$D$119)</f>
        <v>2.5554285146852814E-2</v>
      </c>
      <c r="F116" s="327">
        <v>77</v>
      </c>
      <c r="G116" s="327">
        <v>77</v>
      </c>
      <c r="H116" s="334">
        <v>8.7499999999999994E-2</v>
      </c>
      <c r="I116" s="334">
        <v>0.13969999999999999</v>
      </c>
      <c r="J116" s="326">
        <v>2392753042.1500001</v>
      </c>
      <c r="K116" s="333">
        <f>(J116/$J$119)</f>
        <v>2.5601011609002147E-2</v>
      </c>
      <c r="L116" s="327">
        <v>77</v>
      </c>
      <c r="M116" s="327">
        <v>77</v>
      </c>
      <c r="N116" s="334">
        <v>0.1048</v>
      </c>
      <c r="O116" s="334">
        <v>0.13980000000000001</v>
      </c>
      <c r="P116" s="329">
        <f>((J116-D116)/D116)</f>
        <v>1.9713773321502828E-3</v>
      </c>
      <c r="Q116" s="329">
        <f>((M116-G116)/G116)</f>
        <v>0</v>
      </c>
      <c r="R116" s="329">
        <f t="shared" si="51"/>
        <v>1.730000000000001E-2</v>
      </c>
      <c r="S116" s="364">
        <f t="shared" si="51"/>
        <v>1.0000000000001674E-4</v>
      </c>
      <c r="T116" s="134"/>
      <c r="U116" s="165"/>
    </row>
    <row r="117" spans="1:23" s="112" customFormat="1" ht="12.95" customHeight="1">
      <c r="A117" s="403">
        <v>97</v>
      </c>
      <c r="B117" s="368" t="s">
        <v>21</v>
      </c>
      <c r="C117" s="369" t="s">
        <v>20</v>
      </c>
      <c r="D117" s="326">
        <v>9873020532.8299999</v>
      </c>
      <c r="E117" s="333">
        <f>(D117/$D$119)</f>
        <v>0.10565041691561229</v>
      </c>
      <c r="F117" s="327">
        <v>36.6</v>
      </c>
      <c r="G117" s="327">
        <v>36.6</v>
      </c>
      <c r="H117" s="334">
        <v>7.6499999999999999E-2</v>
      </c>
      <c r="I117" s="334">
        <v>0.1757</v>
      </c>
      <c r="J117" s="326">
        <v>9875245071.0699997</v>
      </c>
      <c r="K117" s="333">
        <f>(J117/$J$119)</f>
        <v>0.10565915464432429</v>
      </c>
      <c r="L117" s="327">
        <v>36.6</v>
      </c>
      <c r="M117" s="327">
        <v>36.6</v>
      </c>
      <c r="N117" s="334">
        <v>9.5999999999999992E-3</v>
      </c>
      <c r="O117" s="334">
        <v>0.16969999999999999</v>
      </c>
      <c r="P117" s="329">
        <f>((J117-D117)/D117)</f>
        <v>2.2531486008792187E-4</v>
      </c>
      <c r="Q117" s="329">
        <f>((M117-G117)/G117)</f>
        <v>0</v>
      </c>
      <c r="R117" s="329">
        <f t="shared" si="51"/>
        <v>-6.6900000000000001E-2</v>
      </c>
      <c r="S117" s="364">
        <f t="shared" si="51"/>
        <v>-6.0000000000000053E-3</v>
      </c>
      <c r="T117" s="135"/>
      <c r="U117" s="113"/>
    </row>
    <row r="118" spans="1:23" s="136" customFormat="1" ht="12.95" customHeight="1">
      <c r="A118" s="404">
        <v>98</v>
      </c>
      <c r="B118" s="368" t="s">
        <v>182</v>
      </c>
      <c r="C118" s="369" t="s">
        <v>5</v>
      </c>
      <c r="D118" s="326">
        <v>26857877014.560001</v>
      </c>
      <c r="E118" s="333">
        <f>(D118/$D$119)</f>
        <v>0.28740403148368127</v>
      </c>
      <c r="F118" s="327">
        <v>3.6</v>
      </c>
      <c r="G118" s="327">
        <v>3.6</v>
      </c>
      <c r="H118" s="334">
        <v>7.46E-2</v>
      </c>
      <c r="I118" s="334">
        <v>0.2</v>
      </c>
      <c r="J118" s="326">
        <v>26864270591.25</v>
      </c>
      <c r="K118" s="333">
        <f>(J118/$J$119)</f>
        <v>0.28743146123261787</v>
      </c>
      <c r="L118" s="327">
        <v>3.6</v>
      </c>
      <c r="M118" s="327">
        <v>3.6</v>
      </c>
      <c r="N118" s="334">
        <v>4.1700000000000001E-2</v>
      </c>
      <c r="O118" s="334">
        <v>0.25</v>
      </c>
      <c r="P118" s="329">
        <f>((J118-D118)/D118)</f>
        <v>2.3805219923125667E-4</v>
      </c>
      <c r="Q118" s="329">
        <f>((M118-G118)/G118)</f>
        <v>0</v>
      </c>
      <c r="R118" s="329">
        <f t="shared" si="51"/>
        <v>-3.2899999999999999E-2</v>
      </c>
      <c r="S118" s="364">
        <f t="shared" si="51"/>
        <v>4.9999999999999989E-2</v>
      </c>
      <c r="T118" s="135"/>
      <c r="U118" s="160"/>
    </row>
    <row r="119" spans="1:23" s="112" customFormat="1" ht="12.75" customHeight="1">
      <c r="A119" s="214"/>
      <c r="C119" s="244" t="s">
        <v>42</v>
      </c>
      <c r="D119" s="70">
        <f>SUM(D115:D118)</f>
        <v>93449896565.160004</v>
      </c>
      <c r="E119" s="262">
        <f>(D119/$D$168)</f>
        <v>5.2401237524521409E-2</v>
      </c>
      <c r="F119" s="72"/>
      <c r="G119" s="72"/>
      <c r="H119" s="245"/>
      <c r="I119" s="245"/>
      <c r="J119" s="70">
        <f>SUM(J115:J118)</f>
        <v>93463222418.470001</v>
      </c>
      <c r="K119" s="262">
        <f>(J119/$J$168)</f>
        <v>4.9846164738028442E-2</v>
      </c>
      <c r="L119" s="264"/>
      <c r="M119" s="72"/>
      <c r="N119" s="265"/>
      <c r="O119" s="265"/>
      <c r="P119" s="266">
        <f>((J119-D119)/D119)</f>
        <v>1.4259890914599156E-4</v>
      </c>
      <c r="Q119" s="266"/>
      <c r="R119" s="266">
        <f>N119-H119</f>
        <v>0</v>
      </c>
      <c r="S119" s="364">
        <f t="shared" ref="S119" si="52">O119-I119</f>
        <v>0</v>
      </c>
      <c r="T119" s="160"/>
      <c r="U119" s="160"/>
      <c r="V119" s="180"/>
      <c r="W119" s="406"/>
    </row>
    <row r="120" spans="1:23" s="112" customFormat="1" ht="5.25" customHeight="1">
      <c r="A120" s="410"/>
      <c r="B120" s="411"/>
      <c r="C120" s="412"/>
      <c r="D120" s="412"/>
      <c r="E120" s="412"/>
      <c r="F120" s="412"/>
      <c r="G120" s="412"/>
      <c r="H120" s="412"/>
      <c r="I120" s="412"/>
      <c r="J120" s="412"/>
      <c r="K120" s="412"/>
      <c r="L120" s="412"/>
      <c r="M120" s="412"/>
      <c r="N120" s="412"/>
      <c r="O120" s="412"/>
      <c r="P120" s="412"/>
      <c r="Q120" s="412"/>
      <c r="R120" s="412"/>
      <c r="S120" s="425"/>
      <c r="T120" s="160"/>
      <c r="U120" s="160"/>
      <c r="V120" s="180"/>
      <c r="W120" s="406"/>
    </row>
    <row r="121" spans="1:23" s="112" customFormat="1" ht="12" customHeight="1">
      <c r="A121" s="417" t="s">
        <v>221</v>
      </c>
      <c r="B121" s="418"/>
      <c r="C121" s="419"/>
      <c r="D121" s="419"/>
      <c r="E121" s="419"/>
      <c r="F121" s="419"/>
      <c r="G121" s="419"/>
      <c r="H121" s="419"/>
      <c r="I121" s="419"/>
      <c r="J121" s="419"/>
      <c r="K121" s="419"/>
      <c r="L121" s="419"/>
      <c r="M121" s="419"/>
      <c r="N121" s="419"/>
      <c r="O121" s="419"/>
      <c r="P121" s="419"/>
      <c r="Q121" s="419"/>
      <c r="R121" s="419"/>
      <c r="S121" s="420"/>
      <c r="T121" s="184"/>
      <c r="U121" s="186"/>
      <c r="V121" s="180"/>
      <c r="W121" s="406"/>
    </row>
    <row r="122" spans="1:23" s="112" customFormat="1" ht="12" customHeight="1">
      <c r="A122" s="403">
        <v>99</v>
      </c>
      <c r="B122" s="368" t="s">
        <v>116</v>
      </c>
      <c r="C122" s="369" t="s">
        <v>36</v>
      </c>
      <c r="D122" s="325">
        <v>186288631.78999999</v>
      </c>
      <c r="E122" s="333">
        <f t="shared" ref="E122:E145" si="53">(D122/$D$146)</f>
        <v>5.2117286739247048E-3</v>
      </c>
      <c r="F122" s="325">
        <v>4.17</v>
      </c>
      <c r="G122" s="325">
        <v>4.24</v>
      </c>
      <c r="H122" s="315">
        <v>3.5217999999999999E-2</v>
      </c>
      <c r="I122" s="315">
        <v>0.110523</v>
      </c>
      <c r="J122" s="325">
        <v>187052986.65000001</v>
      </c>
      <c r="K122" s="314">
        <f t="shared" ref="K122:K135" si="54">(J122/$J$146)</f>
        <v>5.1632013805295029E-3</v>
      </c>
      <c r="L122" s="325">
        <v>4.1900000000000004</v>
      </c>
      <c r="M122" s="325">
        <v>4.25</v>
      </c>
      <c r="N122" s="315">
        <v>4.5250000000000004E-3</v>
      </c>
      <c r="O122" s="315">
        <v>0.115048</v>
      </c>
      <c r="P122" s="329">
        <f t="shared" ref="P122:P145" si="55">((J122-D122)/D122)</f>
        <v>4.1030676571915487E-3</v>
      </c>
      <c r="Q122" s="329">
        <f t="shared" ref="Q122:Q145" si="56">((M122-G122)/G122)</f>
        <v>2.3584905660376855E-3</v>
      </c>
      <c r="R122" s="329">
        <f t="shared" ref="R122:R145" si="57">N122-H122</f>
        <v>-3.0692999999999998E-2</v>
      </c>
      <c r="S122" s="364">
        <f t="shared" ref="S122:S145" si="58">O122-I122</f>
        <v>4.5250000000000012E-3</v>
      </c>
      <c r="T122" s="408"/>
      <c r="U122" s="166"/>
      <c r="V122" s="184"/>
    </row>
    <row r="123" spans="1:23" s="112" customFormat="1" ht="12" customHeight="1">
      <c r="A123" s="400">
        <v>100</v>
      </c>
      <c r="B123" s="368" t="s">
        <v>155</v>
      </c>
      <c r="C123" s="369" t="s">
        <v>6</v>
      </c>
      <c r="D123" s="325">
        <v>5423260890.4499998</v>
      </c>
      <c r="E123" s="333">
        <f t="shared" si="53"/>
        <v>0.15172457931192954</v>
      </c>
      <c r="F123" s="325">
        <v>595.3931</v>
      </c>
      <c r="G123" s="325">
        <v>613.34460000000001</v>
      </c>
      <c r="H123" s="315">
        <v>0.2863</v>
      </c>
      <c r="I123" s="315">
        <v>2.0836999999999999</v>
      </c>
      <c r="J123" s="325">
        <v>5379490467.0699997</v>
      </c>
      <c r="K123" s="314">
        <f t="shared" si="54"/>
        <v>0.14848943662200073</v>
      </c>
      <c r="L123" s="325">
        <v>590.50580000000002</v>
      </c>
      <c r="M123" s="325">
        <v>608.30999999999995</v>
      </c>
      <c r="N123" s="315">
        <v>-0.42799999999999999</v>
      </c>
      <c r="O123" s="315">
        <v>0.25530000000000003</v>
      </c>
      <c r="P123" s="329">
        <f t="shared" si="55"/>
        <v>-8.0708681113012479E-3</v>
      </c>
      <c r="Q123" s="329">
        <f t="shared" si="56"/>
        <v>-8.2084361711182718E-3</v>
      </c>
      <c r="R123" s="329">
        <f t="shared" si="57"/>
        <v>-0.71429999999999993</v>
      </c>
      <c r="S123" s="364">
        <f t="shared" si="58"/>
        <v>-1.8283999999999998</v>
      </c>
      <c r="T123" s="408"/>
      <c r="W123" s="187"/>
    </row>
    <row r="124" spans="1:23" s="112" customFormat="1" ht="12" customHeight="1">
      <c r="A124" s="399">
        <v>101</v>
      </c>
      <c r="B124" s="368" t="s">
        <v>241</v>
      </c>
      <c r="C124" s="369" t="s">
        <v>12</v>
      </c>
      <c r="D124" s="325">
        <v>2912210240.25</v>
      </c>
      <c r="E124" s="333">
        <f t="shared" si="53"/>
        <v>8.1473836958111251E-2</v>
      </c>
      <c r="F124" s="325">
        <v>16.171800000000001</v>
      </c>
      <c r="G124" s="325">
        <v>16.3429</v>
      </c>
      <c r="H124" s="334">
        <v>4.7600000000000003E-2</v>
      </c>
      <c r="I124" s="334">
        <v>0.16669999999999999</v>
      </c>
      <c r="J124" s="325">
        <v>2916603768.6599998</v>
      </c>
      <c r="K124" s="314">
        <f t="shared" si="54"/>
        <v>8.0506667519723671E-2</v>
      </c>
      <c r="L124" s="325">
        <v>15.963900000000001</v>
      </c>
      <c r="M124" s="325">
        <v>16.128499999999999</v>
      </c>
      <c r="N124" s="334">
        <v>7.6E-3</v>
      </c>
      <c r="O124" s="334">
        <v>0.15160000000000001</v>
      </c>
      <c r="P124" s="329">
        <f t="shared" si="55"/>
        <v>1.5086577024132307E-3</v>
      </c>
      <c r="Q124" s="329">
        <f t="shared" si="56"/>
        <v>-1.3118846716311135E-2</v>
      </c>
      <c r="R124" s="329">
        <f t="shared" si="57"/>
        <v>-0.04</v>
      </c>
      <c r="S124" s="364">
        <f t="shared" si="58"/>
        <v>-1.5099999999999975E-2</v>
      </c>
      <c r="T124" s="186"/>
      <c r="U124" s="113"/>
      <c r="W124" s="187"/>
    </row>
    <row r="125" spans="1:23" s="112" customFormat="1" ht="12" customHeight="1">
      <c r="A125" s="399">
        <v>102</v>
      </c>
      <c r="B125" s="368" t="s">
        <v>143</v>
      </c>
      <c r="C125" s="369" t="s">
        <v>102</v>
      </c>
      <c r="D125" s="326">
        <v>1142804967.6199999</v>
      </c>
      <c r="E125" s="333">
        <f t="shared" si="53"/>
        <v>3.197183510995364E-2</v>
      </c>
      <c r="F125" s="325">
        <v>2.6602999999999999</v>
      </c>
      <c r="G125" s="325">
        <v>2.7210000000000001</v>
      </c>
      <c r="H125" s="334">
        <v>1.9602820645514574</v>
      </c>
      <c r="I125" s="334">
        <v>0.38727169257023109</v>
      </c>
      <c r="J125" s="326">
        <v>1152185540.3800001</v>
      </c>
      <c r="K125" s="314">
        <f t="shared" si="54"/>
        <v>3.1803640664917164E-2</v>
      </c>
      <c r="L125" s="325">
        <v>2.6819999999999999</v>
      </c>
      <c r="M125" s="325">
        <v>2.7435</v>
      </c>
      <c r="N125" s="334">
        <v>0.43140816824433431</v>
      </c>
      <c r="O125" s="334">
        <v>0.39175386604671253</v>
      </c>
      <c r="P125" s="329">
        <f t="shared" si="55"/>
        <v>8.2083759047146647E-3</v>
      </c>
      <c r="Q125" s="329">
        <f t="shared" si="56"/>
        <v>8.269018743109138E-3</v>
      </c>
      <c r="R125" s="329">
        <f t="shared" si="57"/>
        <v>-1.5288738963071231</v>
      </c>
      <c r="S125" s="364">
        <f t="shared" si="58"/>
        <v>4.4821734764814436E-3</v>
      </c>
      <c r="T125" s="186"/>
      <c r="U125" s="113"/>
      <c r="W125" s="187"/>
    </row>
    <row r="126" spans="1:23" s="112" customFormat="1" ht="12" customHeight="1">
      <c r="A126" s="400">
        <v>103</v>
      </c>
      <c r="B126" s="368" t="s">
        <v>266</v>
      </c>
      <c r="C126" s="369" t="s">
        <v>7</v>
      </c>
      <c r="D126" s="326">
        <v>2615945343.5957499</v>
      </c>
      <c r="E126" s="333">
        <f t="shared" si="53"/>
        <v>7.3185342689116459E-2</v>
      </c>
      <c r="F126" s="325">
        <v>4883.51659907456</v>
      </c>
      <c r="G126" s="325">
        <v>4919.8318449966901</v>
      </c>
      <c r="H126" s="334">
        <v>2.1541783192050064</v>
      </c>
      <c r="I126" s="334">
        <v>0.35089981265052544</v>
      </c>
      <c r="J126" s="326">
        <v>2631605616.6355901</v>
      </c>
      <c r="K126" s="314">
        <f t="shared" si="54"/>
        <v>7.2639897369006126E-2</v>
      </c>
      <c r="L126" s="325">
        <v>4906.4017057730798</v>
      </c>
      <c r="M126" s="325">
        <v>4939.3351779398099</v>
      </c>
      <c r="N126" s="334">
        <v>0.24435154976356507</v>
      </c>
      <c r="O126" s="334">
        <v>0.34819161951022115</v>
      </c>
      <c r="P126" s="329">
        <f t="shared" si="55"/>
        <v>5.9864679811369378E-3</v>
      </c>
      <c r="Q126" s="329">
        <f t="shared" si="56"/>
        <v>3.96422755036925E-3</v>
      </c>
      <c r="R126" s="329">
        <f t="shared" si="57"/>
        <v>-1.9098267694414413</v>
      </c>
      <c r="S126" s="364">
        <f t="shared" si="58"/>
        <v>-2.7081931403042936E-3</v>
      </c>
      <c r="T126" s="186"/>
      <c r="U126" s="113"/>
      <c r="W126" s="187"/>
    </row>
    <row r="127" spans="1:23" s="112" customFormat="1" ht="12" customHeight="1">
      <c r="A127" s="400">
        <v>104</v>
      </c>
      <c r="B127" s="368" t="s">
        <v>156</v>
      </c>
      <c r="C127" s="369" t="s">
        <v>88</v>
      </c>
      <c r="D127" s="325">
        <v>407139017.07999998</v>
      </c>
      <c r="E127" s="333">
        <f t="shared" si="53"/>
        <v>1.1390378839549027E-2</v>
      </c>
      <c r="F127" s="325">
        <v>148.06</v>
      </c>
      <c r="G127" s="325">
        <v>149.12</v>
      </c>
      <c r="H127" s="334">
        <v>5.79E-2</v>
      </c>
      <c r="I127" s="334">
        <v>0.15989999999999999</v>
      </c>
      <c r="J127" s="325">
        <v>408833544.89999998</v>
      </c>
      <c r="K127" s="314">
        <f t="shared" si="54"/>
        <v>1.1284983796512132E-2</v>
      </c>
      <c r="L127" s="325">
        <v>148.63</v>
      </c>
      <c r="M127" s="325">
        <v>149.69999999999999</v>
      </c>
      <c r="N127" s="334">
        <v>3.8999999999999998E-3</v>
      </c>
      <c r="O127" s="334">
        <v>0.1641</v>
      </c>
      <c r="P127" s="329">
        <f t="shared" si="55"/>
        <v>4.1620374096129186E-3</v>
      </c>
      <c r="Q127" s="329">
        <f t="shared" si="56"/>
        <v>3.8894849785406655E-3</v>
      </c>
      <c r="R127" s="329">
        <f t="shared" si="57"/>
        <v>-5.3999999999999999E-2</v>
      </c>
      <c r="S127" s="364">
        <f t="shared" si="58"/>
        <v>4.2000000000000093E-3</v>
      </c>
      <c r="U127" s="113"/>
      <c r="W127" s="187"/>
    </row>
    <row r="128" spans="1:23" s="112" customFormat="1" ht="12" customHeight="1">
      <c r="A128" s="403">
        <v>105</v>
      </c>
      <c r="B128" s="368" t="s">
        <v>180</v>
      </c>
      <c r="C128" s="369" t="s">
        <v>178</v>
      </c>
      <c r="D128" s="325">
        <v>3734808.11</v>
      </c>
      <c r="E128" s="333">
        <f t="shared" si="53"/>
        <v>1.0448735562369624E-4</v>
      </c>
      <c r="F128" s="325">
        <v>102.747</v>
      </c>
      <c r="G128" s="325">
        <v>102.99</v>
      </c>
      <c r="H128" s="334">
        <v>0</v>
      </c>
      <c r="I128" s="334">
        <v>0</v>
      </c>
      <c r="J128" s="325">
        <v>3734808.11</v>
      </c>
      <c r="K128" s="314">
        <f t="shared" si="54"/>
        <v>1.0309146480321533E-4</v>
      </c>
      <c r="L128" s="325">
        <v>102.747</v>
      </c>
      <c r="M128" s="325">
        <v>102.99</v>
      </c>
      <c r="N128" s="334">
        <v>0</v>
      </c>
      <c r="O128" s="334">
        <v>0</v>
      </c>
      <c r="P128" s="329">
        <f t="shared" si="55"/>
        <v>0</v>
      </c>
      <c r="Q128" s="329">
        <f t="shared" si="56"/>
        <v>0</v>
      </c>
      <c r="R128" s="329">
        <f t="shared" si="57"/>
        <v>0</v>
      </c>
      <c r="S128" s="364">
        <f t="shared" si="58"/>
        <v>0</v>
      </c>
      <c r="U128" s="113"/>
    </row>
    <row r="129" spans="1:22" s="112" customFormat="1" ht="12" customHeight="1">
      <c r="A129" s="403">
        <v>106</v>
      </c>
      <c r="B129" s="368" t="s">
        <v>109</v>
      </c>
      <c r="C129" s="369" t="s">
        <v>107</v>
      </c>
      <c r="D129" s="325">
        <v>142270957.31999999</v>
      </c>
      <c r="E129" s="333">
        <f t="shared" si="53"/>
        <v>3.9802623520646015E-3</v>
      </c>
      <c r="F129" s="325">
        <v>1.3144</v>
      </c>
      <c r="G129" s="325">
        <v>1.3270999999999999</v>
      </c>
      <c r="H129" s="334">
        <v>4.2599999999999999E-2</v>
      </c>
      <c r="I129" s="334">
        <v>9.4200000000000006E-2</v>
      </c>
      <c r="J129" s="325">
        <v>143228293.69</v>
      </c>
      <c r="K129" s="314">
        <f t="shared" si="54"/>
        <v>3.9535135843343835E-3</v>
      </c>
      <c r="L129" s="325">
        <v>1.3232999999999999</v>
      </c>
      <c r="M129" s="325">
        <v>1.3361000000000001</v>
      </c>
      <c r="N129" s="334">
        <v>6.7999999999999996E-3</v>
      </c>
      <c r="O129" s="334">
        <v>0.1016</v>
      </c>
      <c r="P129" s="329">
        <f t="shared" si="55"/>
        <v>6.7289655459809401E-3</v>
      </c>
      <c r="Q129" s="329">
        <f t="shared" si="56"/>
        <v>6.7817044683898117E-3</v>
      </c>
      <c r="R129" s="329">
        <f t="shared" si="57"/>
        <v>-3.5799999999999998E-2</v>
      </c>
      <c r="S129" s="364">
        <f t="shared" si="58"/>
        <v>7.3999999999999899E-3</v>
      </c>
      <c r="U129" s="111"/>
    </row>
    <row r="130" spans="1:22" s="112" customFormat="1" ht="11.25" customHeight="1">
      <c r="A130" s="400">
        <v>107</v>
      </c>
      <c r="B130" s="368" t="s">
        <v>234</v>
      </c>
      <c r="C130" s="369" t="s">
        <v>98</v>
      </c>
      <c r="D130" s="321">
        <v>173351861.15000001</v>
      </c>
      <c r="E130" s="333">
        <f t="shared" si="53"/>
        <v>4.8498013902003824E-3</v>
      </c>
      <c r="F130" s="325">
        <v>109.38</v>
      </c>
      <c r="G130" s="325">
        <v>110.74</v>
      </c>
      <c r="H130" s="334">
        <v>1.03E-2</v>
      </c>
      <c r="I130" s="334">
        <v>5.8500000000000003E-2</v>
      </c>
      <c r="J130" s="321">
        <v>174004703.66999999</v>
      </c>
      <c r="K130" s="314">
        <f t="shared" si="54"/>
        <v>4.8030311747367703E-3</v>
      </c>
      <c r="L130" s="325">
        <v>109.61</v>
      </c>
      <c r="M130" s="325">
        <v>111.04</v>
      </c>
      <c r="N130" s="334">
        <v>2.5000000000000001E-3</v>
      </c>
      <c r="O130" s="334">
        <v>6.0999999999999999E-2</v>
      </c>
      <c r="P130" s="329">
        <f t="shared" si="55"/>
        <v>3.7659966017617856E-3</v>
      </c>
      <c r="Q130" s="329">
        <f t="shared" si="56"/>
        <v>2.7090482210584375E-3</v>
      </c>
      <c r="R130" s="329">
        <f t="shared" si="57"/>
        <v>-7.7999999999999996E-3</v>
      </c>
      <c r="S130" s="364">
        <f t="shared" si="58"/>
        <v>2.4999999999999953E-3</v>
      </c>
    </row>
    <row r="131" spans="1:22" s="112" customFormat="1" ht="12" customHeight="1">
      <c r="A131" s="395">
        <v>108</v>
      </c>
      <c r="B131" s="368" t="s">
        <v>264</v>
      </c>
      <c r="C131" s="369" t="s">
        <v>168</v>
      </c>
      <c r="D131" s="326">
        <v>299758685.69</v>
      </c>
      <c r="E131" s="333">
        <f t="shared" si="53"/>
        <v>8.3862387224447835E-3</v>
      </c>
      <c r="F131" s="325">
        <v>1.2028000000000001</v>
      </c>
      <c r="G131" s="325">
        <v>1.2028000000000001</v>
      </c>
      <c r="H131" s="334">
        <v>1.237350274966728</v>
      </c>
      <c r="I131" s="334">
        <v>0.39711033786109012</v>
      </c>
      <c r="J131" s="326">
        <v>357832515.00999999</v>
      </c>
      <c r="K131" s="314">
        <f t="shared" si="54"/>
        <v>9.8772084241295702E-3</v>
      </c>
      <c r="L131" s="325">
        <v>1.2020999999999999</v>
      </c>
      <c r="M131" s="325">
        <v>1.2020999999999999</v>
      </c>
      <c r="N131" s="334">
        <v>1.0189044856824774</v>
      </c>
      <c r="O131" s="334">
        <v>0.37801856197516359</v>
      </c>
      <c r="P131" s="329">
        <f t="shared" si="55"/>
        <v>0.19373526804176719</v>
      </c>
      <c r="Q131" s="329">
        <f t="shared" si="56"/>
        <v>-5.8197539075502565E-4</v>
      </c>
      <c r="R131" s="329">
        <f t="shared" si="57"/>
        <v>-0.21844578928425062</v>
      </c>
      <c r="S131" s="364">
        <f t="shared" si="58"/>
        <v>-1.9091775885926532E-2</v>
      </c>
    </row>
    <row r="132" spans="1:22" s="112" customFormat="1" ht="12" customHeight="1">
      <c r="A132" s="400">
        <v>109</v>
      </c>
      <c r="B132" s="368" t="s">
        <v>191</v>
      </c>
      <c r="C132" s="369" t="s">
        <v>185</v>
      </c>
      <c r="D132" s="325">
        <v>5728613100.7399998</v>
      </c>
      <c r="E132" s="333">
        <f t="shared" si="53"/>
        <v>0.16026730601899267</v>
      </c>
      <c r="F132" s="325">
        <v>234.97</v>
      </c>
      <c r="G132" s="325">
        <v>236.85</v>
      </c>
      <c r="H132" s="334">
        <v>4.6300000000000001E-2</v>
      </c>
      <c r="I132" s="334">
        <v>0.1767</v>
      </c>
      <c r="J132" s="325">
        <v>5742781290.2600002</v>
      </c>
      <c r="K132" s="314">
        <f t="shared" si="54"/>
        <v>0.1585173100787238</v>
      </c>
      <c r="L132" s="325">
        <v>235.57</v>
      </c>
      <c r="M132" s="325">
        <v>237.45</v>
      </c>
      <c r="N132" s="334">
        <v>2.5000000000000001E-3</v>
      </c>
      <c r="O132" s="334">
        <v>0.17960000000000001</v>
      </c>
      <c r="P132" s="329">
        <f t="shared" si="55"/>
        <v>2.4732320495112975E-3</v>
      </c>
      <c r="Q132" s="329">
        <f t="shared" si="56"/>
        <v>2.5332488917035861E-3</v>
      </c>
      <c r="R132" s="329">
        <f t="shared" si="57"/>
        <v>-4.3799999999999999E-2</v>
      </c>
      <c r="S132" s="364">
        <f t="shared" si="58"/>
        <v>2.9000000000000137E-3</v>
      </c>
    </row>
    <row r="133" spans="1:22" s="112" customFormat="1" ht="12" customHeight="1">
      <c r="A133" s="399">
        <v>110</v>
      </c>
      <c r="B133" s="368" t="s">
        <v>181</v>
      </c>
      <c r="C133" s="369" t="s">
        <v>175</v>
      </c>
      <c r="D133" s="325">
        <v>2212901834.29</v>
      </c>
      <c r="E133" s="333">
        <f t="shared" si="53"/>
        <v>6.1909542367302228E-2</v>
      </c>
      <c r="F133" s="325">
        <v>1.5246999999999999</v>
      </c>
      <c r="G133" s="325">
        <v>1.5541</v>
      </c>
      <c r="H133" s="334">
        <v>3.7699999999999997E-2</v>
      </c>
      <c r="I133" s="334">
        <v>0.1862</v>
      </c>
      <c r="J133" s="325">
        <v>2223045608.6399999</v>
      </c>
      <c r="K133" s="314">
        <f t="shared" si="54"/>
        <v>6.1362463979187661E-2</v>
      </c>
      <c r="L133" s="325">
        <v>1.5327</v>
      </c>
      <c r="M133" s="325">
        <v>1.5613999999999999</v>
      </c>
      <c r="N133" s="334">
        <v>-1.14E-2</v>
      </c>
      <c r="O133" s="334">
        <v>0.19209999999999999</v>
      </c>
      <c r="P133" s="329">
        <f t="shared" si="55"/>
        <v>4.5839242359589309E-3</v>
      </c>
      <c r="Q133" s="329">
        <f t="shared" si="56"/>
        <v>4.6972524290585307E-3</v>
      </c>
      <c r="R133" s="329">
        <f t="shared" si="57"/>
        <v>-4.9099999999999998E-2</v>
      </c>
      <c r="S133" s="364">
        <f t="shared" si="58"/>
        <v>5.8999999999999886E-3</v>
      </c>
    </row>
    <row r="134" spans="1:22" s="112" customFormat="1" ht="12" customHeight="1">
      <c r="A134" s="403">
        <v>111</v>
      </c>
      <c r="B134" s="368" t="s">
        <v>256</v>
      </c>
      <c r="C134" s="369" t="s">
        <v>87</v>
      </c>
      <c r="D134" s="325">
        <v>147775495.79803234</v>
      </c>
      <c r="E134" s="333">
        <f t="shared" si="53"/>
        <v>4.1342608046111996E-3</v>
      </c>
      <c r="F134" s="325">
        <v>96.53</v>
      </c>
      <c r="G134" s="325">
        <v>100.98</v>
      </c>
      <c r="H134" s="334">
        <v>4.2999999999999997E-2</v>
      </c>
      <c r="I134" s="334">
        <v>5.0299999999999997E-2</v>
      </c>
      <c r="J134" s="325">
        <v>150219813.0785183</v>
      </c>
      <c r="K134" s="314">
        <f t="shared" si="54"/>
        <v>4.1464996638688502E-3</v>
      </c>
      <c r="L134" s="325">
        <v>98.129620504952655</v>
      </c>
      <c r="M134" s="325">
        <v>102.6188722056816</v>
      </c>
      <c r="N134" s="334">
        <v>4.9000000000000002E-2</v>
      </c>
      <c r="O134" s="334">
        <v>5.0900000000000001E-2</v>
      </c>
      <c r="P134" s="329">
        <f t="shared" si="55"/>
        <v>1.6540748297178134E-2</v>
      </c>
      <c r="Q134" s="329">
        <f t="shared" si="56"/>
        <v>1.6229671278288706E-2</v>
      </c>
      <c r="R134" s="329">
        <f t="shared" si="57"/>
        <v>6.0000000000000053E-3</v>
      </c>
      <c r="S134" s="364">
        <f t="shared" si="58"/>
        <v>6.0000000000000331E-4</v>
      </c>
    </row>
    <row r="135" spans="1:22" s="330" customFormat="1" ht="12" customHeight="1">
      <c r="A135" s="397">
        <v>112</v>
      </c>
      <c r="B135" s="368" t="s">
        <v>281</v>
      </c>
      <c r="C135" s="369" t="s">
        <v>243</v>
      </c>
      <c r="D135" s="326">
        <v>2539942714.96</v>
      </c>
      <c r="E135" s="333">
        <f t="shared" si="53"/>
        <v>7.1059045044711028E-2</v>
      </c>
      <c r="F135" s="325">
        <v>3.59</v>
      </c>
      <c r="G135" s="325">
        <v>3.66</v>
      </c>
      <c r="H135" s="334">
        <v>4.6600000000000003E-2</v>
      </c>
      <c r="I135" s="334">
        <v>0.16420000000000001</v>
      </c>
      <c r="J135" s="326">
        <v>2532068548.21</v>
      </c>
      <c r="K135" s="314">
        <f t="shared" si="54"/>
        <v>6.9892387487912933E-2</v>
      </c>
      <c r="L135" s="325">
        <v>3.58</v>
      </c>
      <c r="M135" s="325">
        <v>3.65</v>
      </c>
      <c r="N135" s="334">
        <v>-3.3E-3</v>
      </c>
      <c r="O135" s="334">
        <v>0.16420000000000001</v>
      </c>
      <c r="P135" s="329">
        <f t="shared" ref="P135" si="59">((J135-D135)/D135)</f>
        <v>-3.1001355674763731E-3</v>
      </c>
      <c r="Q135" s="329">
        <f t="shared" ref="Q135" si="60">((M135-G135)/G135)</f>
        <v>-2.7322404371585328E-3</v>
      </c>
      <c r="R135" s="329">
        <f t="shared" ref="R135" si="61">N135-H135</f>
        <v>-4.99E-2</v>
      </c>
      <c r="S135" s="364">
        <f t="shared" ref="S135" si="62">O135-I135</f>
        <v>0</v>
      </c>
    </row>
    <row r="136" spans="1:22" s="112" customFormat="1" ht="12" customHeight="1">
      <c r="A136" s="395">
        <v>113</v>
      </c>
      <c r="B136" s="368" t="s">
        <v>129</v>
      </c>
      <c r="C136" s="369" t="s">
        <v>103</v>
      </c>
      <c r="D136" s="326">
        <v>177488889.27000001</v>
      </c>
      <c r="E136" s="333">
        <f t="shared" si="53"/>
        <v>4.9655415074080838E-3</v>
      </c>
      <c r="F136" s="325">
        <v>160.36675199999999</v>
      </c>
      <c r="G136" s="325">
        <v>164.869553</v>
      </c>
      <c r="H136" s="334">
        <v>2.5499999999999998E-2</v>
      </c>
      <c r="I136" s="334">
        <v>9.4899999999999998E-2</v>
      </c>
      <c r="J136" s="326">
        <v>177516001.75</v>
      </c>
      <c r="K136" s="314">
        <v>1.4052378000000001</v>
      </c>
      <c r="L136" s="325">
        <v>160.39124899999999</v>
      </c>
      <c r="M136" s="325">
        <v>164.988911</v>
      </c>
      <c r="N136" s="334">
        <v>3.0999999999999999E-3</v>
      </c>
      <c r="O136" s="334">
        <v>9.5699999999999993E-2</v>
      </c>
      <c r="P136" s="329">
        <f t="shared" si="55"/>
        <v>1.527559280555594E-4</v>
      </c>
      <c r="Q136" s="329">
        <f t="shared" si="56"/>
        <v>7.2395416757153094E-4</v>
      </c>
      <c r="R136" s="329">
        <f t="shared" si="57"/>
        <v>-2.24E-2</v>
      </c>
      <c r="S136" s="364">
        <f t="shared" si="58"/>
        <v>7.9999999999999516E-4</v>
      </c>
    </row>
    <row r="137" spans="1:22" s="112" customFormat="1" ht="12" customHeight="1">
      <c r="A137" s="403">
        <v>114</v>
      </c>
      <c r="B137" s="368" t="s">
        <v>27</v>
      </c>
      <c r="C137" s="369" t="s">
        <v>56</v>
      </c>
      <c r="D137" s="326">
        <v>1337078750</v>
      </c>
      <c r="E137" s="333">
        <f t="shared" si="53"/>
        <v>3.7406961410967172E-2</v>
      </c>
      <c r="F137" s="325">
        <v>552.20000000000005</v>
      </c>
      <c r="G137" s="325">
        <v>552.20000000000005</v>
      </c>
      <c r="H137" s="334">
        <v>2.8000000000000001E-2</v>
      </c>
      <c r="I137" s="334">
        <v>0.14069999999999999</v>
      </c>
      <c r="J137" s="326">
        <v>1337078750</v>
      </c>
      <c r="K137" s="314">
        <f t="shared" ref="K137:K145" si="63">(J137/$J$146)</f>
        <v>3.6907225976531406E-2</v>
      </c>
      <c r="L137" s="325">
        <v>552.20000000000005</v>
      </c>
      <c r="M137" s="325">
        <v>552.20000000000005</v>
      </c>
      <c r="N137" s="334">
        <v>2.8000000000000001E-2</v>
      </c>
      <c r="O137" s="334">
        <v>0.14069999999999999</v>
      </c>
      <c r="P137" s="329">
        <f t="shared" si="55"/>
        <v>0</v>
      </c>
      <c r="Q137" s="329">
        <f t="shared" si="56"/>
        <v>0</v>
      </c>
      <c r="R137" s="329">
        <f t="shared" si="57"/>
        <v>0</v>
      </c>
      <c r="S137" s="364">
        <f t="shared" si="58"/>
        <v>0</v>
      </c>
      <c r="T137" s="224"/>
      <c r="U137" s="224"/>
      <c r="V137" s="111"/>
    </row>
    <row r="138" spans="1:22" s="112" customFormat="1" ht="12" customHeight="1">
      <c r="A138" s="403">
        <v>115</v>
      </c>
      <c r="B138" s="368" t="s">
        <v>187</v>
      </c>
      <c r="C138" s="369" t="s">
        <v>160</v>
      </c>
      <c r="D138" s="326">
        <v>22579800.219999999</v>
      </c>
      <c r="E138" s="333">
        <f t="shared" si="53"/>
        <v>6.3170678278814019E-4</v>
      </c>
      <c r="F138" s="325">
        <v>1.39</v>
      </c>
      <c r="G138" s="325">
        <v>1.39</v>
      </c>
      <c r="H138" s="334">
        <v>3.9975999999999998E-2</v>
      </c>
      <c r="I138" s="334">
        <v>0.15218400000000001</v>
      </c>
      <c r="J138" s="326">
        <v>22672982.620000001</v>
      </c>
      <c r="K138" s="314">
        <f t="shared" si="63"/>
        <v>6.2583964715489575E-4</v>
      </c>
      <c r="L138" s="325">
        <v>1.4</v>
      </c>
      <c r="M138" s="325">
        <v>1.4</v>
      </c>
      <c r="N138" s="334">
        <v>4.1269999999999996E-3</v>
      </c>
      <c r="O138" s="334">
        <v>0.15693799999999999</v>
      </c>
      <c r="P138" s="329">
        <f t="shared" si="55"/>
        <v>4.1268035630123148E-3</v>
      </c>
      <c r="Q138" s="329">
        <f t="shared" si="56"/>
        <v>7.1942446043165541E-3</v>
      </c>
      <c r="R138" s="329">
        <f t="shared" si="57"/>
        <v>-3.5848999999999999E-2</v>
      </c>
      <c r="S138" s="364">
        <f t="shared" si="58"/>
        <v>4.7539999999999805E-3</v>
      </c>
      <c r="U138" s="219"/>
      <c r="V138" s="111"/>
    </row>
    <row r="139" spans="1:22" s="112" customFormat="1" ht="12" customHeight="1">
      <c r="A139" s="398">
        <v>116</v>
      </c>
      <c r="B139" s="368" t="s">
        <v>48</v>
      </c>
      <c r="C139" s="369" t="s">
        <v>90</v>
      </c>
      <c r="D139" s="325">
        <v>183803993.02000001</v>
      </c>
      <c r="E139" s="333">
        <f t="shared" si="53"/>
        <v>5.1422168470487027E-3</v>
      </c>
      <c r="F139" s="325">
        <v>1.8557939999999999</v>
      </c>
      <c r="G139" s="325">
        <v>1.9093869999999999</v>
      </c>
      <c r="H139" s="334">
        <v>0.01</v>
      </c>
      <c r="I139" s="334">
        <v>0.184</v>
      </c>
      <c r="J139" s="325">
        <v>185802207.03</v>
      </c>
      <c r="K139" s="314">
        <f t="shared" si="63"/>
        <v>5.1286762591915263E-3</v>
      </c>
      <c r="L139" s="325">
        <v>1.88</v>
      </c>
      <c r="M139" s="325">
        <v>1.94</v>
      </c>
      <c r="N139" s="334">
        <v>0.01</v>
      </c>
      <c r="O139" s="334">
        <v>0.2009</v>
      </c>
      <c r="P139" s="329">
        <f t="shared" si="55"/>
        <v>1.0871439608945609E-2</v>
      </c>
      <c r="Q139" s="329">
        <f t="shared" si="56"/>
        <v>1.6032894326817981E-2</v>
      </c>
      <c r="R139" s="329">
        <f t="shared" si="57"/>
        <v>0</v>
      </c>
      <c r="S139" s="364">
        <f t="shared" si="58"/>
        <v>1.6899999999999998E-2</v>
      </c>
    </row>
    <row r="140" spans="1:22" s="112" customFormat="1" ht="12" customHeight="1">
      <c r="A140" s="404">
        <v>117</v>
      </c>
      <c r="B140" s="368" t="s">
        <v>22</v>
      </c>
      <c r="C140" s="369" t="s">
        <v>5</v>
      </c>
      <c r="D140" s="326">
        <v>1873804276.25</v>
      </c>
      <c r="E140" s="333">
        <f t="shared" si="53"/>
        <v>5.2422734452543668E-2</v>
      </c>
      <c r="F140" s="325">
        <v>4219.28</v>
      </c>
      <c r="G140" s="325">
        <v>4252.3500000000004</v>
      </c>
      <c r="H140" s="334">
        <v>3.3300000000000003E-2</v>
      </c>
      <c r="I140" s="334">
        <v>0.15640000000000001</v>
      </c>
      <c r="J140" s="326">
        <v>1891175524.28</v>
      </c>
      <c r="K140" s="333">
        <f t="shared" si="63"/>
        <v>5.2201893445608355E-2</v>
      </c>
      <c r="L140" s="325">
        <v>4254.55</v>
      </c>
      <c r="M140" s="325">
        <v>4288.38</v>
      </c>
      <c r="N140" s="334">
        <v>8.5000000000000006E-3</v>
      </c>
      <c r="O140" s="334">
        <v>0.16619999999999999</v>
      </c>
      <c r="P140" s="329">
        <f t="shared" si="55"/>
        <v>9.2705776425938344E-3</v>
      </c>
      <c r="Q140" s="329">
        <f t="shared" si="56"/>
        <v>8.4729620092418873E-3</v>
      </c>
      <c r="R140" s="329">
        <f t="shared" si="57"/>
        <v>-2.4800000000000003E-2</v>
      </c>
      <c r="S140" s="364">
        <f t="shared" si="58"/>
        <v>9.7999999999999754E-3</v>
      </c>
      <c r="T140" s="111"/>
      <c r="V140" s="139"/>
    </row>
    <row r="141" spans="1:22" s="112" customFormat="1" ht="12" customHeight="1">
      <c r="A141" s="400">
        <v>118</v>
      </c>
      <c r="B141" s="368" t="s">
        <v>248</v>
      </c>
      <c r="C141" s="369" t="s">
        <v>246</v>
      </c>
      <c r="D141" s="321">
        <v>76234019.920000002</v>
      </c>
      <c r="E141" s="333">
        <f t="shared" si="53"/>
        <v>2.1327711934322063E-3</v>
      </c>
      <c r="F141" s="325">
        <v>117.9782</v>
      </c>
      <c r="G141" s="325">
        <v>118.3126</v>
      </c>
      <c r="H141" s="334">
        <v>0.14651900000000001</v>
      </c>
      <c r="I141" s="334">
        <v>0.12867200000000001</v>
      </c>
      <c r="J141" s="321">
        <v>76175476.219999999</v>
      </c>
      <c r="K141" s="314">
        <f t="shared" si="63"/>
        <v>2.1026626253101651E-3</v>
      </c>
      <c r="L141" s="325">
        <v>117.7109</v>
      </c>
      <c r="M141" s="325">
        <v>118.0415</v>
      </c>
      <c r="N141" s="334">
        <v>9.7799999999999998E-2</v>
      </c>
      <c r="O141" s="334">
        <v>0.13639999999999999</v>
      </c>
      <c r="P141" s="329">
        <f t="shared" si="55"/>
        <v>-7.6794717189830413E-4</v>
      </c>
      <c r="Q141" s="329">
        <f t="shared" si="56"/>
        <v>-2.2913873923825876E-3</v>
      </c>
      <c r="R141" s="329">
        <f t="shared" si="57"/>
        <v>-4.8719000000000012E-2</v>
      </c>
      <c r="S141" s="364">
        <f t="shared" si="58"/>
        <v>7.7279999999999849E-3</v>
      </c>
      <c r="T141" s="118"/>
      <c r="V141" s="139"/>
    </row>
    <row r="142" spans="1:22" s="112" customFormat="1" ht="12" customHeight="1">
      <c r="A142" s="396">
        <v>119</v>
      </c>
      <c r="B142" s="368" t="s">
        <v>74</v>
      </c>
      <c r="C142" s="369" t="s">
        <v>41</v>
      </c>
      <c r="D142" s="325">
        <v>1376838813.76</v>
      </c>
      <c r="E142" s="333">
        <f t="shared" si="53"/>
        <v>3.8519314120759256E-2</v>
      </c>
      <c r="F142" s="325">
        <v>1.7060999999999999</v>
      </c>
      <c r="G142" s="325">
        <v>1.7182999999999999</v>
      </c>
      <c r="H142" s="334">
        <v>4.9700000000000001E-2</v>
      </c>
      <c r="I142" s="334">
        <v>0.24540000000000001</v>
      </c>
      <c r="J142" s="325">
        <v>1452708336.0799999</v>
      </c>
      <c r="K142" s="314">
        <f t="shared" si="63"/>
        <v>4.0098935711674041E-2</v>
      </c>
      <c r="L142" s="325">
        <v>1.5984</v>
      </c>
      <c r="M142" s="325">
        <v>1.6106</v>
      </c>
      <c r="N142" s="334">
        <v>-5.3E-3</v>
      </c>
      <c r="O142" s="334">
        <v>0.23880000000000001</v>
      </c>
      <c r="P142" s="329">
        <f t="shared" si="55"/>
        <v>5.5104142592267834E-2</v>
      </c>
      <c r="Q142" s="329">
        <f t="shared" si="56"/>
        <v>-6.2678228481638773E-2</v>
      </c>
      <c r="R142" s="329">
        <f t="shared" si="57"/>
        <v>-5.5E-2</v>
      </c>
      <c r="S142" s="364">
        <f t="shared" si="58"/>
        <v>-6.5999999999999948E-3</v>
      </c>
      <c r="T142" s="111"/>
      <c r="V142" s="139"/>
    </row>
    <row r="143" spans="1:22" s="112" customFormat="1" ht="12" customHeight="1">
      <c r="A143" s="396">
        <v>120</v>
      </c>
      <c r="B143" s="368" t="s">
        <v>240</v>
      </c>
      <c r="C143" s="369" t="s">
        <v>41</v>
      </c>
      <c r="D143" s="325">
        <v>751680875.74000001</v>
      </c>
      <c r="E143" s="333">
        <f t="shared" si="53"/>
        <v>2.1029499954410457E-2</v>
      </c>
      <c r="F143" s="325">
        <v>1.3553999999999999</v>
      </c>
      <c r="G143" s="325">
        <v>1.3664000000000001</v>
      </c>
      <c r="H143" s="334">
        <v>3.6700000000000003E-2</v>
      </c>
      <c r="I143" s="334">
        <v>0.1663</v>
      </c>
      <c r="J143" s="325">
        <v>809746131.21000004</v>
      </c>
      <c r="K143" s="314">
        <f t="shared" si="63"/>
        <v>2.2351326313569429E-2</v>
      </c>
      <c r="L143" s="325">
        <v>1.2383999999999999</v>
      </c>
      <c r="M143" s="325">
        <v>1.25</v>
      </c>
      <c r="N143" s="334">
        <v>-5.1000000000000004E-3</v>
      </c>
      <c r="O143" s="334">
        <v>0.16039999999999999</v>
      </c>
      <c r="P143" s="329">
        <f t="shared" si="55"/>
        <v>7.7247216663370727E-2</v>
      </c>
      <c r="Q143" s="329">
        <f t="shared" si="56"/>
        <v>-8.518735362997662E-2</v>
      </c>
      <c r="R143" s="329">
        <f t="shared" si="57"/>
        <v>-4.1800000000000004E-2</v>
      </c>
      <c r="S143" s="364">
        <f t="shared" si="58"/>
        <v>-5.9000000000000163E-3</v>
      </c>
      <c r="T143" s="111"/>
      <c r="U143" s="140"/>
      <c r="V143" s="139"/>
    </row>
    <row r="144" spans="1:22" s="312" customFormat="1" ht="12" customHeight="1">
      <c r="A144" s="396">
        <v>121</v>
      </c>
      <c r="B144" s="368" t="s">
        <v>158</v>
      </c>
      <c r="C144" s="369" t="s">
        <v>106</v>
      </c>
      <c r="D144" s="325">
        <v>5768695636.8900003</v>
      </c>
      <c r="E144" s="333">
        <f t="shared" si="53"/>
        <v>0.16138868042047555</v>
      </c>
      <c r="F144" s="325">
        <v>254.5316</v>
      </c>
      <c r="G144" s="325">
        <v>259.8587</v>
      </c>
      <c r="H144" s="334">
        <v>0.15029999999999999</v>
      </c>
      <c r="I144" s="334">
        <v>0.36549999999999999</v>
      </c>
      <c r="J144" s="325">
        <v>6035042270.3100004</v>
      </c>
      <c r="K144" s="314">
        <f t="shared" si="63"/>
        <v>0.16658455520907076</v>
      </c>
      <c r="L144" s="325">
        <v>266.12</v>
      </c>
      <c r="M144" s="325">
        <v>271.95999999999998</v>
      </c>
      <c r="N144" s="334">
        <v>4.5600000000000002E-2</v>
      </c>
      <c r="O144" s="334">
        <v>0.42559999999999998</v>
      </c>
      <c r="P144" s="329">
        <f t="shared" si="55"/>
        <v>4.6171032445662528E-2</v>
      </c>
      <c r="Q144" s="329">
        <f t="shared" si="56"/>
        <v>4.6568769873781328E-2</v>
      </c>
      <c r="R144" s="329">
        <f t="shared" si="57"/>
        <v>-0.10469999999999999</v>
      </c>
      <c r="S144" s="364">
        <f t="shared" si="58"/>
        <v>6.0099999999999987E-2</v>
      </c>
      <c r="T144" s="111"/>
      <c r="U144" s="313"/>
      <c r="V144" s="139"/>
    </row>
    <row r="145" spans="1:25" s="112" customFormat="1" ht="12" customHeight="1">
      <c r="A145" s="394">
        <v>122</v>
      </c>
      <c r="B145" s="368" t="s">
        <v>233</v>
      </c>
      <c r="C145" s="369" t="s">
        <v>9</v>
      </c>
      <c r="D145" s="326">
        <v>239911918.06999999</v>
      </c>
      <c r="E145" s="333">
        <f t="shared" si="53"/>
        <v>6.7119276716316135E-3</v>
      </c>
      <c r="F145" s="325">
        <v>183.34</v>
      </c>
      <c r="G145" s="325">
        <v>186.42</v>
      </c>
      <c r="H145" s="334">
        <v>5.67E-2</v>
      </c>
      <c r="I145" s="334">
        <v>0.2104</v>
      </c>
      <c r="J145" s="326">
        <v>237496891</v>
      </c>
      <c r="K145" s="314">
        <f t="shared" si="63"/>
        <v>6.5555984827824444E-3</v>
      </c>
      <c r="L145" s="325">
        <v>182.27</v>
      </c>
      <c r="M145" s="325">
        <v>183.89</v>
      </c>
      <c r="N145" s="334">
        <v>4.7999999999999996E-3</v>
      </c>
      <c r="O145" s="334">
        <v>0.22159999999999999</v>
      </c>
      <c r="P145" s="329">
        <f t="shared" si="55"/>
        <v>-1.0066307207361626E-2</v>
      </c>
      <c r="Q145" s="329">
        <f t="shared" si="56"/>
        <v>-1.3571505203304373E-2</v>
      </c>
      <c r="R145" s="329">
        <f t="shared" si="57"/>
        <v>-5.1900000000000002E-2</v>
      </c>
      <c r="S145" s="364">
        <f t="shared" si="58"/>
        <v>1.1199999999999988E-2</v>
      </c>
      <c r="T145" s="111"/>
      <c r="U145" s="140"/>
      <c r="V145" s="139"/>
    </row>
    <row r="146" spans="1:25" s="112" customFormat="1" ht="12" customHeight="1">
      <c r="A146" s="290"/>
      <c r="C146" s="244" t="s">
        <v>42</v>
      </c>
      <c r="D146" s="216">
        <f>SUM(D122:D145)</f>
        <v>35744115521.98378</v>
      </c>
      <c r="E146" s="262">
        <f>(D146/$D$168)</f>
        <v>2.0043209852729896E-2</v>
      </c>
      <c r="F146" s="264"/>
      <c r="G146" s="183"/>
      <c r="H146" s="277"/>
      <c r="I146" s="277"/>
      <c r="J146" s="216">
        <f>SUM(J122:J145)</f>
        <v>36228102075.464104</v>
      </c>
      <c r="K146" s="262">
        <f>(J146/$J$168)</f>
        <v>1.9321310537681921E-2</v>
      </c>
      <c r="L146" s="264"/>
      <c r="M146" s="183"/>
      <c r="N146" s="277"/>
      <c r="O146" s="277"/>
      <c r="P146" s="266">
        <f t="shared" ref="P146" si="64">((J146-D146)/D146)</f>
        <v>1.354031415835864E-2</v>
      </c>
      <c r="Q146" s="266"/>
      <c r="R146" s="266">
        <f t="shared" ref="R146:S146" si="65">N146-H146</f>
        <v>0</v>
      </c>
      <c r="S146" s="364">
        <f t="shared" si="65"/>
        <v>0</v>
      </c>
      <c r="T146" s="111"/>
      <c r="U146" s="140"/>
      <c r="V146" s="139"/>
    </row>
    <row r="147" spans="1:25" s="112" customFormat="1" ht="5.25" customHeight="1">
      <c r="A147" s="410"/>
      <c r="B147" s="411"/>
      <c r="C147" s="412"/>
      <c r="D147" s="412"/>
      <c r="E147" s="412"/>
      <c r="F147" s="412"/>
      <c r="G147" s="412"/>
      <c r="H147" s="412"/>
      <c r="I147" s="412"/>
      <c r="J147" s="412"/>
      <c r="K147" s="412"/>
      <c r="L147" s="412"/>
      <c r="M147" s="412"/>
      <c r="N147" s="412"/>
      <c r="O147" s="412"/>
      <c r="P147" s="412"/>
      <c r="Q147" s="412"/>
      <c r="R147" s="412"/>
      <c r="S147" s="425"/>
      <c r="T147" s="111"/>
      <c r="U147" s="140"/>
      <c r="V147" s="139"/>
    </row>
    <row r="148" spans="1:25" s="112" customFormat="1" ht="12" customHeight="1">
      <c r="A148" s="417" t="s">
        <v>66</v>
      </c>
      <c r="B148" s="418"/>
      <c r="C148" s="419"/>
      <c r="D148" s="419"/>
      <c r="E148" s="419"/>
      <c r="F148" s="419"/>
      <c r="G148" s="419"/>
      <c r="H148" s="419"/>
      <c r="I148" s="419"/>
      <c r="J148" s="419"/>
      <c r="K148" s="419"/>
      <c r="L148" s="419"/>
      <c r="M148" s="419"/>
      <c r="N148" s="419"/>
      <c r="O148" s="419"/>
      <c r="P148" s="419"/>
      <c r="Q148" s="419"/>
      <c r="R148" s="419"/>
      <c r="S148" s="420"/>
      <c r="U148" s="141"/>
      <c r="V148" s="139"/>
    </row>
    <row r="149" spans="1:25" s="112" customFormat="1" ht="12" customHeight="1">
      <c r="A149" s="400">
        <v>123</v>
      </c>
      <c r="B149" s="368" t="s">
        <v>26</v>
      </c>
      <c r="C149" s="369" t="s">
        <v>6</v>
      </c>
      <c r="D149" s="322">
        <v>570051962.25</v>
      </c>
      <c r="E149" s="333">
        <f>(D149/$D$152)</f>
        <v>0.16793919576730804</v>
      </c>
      <c r="F149" s="322">
        <v>49.249899999999997</v>
      </c>
      <c r="G149" s="322">
        <v>50.7348</v>
      </c>
      <c r="H149" s="315">
        <v>0.1767</v>
      </c>
      <c r="I149" s="315">
        <v>1.5244</v>
      </c>
      <c r="J149" s="322">
        <v>560142407.38999999</v>
      </c>
      <c r="K149" s="314">
        <f>(J149/$J$152)</f>
        <v>0.16580018404356592</v>
      </c>
      <c r="L149" s="322">
        <v>47.575600000000001</v>
      </c>
      <c r="M149" s="322">
        <v>49.010100000000001</v>
      </c>
      <c r="N149" s="315">
        <v>-1.7726</v>
      </c>
      <c r="O149" s="315">
        <v>9.2499999999999999E-2</v>
      </c>
      <c r="P149" s="329">
        <f>((J149-D149)/D149)</f>
        <v>-1.7383599243982806E-2</v>
      </c>
      <c r="Q149" s="329">
        <f>((M149-G149)/G149)</f>
        <v>-3.3994418032592982E-2</v>
      </c>
      <c r="R149" s="329">
        <f t="shared" ref="R149:S151" si="66">N149-H149</f>
        <v>-1.9493</v>
      </c>
      <c r="S149" s="364">
        <f t="shared" si="66"/>
        <v>-1.4319</v>
      </c>
      <c r="U149" s="113"/>
      <c r="V149" s="139"/>
    </row>
    <row r="150" spans="1:25" s="112" customFormat="1" ht="11.25" customHeight="1">
      <c r="A150" s="399">
        <v>124</v>
      </c>
      <c r="B150" s="368" t="s">
        <v>242</v>
      </c>
      <c r="C150" s="369" t="s">
        <v>190</v>
      </c>
      <c r="D150" s="321">
        <v>666894621.00999999</v>
      </c>
      <c r="E150" s="333">
        <f>(D150/$D$152)</f>
        <v>0.19646936372590845</v>
      </c>
      <c r="F150" s="322">
        <v>18.593599999999999</v>
      </c>
      <c r="G150" s="322">
        <v>18.789100000000001</v>
      </c>
      <c r="H150" s="334">
        <v>4.41E-2</v>
      </c>
      <c r="I150" s="334">
        <v>0.17660000000000001</v>
      </c>
      <c r="J150" s="321">
        <v>670148774.55999994</v>
      </c>
      <c r="K150" s="314">
        <f t="shared" ref="K150:K151" si="67">(J150/$J$152)</f>
        <v>0.19836168212355523</v>
      </c>
      <c r="L150" s="322">
        <v>18.4069</v>
      </c>
      <c r="M150" s="322">
        <v>18.596599999999999</v>
      </c>
      <c r="N150" s="334">
        <v>8.6999999999999994E-3</v>
      </c>
      <c r="O150" s="334">
        <v>0.16470000000000001</v>
      </c>
      <c r="P150" s="329">
        <f>((J150-D150)/D150)</f>
        <v>4.8795618490243553E-3</v>
      </c>
      <c r="Q150" s="109">
        <f>((M150-G150)/G150)</f>
        <v>-1.0245301797318794E-2</v>
      </c>
      <c r="R150" s="329">
        <f t="shared" si="66"/>
        <v>-3.5400000000000001E-2</v>
      </c>
      <c r="S150" s="364">
        <f t="shared" si="66"/>
        <v>-1.1899999999999994E-2</v>
      </c>
    </row>
    <row r="151" spans="1:25" s="112" customFormat="1" ht="12" customHeight="1">
      <c r="A151" s="404">
        <v>125</v>
      </c>
      <c r="B151" s="368" t="s">
        <v>25</v>
      </c>
      <c r="C151" s="369" t="s">
        <v>5</v>
      </c>
      <c r="D151" s="321">
        <v>2157448391.9299998</v>
      </c>
      <c r="E151" s="333">
        <f>(D151/$D$152)</f>
        <v>0.63559144050678362</v>
      </c>
      <c r="F151" s="322">
        <v>1.73</v>
      </c>
      <c r="G151" s="322">
        <v>1.75</v>
      </c>
      <c r="H151" s="334">
        <v>6.0600000000000001E-2</v>
      </c>
      <c r="I151" s="334">
        <v>0.21529999999999999</v>
      </c>
      <c r="J151" s="321">
        <v>2148127307.8800001</v>
      </c>
      <c r="K151" s="314">
        <f t="shared" si="67"/>
        <v>0.6358381338328789</v>
      </c>
      <c r="L151" s="322">
        <v>1.74</v>
      </c>
      <c r="M151" s="322">
        <v>1.76</v>
      </c>
      <c r="N151" s="334">
        <v>5.7000000000000002E-3</v>
      </c>
      <c r="O151" s="334">
        <v>0.22220000000000001</v>
      </c>
      <c r="P151" s="329">
        <f>((J151-D151)/D151)</f>
        <v>-4.3204204025762598E-3</v>
      </c>
      <c r="Q151" s="329">
        <f>((M151-G151)/G151)</f>
        <v>5.7142857142857195E-3</v>
      </c>
      <c r="R151" s="329">
        <f t="shared" si="66"/>
        <v>-5.4900000000000004E-2</v>
      </c>
      <c r="S151" s="364">
        <f t="shared" si="66"/>
        <v>6.9000000000000172E-3</v>
      </c>
      <c r="W151" s="181"/>
      <c r="X151" s="182"/>
      <c r="Y151" s="110"/>
    </row>
    <row r="152" spans="1:25" s="112" customFormat="1" ht="12.75" customHeight="1">
      <c r="A152" s="214"/>
      <c r="C152" s="286" t="s">
        <v>42</v>
      </c>
      <c r="D152" s="216">
        <f>SUM(D149:D151)</f>
        <v>3394394975.1899996</v>
      </c>
      <c r="E152" s="262">
        <f>(D152/$D$168)</f>
        <v>1.9033782153300618E-3</v>
      </c>
      <c r="F152" s="11"/>
      <c r="G152" s="11"/>
      <c r="H152" s="276"/>
      <c r="I152" s="276"/>
      <c r="J152" s="216">
        <f>SUM(J149:J151)</f>
        <v>3378418489.8299999</v>
      </c>
      <c r="K152" s="262">
        <f>(J152/$J$168)</f>
        <v>1.8017911242571105E-3</v>
      </c>
      <c r="L152" s="264"/>
      <c r="M152" s="183"/>
      <c r="N152" s="277"/>
      <c r="O152" s="277"/>
      <c r="P152" s="266">
        <f>((J152-D152)/D152)</f>
        <v>-4.7067254921049316E-3</v>
      </c>
      <c r="Q152" s="266"/>
      <c r="R152" s="266">
        <f>N152-H152</f>
        <v>0</v>
      </c>
      <c r="S152" s="364">
        <f t="shared" ref="S152" si="68">O152-I152</f>
        <v>0</v>
      </c>
      <c r="V152" s="111"/>
    </row>
    <row r="153" spans="1:25" s="112" customFormat="1" ht="4.5" customHeight="1">
      <c r="A153" s="410"/>
      <c r="B153" s="411"/>
      <c r="C153" s="412"/>
      <c r="D153" s="412"/>
      <c r="E153" s="412"/>
      <c r="F153" s="412"/>
      <c r="G153" s="412"/>
      <c r="H153" s="412"/>
      <c r="I153" s="412"/>
      <c r="J153" s="412"/>
      <c r="K153" s="412"/>
      <c r="L153" s="412"/>
      <c r="M153" s="412"/>
      <c r="N153" s="412"/>
      <c r="O153" s="412"/>
      <c r="P153" s="412"/>
      <c r="Q153" s="412"/>
      <c r="R153" s="412"/>
      <c r="S153" s="425"/>
      <c r="V153" s="111"/>
    </row>
    <row r="154" spans="1:25" s="112" customFormat="1" ht="12.75" customHeight="1">
      <c r="A154" s="417" t="s">
        <v>198</v>
      </c>
      <c r="B154" s="418"/>
      <c r="C154" s="419"/>
      <c r="D154" s="419"/>
      <c r="E154" s="419"/>
      <c r="F154" s="419"/>
      <c r="G154" s="419"/>
      <c r="H154" s="419"/>
      <c r="I154" s="419"/>
      <c r="J154" s="419"/>
      <c r="K154" s="419"/>
      <c r="L154" s="419"/>
      <c r="M154" s="419"/>
      <c r="N154" s="419"/>
      <c r="O154" s="419"/>
      <c r="P154" s="419"/>
      <c r="Q154" s="419"/>
      <c r="R154" s="419"/>
      <c r="S154" s="420"/>
      <c r="V154" s="111"/>
    </row>
    <row r="155" spans="1:25" s="112" customFormat="1" ht="12.75" customHeight="1">
      <c r="A155" s="421" t="s">
        <v>199</v>
      </c>
      <c r="B155" s="422"/>
      <c r="C155" s="423"/>
      <c r="D155" s="423"/>
      <c r="E155" s="423"/>
      <c r="F155" s="423"/>
      <c r="G155" s="423"/>
      <c r="H155" s="423"/>
      <c r="I155" s="423"/>
      <c r="J155" s="423"/>
      <c r="K155" s="423"/>
      <c r="L155" s="423"/>
      <c r="M155" s="423"/>
      <c r="N155" s="423"/>
      <c r="O155" s="423"/>
      <c r="P155" s="423"/>
      <c r="Q155" s="423"/>
      <c r="R155" s="423"/>
      <c r="S155" s="424"/>
      <c r="V155" s="111"/>
    </row>
    <row r="156" spans="1:25" s="112" customFormat="1" ht="12" customHeight="1">
      <c r="A156" s="395">
        <v>126</v>
      </c>
      <c r="B156" s="368" t="s">
        <v>128</v>
      </c>
      <c r="C156" s="369" t="s">
        <v>23</v>
      </c>
      <c r="D156" s="316">
        <v>3589462168.4200001</v>
      </c>
      <c r="E156" s="333">
        <f>(D156/$D$167)</f>
        <v>0.13906816973885203</v>
      </c>
      <c r="F156" s="317">
        <v>1.76</v>
      </c>
      <c r="G156" s="317">
        <v>1.79</v>
      </c>
      <c r="H156" s="320">
        <v>1.3299999999999999E-2</v>
      </c>
      <c r="I156" s="320">
        <v>0.1002</v>
      </c>
      <c r="J156" s="316">
        <v>3568165804.0900002</v>
      </c>
      <c r="K156" s="333">
        <f>(J156/$J$167)</f>
        <v>0.13680405186423303</v>
      </c>
      <c r="L156" s="317">
        <v>1.75</v>
      </c>
      <c r="M156" s="317">
        <v>1.78</v>
      </c>
      <c r="N156" s="320">
        <v>-3.0999999999999999E-3</v>
      </c>
      <c r="O156" s="320">
        <v>9.6799999999999997E-2</v>
      </c>
      <c r="P156" s="109">
        <f>((J156-D156)/D156)</f>
        <v>-5.9330237597612296E-3</v>
      </c>
      <c r="Q156" s="109">
        <f>((M156-G156)/G156)</f>
        <v>-5.5865921787709542E-3</v>
      </c>
      <c r="R156" s="329">
        <f>N156-H156</f>
        <v>-1.6399999999999998E-2</v>
      </c>
      <c r="S156" s="364">
        <f t="shared" ref="S156:S157" si="69">O156-I156</f>
        <v>-3.4000000000000002E-3</v>
      </c>
      <c r="V156" s="111"/>
    </row>
    <row r="157" spans="1:25" s="112" customFormat="1" ht="12.75" customHeight="1">
      <c r="A157" s="404">
        <v>127</v>
      </c>
      <c r="B157" s="368" t="s">
        <v>65</v>
      </c>
      <c r="C157" s="369" t="s">
        <v>5</v>
      </c>
      <c r="D157" s="316">
        <v>378637696.44</v>
      </c>
      <c r="E157" s="333">
        <f>(D157/$D$167)</f>
        <v>1.4669732948104598E-2</v>
      </c>
      <c r="F157" s="317">
        <v>312.20999999999998</v>
      </c>
      <c r="G157" s="317">
        <v>315.91000000000003</v>
      </c>
      <c r="H157" s="320">
        <v>4.87E-2</v>
      </c>
      <c r="I157" s="320">
        <v>0.18990000000000001</v>
      </c>
      <c r="J157" s="316">
        <v>371936594.10000002</v>
      </c>
      <c r="K157" s="333">
        <f>(J157/$J$167)</f>
        <v>1.4260108947610772E-2</v>
      </c>
      <c r="L157" s="317">
        <v>312.01</v>
      </c>
      <c r="M157" s="317">
        <v>315.75</v>
      </c>
      <c r="N157" s="320">
        <v>-5.0000000000000001E-4</v>
      </c>
      <c r="O157" s="320">
        <v>0.1893</v>
      </c>
      <c r="P157" s="329">
        <f>((J157-D157)/D157)</f>
        <v>-1.7697927076475994E-2</v>
      </c>
      <c r="Q157" s="329">
        <f>((M157-G157)/G157)</f>
        <v>-5.0647336266666136E-4</v>
      </c>
      <c r="R157" s="329">
        <f>N157-H157</f>
        <v>-4.9200000000000001E-2</v>
      </c>
      <c r="S157" s="364">
        <f t="shared" si="69"/>
        <v>-6.0000000000001719E-4</v>
      </c>
      <c r="T157" s="188"/>
    </row>
    <row r="158" spans="1:25" s="112" customFormat="1" ht="6" customHeight="1">
      <c r="A158" s="410"/>
      <c r="B158" s="411"/>
      <c r="C158" s="412"/>
      <c r="D158" s="412"/>
      <c r="E158" s="412"/>
      <c r="F158" s="412"/>
      <c r="G158" s="412"/>
      <c r="H158" s="412"/>
      <c r="I158" s="412"/>
      <c r="J158" s="412"/>
      <c r="K158" s="412"/>
      <c r="L158" s="412"/>
      <c r="M158" s="412"/>
      <c r="N158" s="412"/>
      <c r="O158" s="412"/>
      <c r="P158" s="412"/>
      <c r="Q158" s="412"/>
      <c r="R158" s="412"/>
      <c r="S158" s="425"/>
      <c r="T158" s="188"/>
    </row>
    <row r="159" spans="1:25" s="112" customFormat="1" ht="12" customHeight="1">
      <c r="A159" s="421" t="s">
        <v>200</v>
      </c>
      <c r="B159" s="422"/>
      <c r="C159" s="423"/>
      <c r="D159" s="423"/>
      <c r="E159" s="423"/>
      <c r="F159" s="423"/>
      <c r="G159" s="423"/>
      <c r="H159" s="423"/>
      <c r="I159" s="423"/>
      <c r="J159" s="423"/>
      <c r="K159" s="423"/>
      <c r="L159" s="423"/>
      <c r="M159" s="423"/>
      <c r="N159" s="423"/>
      <c r="O159" s="423"/>
      <c r="P159" s="423"/>
      <c r="Q159" s="423"/>
      <c r="R159" s="423"/>
      <c r="S159" s="424"/>
      <c r="T159" s="188"/>
    </row>
    <row r="160" spans="1:25" s="112" customFormat="1" ht="12" customHeight="1">
      <c r="A160" s="394">
        <v>128</v>
      </c>
      <c r="B160" s="368" t="s">
        <v>228</v>
      </c>
      <c r="C160" s="369" t="s">
        <v>229</v>
      </c>
      <c r="D160" s="326">
        <v>483001369.13</v>
      </c>
      <c r="E160" s="333">
        <f t="shared" ref="E160:E166" si="70">(D160/$D$167)</f>
        <v>1.8713142313416701E-2</v>
      </c>
      <c r="F160" s="326">
        <v>1051.23</v>
      </c>
      <c r="G160" s="326">
        <v>1051.23</v>
      </c>
      <c r="H160" s="334">
        <v>2.0999999999999999E-3</v>
      </c>
      <c r="I160" s="334">
        <v>5.1200000000000002E-2</v>
      </c>
      <c r="J160" s="326">
        <v>481327602.69</v>
      </c>
      <c r="K160" s="333">
        <f t="shared" ref="K160:K166" si="71">(J160/$J$167)</f>
        <v>1.8454177843028517E-2</v>
      </c>
      <c r="L160" s="326">
        <v>1047.54</v>
      </c>
      <c r="M160" s="326">
        <v>1047.54</v>
      </c>
      <c r="N160" s="334">
        <v>-3.7000000000000002E-3</v>
      </c>
      <c r="O160" s="334">
        <v>4.7500000000000001E-2</v>
      </c>
      <c r="P160" s="329">
        <f t="shared" ref="P160:P166" si="72">((J160-D160)/D160)</f>
        <v>-3.4653451252422904E-3</v>
      </c>
      <c r="Q160" s="329">
        <f t="shared" ref="Q160:Q166" si="73">((M160-G160)/G160)</f>
        <v>-3.5101737964099715E-3</v>
      </c>
      <c r="R160" s="329">
        <f t="shared" ref="R160:S166" si="74">N160-H160</f>
        <v>-5.7999999999999996E-3</v>
      </c>
      <c r="S160" s="364">
        <f t="shared" si="74"/>
        <v>-3.7000000000000019E-3</v>
      </c>
      <c r="T160" s="188"/>
    </row>
    <row r="161" spans="1:20" s="112" customFormat="1" ht="12" customHeight="1">
      <c r="A161" s="400">
        <v>129</v>
      </c>
      <c r="B161" s="368" t="s">
        <v>231</v>
      </c>
      <c r="C161" s="369" t="s">
        <v>88</v>
      </c>
      <c r="D161" s="326">
        <v>62119720.93</v>
      </c>
      <c r="E161" s="333">
        <f t="shared" si="70"/>
        <v>2.4067326772316969E-3</v>
      </c>
      <c r="F161" s="326">
        <v>103.78</v>
      </c>
      <c r="G161" s="326">
        <v>103.78</v>
      </c>
      <c r="H161" s="334">
        <v>1.1000000000000001E-3</v>
      </c>
      <c r="I161" s="334">
        <v>5.8500000000000003E-2</v>
      </c>
      <c r="J161" s="326">
        <v>61962424.829999998</v>
      </c>
      <c r="K161" s="333">
        <f t="shared" si="71"/>
        <v>2.3756493519332973E-3</v>
      </c>
      <c r="L161" s="326">
        <v>103.78</v>
      </c>
      <c r="M161" s="326">
        <v>103.78</v>
      </c>
      <c r="N161" s="334">
        <v>0</v>
      </c>
      <c r="O161" s="334">
        <v>5.79E-2</v>
      </c>
      <c r="P161" s="329">
        <f t="shared" si="72"/>
        <v>-2.5321443439395293E-3</v>
      </c>
      <c r="Q161" s="329">
        <f t="shared" si="73"/>
        <v>0</v>
      </c>
      <c r="R161" s="329">
        <f t="shared" si="74"/>
        <v>-1.1000000000000001E-3</v>
      </c>
      <c r="S161" s="364">
        <f t="shared" si="74"/>
        <v>-6.0000000000000331E-4</v>
      </c>
      <c r="T161" s="188"/>
    </row>
    <row r="162" spans="1:20" s="112" customFormat="1" ht="12" customHeight="1">
      <c r="A162" s="400">
        <v>130</v>
      </c>
      <c r="B162" s="402" t="s">
        <v>235</v>
      </c>
      <c r="C162" s="369" t="s">
        <v>98</v>
      </c>
      <c r="D162" s="321">
        <v>52435558.130000003</v>
      </c>
      <c r="E162" s="333">
        <f t="shared" si="70"/>
        <v>2.0315347414802559E-3</v>
      </c>
      <c r="F162" s="322">
        <v>100.79</v>
      </c>
      <c r="G162" s="322">
        <v>105.29</v>
      </c>
      <c r="H162" s="334">
        <v>1.9E-3</v>
      </c>
      <c r="I162" s="334">
        <v>3.9399999999999998E-2</v>
      </c>
      <c r="J162" s="321">
        <v>52504594.890000001</v>
      </c>
      <c r="K162" s="333">
        <f t="shared" si="71"/>
        <v>2.0130346281018647E-3</v>
      </c>
      <c r="L162" s="322">
        <v>100.92</v>
      </c>
      <c r="M162" s="322">
        <v>105.55</v>
      </c>
      <c r="N162" s="334">
        <v>2E-3</v>
      </c>
      <c r="O162" s="334">
        <v>4.1399999999999999E-2</v>
      </c>
      <c r="P162" s="329">
        <f t="shared" si="72"/>
        <v>1.3166019865534691E-3</v>
      </c>
      <c r="Q162" s="329">
        <f t="shared" si="73"/>
        <v>2.4693703105707178E-3</v>
      </c>
      <c r="R162" s="329">
        <f t="shared" si="74"/>
        <v>1.0000000000000005E-4</v>
      </c>
      <c r="S162" s="364">
        <f t="shared" si="74"/>
        <v>2.0000000000000018E-3</v>
      </c>
      <c r="T162" s="188"/>
    </row>
    <row r="163" spans="1:20" s="112" customFormat="1" ht="12" customHeight="1">
      <c r="A163" s="400">
        <v>131</v>
      </c>
      <c r="B163" s="368" t="s">
        <v>186</v>
      </c>
      <c r="C163" s="369" t="s">
        <v>185</v>
      </c>
      <c r="D163" s="326">
        <v>9137554462.4300003</v>
      </c>
      <c r="E163" s="333">
        <f t="shared" si="70"/>
        <v>0.35402043965226476</v>
      </c>
      <c r="F163" s="322">
        <v>129.30000000000001</v>
      </c>
      <c r="G163" s="322">
        <v>129.30000000000001</v>
      </c>
      <c r="H163" s="334">
        <v>-8.0000000000000004E-4</v>
      </c>
      <c r="I163" s="334">
        <v>0.13150000000000001</v>
      </c>
      <c r="J163" s="326">
        <v>9193583412.5200005</v>
      </c>
      <c r="K163" s="333">
        <f t="shared" si="71"/>
        <v>0.35248346939003822</v>
      </c>
      <c r="L163" s="322">
        <v>130</v>
      </c>
      <c r="M163" s="322">
        <v>130</v>
      </c>
      <c r="N163" s="334">
        <v>2.2000000000000001E-3</v>
      </c>
      <c r="O163" s="334">
        <v>0.12690000000000001</v>
      </c>
      <c r="P163" s="329">
        <f t="shared" si="72"/>
        <v>6.131722696742216E-3</v>
      </c>
      <c r="Q163" s="329">
        <f t="shared" si="73"/>
        <v>5.4137664346480168E-3</v>
      </c>
      <c r="R163" s="329">
        <f t="shared" si="74"/>
        <v>3.0000000000000001E-3</v>
      </c>
      <c r="S163" s="364">
        <f t="shared" si="74"/>
        <v>-4.599999999999993E-3</v>
      </c>
      <c r="T163" s="188"/>
    </row>
    <row r="164" spans="1:20" s="112" customFormat="1" ht="12" customHeight="1">
      <c r="A164" s="395">
        <v>132</v>
      </c>
      <c r="B164" s="368" t="s">
        <v>173</v>
      </c>
      <c r="C164" s="369" t="s">
        <v>172</v>
      </c>
      <c r="D164" s="326">
        <v>485543074.88999999</v>
      </c>
      <c r="E164" s="333">
        <f t="shared" si="70"/>
        <v>1.881161677880255E-2</v>
      </c>
      <c r="F164" s="327">
        <v>103.02</v>
      </c>
      <c r="G164" s="327">
        <v>103.02</v>
      </c>
      <c r="H164" s="334">
        <v>1.24E-2</v>
      </c>
      <c r="I164" s="334">
        <v>4.5699999999999998E-2</v>
      </c>
      <c r="J164" s="326">
        <v>500101506.67000002</v>
      </c>
      <c r="K164" s="333">
        <f t="shared" si="71"/>
        <v>1.9173972346644377E-2</v>
      </c>
      <c r="L164" s="327">
        <v>103.54</v>
      </c>
      <c r="M164" s="327">
        <v>103.54</v>
      </c>
      <c r="N164" s="334">
        <v>4.7000000000000002E-3</v>
      </c>
      <c r="O164" s="334">
        <v>4.8399999999999999E-2</v>
      </c>
      <c r="P164" s="329">
        <f t="shared" si="72"/>
        <v>2.9983810979691657E-2</v>
      </c>
      <c r="Q164" s="329">
        <f t="shared" si="73"/>
        <v>5.0475635798874997E-3</v>
      </c>
      <c r="R164" s="329">
        <f t="shared" si="74"/>
        <v>-7.6999999999999994E-3</v>
      </c>
      <c r="S164" s="364">
        <f t="shared" si="74"/>
        <v>2.700000000000001E-3</v>
      </c>
      <c r="T164" s="188"/>
    </row>
    <row r="165" spans="1:20" s="318" customFormat="1" ht="12" customHeight="1">
      <c r="A165" s="404">
        <v>133</v>
      </c>
      <c r="B165" s="368" t="s">
        <v>130</v>
      </c>
      <c r="C165" s="369" t="s">
        <v>5</v>
      </c>
      <c r="D165" s="326">
        <v>8383714282.5500002</v>
      </c>
      <c r="E165" s="333">
        <f t="shared" si="70"/>
        <v>0.32481406577991812</v>
      </c>
      <c r="F165" s="327">
        <v>124.35</v>
      </c>
      <c r="G165" s="327">
        <v>124.35</v>
      </c>
      <c r="H165" s="334">
        <v>1.1000000000000001E-3</v>
      </c>
      <c r="I165" s="334">
        <v>2.75E-2</v>
      </c>
      <c r="J165" s="326">
        <v>8384285564.25</v>
      </c>
      <c r="K165" s="333">
        <f t="shared" si="71"/>
        <v>0.32145485948591485</v>
      </c>
      <c r="L165" s="327">
        <v>124.47</v>
      </c>
      <c r="M165" s="327">
        <v>124.47</v>
      </c>
      <c r="N165" s="334">
        <v>1E-3</v>
      </c>
      <c r="O165" s="334">
        <v>2.8500000000000001E-2</v>
      </c>
      <c r="P165" s="329">
        <f t="shared" si="72"/>
        <v>6.8141837942746247E-5</v>
      </c>
      <c r="Q165" s="329">
        <f t="shared" si="73"/>
        <v>9.650180940893008E-4</v>
      </c>
      <c r="R165" s="329">
        <f t="shared" si="74"/>
        <v>-1.0000000000000005E-4</v>
      </c>
      <c r="S165" s="364">
        <f t="shared" si="74"/>
        <v>1.0000000000000009E-3</v>
      </c>
      <c r="T165" s="319"/>
    </row>
    <row r="166" spans="1:20" s="112" customFormat="1" ht="12" customHeight="1">
      <c r="A166" s="396">
        <v>134</v>
      </c>
      <c r="B166" s="368" t="s">
        <v>164</v>
      </c>
      <c r="C166" s="369" t="s">
        <v>41</v>
      </c>
      <c r="D166" s="326">
        <v>3238342114.6500001</v>
      </c>
      <c r="E166" s="333">
        <f t="shared" si="70"/>
        <v>0.12546456536992928</v>
      </c>
      <c r="F166" s="327">
        <v>1.1676</v>
      </c>
      <c r="G166" s="327">
        <v>1.1676</v>
      </c>
      <c r="H166" s="334">
        <v>0.13339999999999999</v>
      </c>
      <c r="I166" s="334">
        <v>0.1303</v>
      </c>
      <c r="J166" s="326">
        <v>3468443330.0799999</v>
      </c>
      <c r="K166" s="333">
        <f t="shared" si="71"/>
        <v>0.13298067614249498</v>
      </c>
      <c r="L166" s="327">
        <v>1.1212</v>
      </c>
      <c r="M166" s="327">
        <v>1.1212</v>
      </c>
      <c r="N166" s="334">
        <v>0.14829999999999999</v>
      </c>
      <c r="O166" s="334">
        <v>0.1318</v>
      </c>
      <c r="P166" s="329">
        <f t="shared" si="72"/>
        <v>7.1055252127019061E-2</v>
      </c>
      <c r="Q166" s="329">
        <f t="shared" si="73"/>
        <v>-3.9739636861939015E-2</v>
      </c>
      <c r="R166" s="329">
        <f t="shared" si="74"/>
        <v>1.4899999999999997E-2</v>
      </c>
      <c r="S166" s="364">
        <f t="shared" si="74"/>
        <v>1.5000000000000013E-3</v>
      </c>
      <c r="T166" s="188"/>
    </row>
    <row r="167" spans="1:20" s="112" customFormat="1" ht="12" customHeight="1">
      <c r="A167" s="261"/>
      <c r="C167" s="286" t="s">
        <v>42</v>
      </c>
      <c r="D167" s="76">
        <f>SUM(D156:D166)</f>
        <v>25810810447.57</v>
      </c>
      <c r="E167" s="262">
        <f>(D167/$D$168)</f>
        <v>1.4473193215579869E-2</v>
      </c>
      <c r="F167" s="263"/>
      <c r="G167" s="72"/>
      <c r="H167" s="245"/>
      <c r="I167" s="245"/>
      <c r="J167" s="76">
        <f>SUM(J156:J166)</f>
        <v>26082310834.120003</v>
      </c>
      <c r="K167" s="262">
        <f>(J167/$J$168)</f>
        <v>1.3910318186601343E-2</v>
      </c>
      <c r="L167" s="264"/>
      <c r="M167" s="72"/>
      <c r="N167" s="265"/>
      <c r="O167" s="265"/>
      <c r="P167" s="266">
        <f t="shared" ref="P167:P168" si="75">((J167-D167)/D167)</f>
        <v>1.051886329185622E-2</v>
      </c>
      <c r="Q167" s="266"/>
      <c r="R167" s="266">
        <f t="shared" ref="R167:S167" si="76">N167-H167</f>
        <v>0</v>
      </c>
      <c r="S167" s="364">
        <f t="shared" si="76"/>
        <v>0</v>
      </c>
      <c r="T167" s="137" t="s">
        <v>261</v>
      </c>
    </row>
    <row r="168" spans="1:20" s="112" customFormat="1" ht="12" customHeight="1">
      <c r="A168" s="267"/>
      <c r="B168" s="268"/>
      <c r="C168" s="268" t="s">
        <v>28</v>
      </c>
      <c r="D168" s="269">
        <f>SUM(D22,D54,D87,D112,D119,D146,D152,D167)</f>
        <v>1783352855386.8538</v>
      </c>
      <c r="E168" s="270"/>
      <c r="F168" s="270"/>
      <c r="G168" s="271"/>
      <c r="H168" s="272"/>
      <c r="I168" s="272"/>
      <c r="J168" s="269">
        <f>SUM(J22,J54,J87,J112,J119,J146,J152,J167)</f>
        <v>1875033373373.3662</v>
      </c>
      <c r="K168" s="270"/>
      <c r="L168" s="270"/>
      <c r="M168" s="271"/>
      <c r="N168" s="273"/>
      <c r="O168" s="273"/>
      <c r="P168" s="274">
        <f t="shared" si="75"/>
        <v>5.1409073481772996E-2</v>
      </c>
      <c r="Q168" s="274"/>
      <c r="R168" s="274"/>
      <c r="S168" s="275"/>
      <c r="T168" s="138">
        <f>((J168-D168)/D168)</f>
        <v>5.1409073481772996E-2</v>
      </c>
    </row>
    <row r="169" spans="1:20" s="112" customFormat="1" ht="6.75" customHeight="1">
      <c r="A169" s="410"/>
      <c r="B169" s="411"/>
      <c r="C169" s="412"/>
      <c r="D169" s="412"/>
      <c r="E169" s="412"/>
      <c r="F169" s="412"/>
      <c r="G169" s="412"/>
      <c r="H169" s="412"/>
      <c r="I169" s="412"/>
      <c r="J169" s="412"/>
      <c r="K169" s="412"/>
      <c r="L169" s="412"/>
      <c r="M169" s="412"/>
      <c r="N169" s="412"/>
      <c r="O169" s="412"/>
      <c r="P169" s="412"/>
      <c r="Q169" s="412"/>
      <c r="R169" s="412"/>
      <c r="S169" s="365"/>
      <c r="T169" s="188"/>
    </row>
    <row r="170" spans="1:20" s="112" customFormat="1" ht="12" customHeight="1">
      <c r="A170" s="448" t="s">
        <v>201</v>
      </c>
      <c r="B170" s="449"/>
      <c r="C170" s="450"/>
      <c r="D170" s="450"/>
      <c r="E170" s="450"/>
      <c r="F170" s="450"/>
      <c r="G170" s="450"/>
      <c r="H170" s="450"/>
      <c r="I170" s="450"/>
      <c r="J170" s="450"/>
      <c r="K170" s="450"/>
      <c r="L170" s="450"/>
      <c r="M170" s="450"/>
      <c r="N170" s="450"/>
      <c r="O170" s="450"/>
      <c r="P170" s="450"/>
      <c r="Q170" s="450"/>
      <c r="R170" s="450"/>
      <c r="S170" s="451"/>
      <c r="T170" s="188"/>
    </row>
    <row r="171" spans="1:20" s="112" customFormat="1" ht="25.5" customHeight="1">
      <c r="A171" s="242"/>
      <c r="B171" s="243"/>
      <c r="C171" s="243"/>
      <c r="D171" s="257" t="s">
        <v>205</v>
      </c>
      <c r="E171" s="258"/>
      <c r="F171" s="258"/>
      <c r="G171" s="362" t="s">
        <v>206</v>
      </c>
      <c r="H171" s="259"/>
      <c r="I171" s="259"/>
      <c r="J171" s="260" t="s">
        <v>205</v>
      </c>
      <c r="K171" s="258"/>
      <c r="L171" s="256" t="s">
        <v>213</v>
      </c>
      <c r="M171" s="256" t="s">
        <v>214</v>
      </c>
      <c r="N171" s="362"/>
      <c r="O171" s="362"/>
      <c r="P171" s="409" t="s">
        <v>62</v>
      </c>
      <c r="Q171" s="409"/>
      <c r="R171" s="409"/>
      <c r="S171" s="363"/>
      <c r="T171" s="188"/>
    </row>
    <row r="172" spans="1:20" s="112" customFormat="1" ht="12" customHeight="1">
      <c r="A172" s="282" t="s">
        <v>1</v>
      </c>
      <c r="B172" s="284" t="s">
        <v>2</v>
      </c>
      <c r="C172" s="283" t="s">
        <v>194</v>
      </c>
      <c r="D172" s="198"/>
      <c r="E172" s="198"/>
      <c r="F172" s="198"/>
      <c r="G172" s="198"/>
      <c r="H172" s="198"/>
      <c r="I172" s="198"/>
      <c r="J172" s="225"/>
      <c r="K172" s="226"/>
      <c r="L172" s="226"/>
      <c r="M172" s="227"/>
      <c r="N172" s="227"/>
      <c r="O172" s="227"/>
      <c r="P172" s="299" t="s">
        <v>204</v>
      </c>
      <c r="Q172" s="297" t="s">
        <v>207</v>
      </c>
      <c r="R172" s="297" t="s">
        <v>215</v>
      </c>
      <c r="S172" s="366"/>
      <c r="T172" s="188"/>
    </row>
    <row r="173" spans="1:20" s="112" customFormat="1" ht="12" customHeight="1">
      <c r="A173" s="394">
        <v>1</v>
      </c>
      <c r="B173" s="368" t="s">
        <v>219</v>
      </c>
      <c r="C173" s="369" t="s">
        <v>117</v>
      </c>
      <c r="D173" s="326">
        <v>91842597312</v>
      </c>
      <c r="E173" s="333">
        <f>(D173/$D$175)</f>
        <v>0.97589401745937643</v>
      </c>
      <c r="F173" s="327">
        <v>107.58</v>
      </c>
      <c r="G173" s="327">
        <v>107.58</v>
      </c>
      <c r="H173" s="323">
        <v>0</v>
      </c>
      <c r="I173" s="323">
        <v>0.13800000000000001</v>
      </c>
      <c r="J173" s="326">
        <v>91842597312</v>
      </c>
      <c r="K173" s="333">
        <f>(J173/$J$175)</f>
        <v>0.97583229360231094</v>
      </c>
      <c r="L173" s="327">
        <v>107.58</v>
      </c>
      <c r="M173" s="327">
        <v>107.58</v>
      </c>
      <c r="N173" s="323">
        <v>0</v>
      </c>
      <c r="O173" s="323">
        <v>0.13800000000000001</v>
      </c>
      <c r="P173" s="329">
        <f>((J173-D173)/D173)</f>
        <v>0</v>
      </c>
      <c r="Q173" s="329">
        <f>((M173-G173)/G173)</f>
        <v>0</v>
      </c>
      <c r="R173" s="329">
        <f>N173-H173</f>
        <v>0</v>
      </c>
      <c r="S173" s="364">
        <f t="shared" ref="S173:S175" si="77">O173-I173</f>
        <v>0</v>
      </c>
      <c r="T173" s="188"/>
    </row>
    <row r="174" spans="1:20" s="112" customFormat="1" ht="12" customHeight="1">
      <c r="A174" s="396">
        <v>2</v>
      </c>
      <c r="B174" s="368" t="s">
        <v>244</v>
      </c>
      <c r="C174" s="369" t="s">
        <v>41</v>
      </c>
      <c r="D174" s="326">
        <v>2268643938.46</v>
      </c>
      <c r="E174" s="333">
        <f>(D174/$D$175)</f>
        <v>2.4105982540623554E-2</v>
      </c>
      <c r="F174" s="328">
        <v>1000000</v>
      </c>
      <c r="G174" s="328">
        <v>1000000</v>
      </c>
      <c r="H174" s="323">
        <v>2.3E-3</v>
      </c>
      <c r="I174" s="323">
        <v>0.15909999999999999</v>
      </c>
      <c r="J174" s="326">
        <v>2274596712.1500001</v>
      </c>
      <c r="K174" s="333">
        <f>(J174/$J$175)</f>
        <v>2.4167706397689143E-2</v>
      </c>
      <c r="L174" s="328">
        <v>1000000</v>
      </c>
      <c r="M174" s="328">
        <v>1000000</v>
      </c>
      <c r="N174" s="323">
        <v>2.5999999999999999E-3</v>
      </c>
      <c r="O174" s="323">
        <v>0.15859999999999999</v>
      </c>
      <c r="P174" s="329">
        <f>((J174-D174)/D174)</f>
        <v>2.6239347607985219E-3</v>
      </c>
      <c r="Q174" s="329">
        <f>((M174-G174)/G174)</f>
        <v>0</v>
      </c>
      <c r="R174" s="329">
        <f>N174-H174</f>
        <v>2.9999999999999992E-4</v>
      </c>
      <c r="S174" s="364">
        <f t="shared" si="77"/>
        <v>-5.0000000000000044E-4</v>
      </c>
      <c r="T174" s="137" t="s">
        <v>209</v>
      </c>
    </row>
    <row r="175" spans="1:20" s="112" customFormat="1" ht="12" customHeight="1">
      <c r="A175" s="268"/>
      <c r="B175" s="268"/>
      <c r="C175" s="268" t="s">
        <v>202</v>
      </c>
      <c r="D175" s="371">
        <f>SUM(D173:D174)</f>
        <v>94111241250.460007</v>
      </c>
      <c r="E175" s="371"/>
      <c r="F175" s="372"/>
      <c r="G175" s="372"/>
      <c r="H175" s="373"/>
      <c r="I175" s="373"/>
      <c r="J175" s="371">
        <f>SUM(J173:J174)</f>
        <v>94117194024.149994</v>
      </c>
      <c r="K175" s="374"/>
      <c r="L175" s="372"/>
      <c r="M175" s="372"/>
      <c r="N175" s="373"/>
      <c r="O175" s="373"/>
      <c r="P175" s="375">
        <f>((J175-D175)/D175)</f>
        <v>6.3252525531407613E-5</v>
      </c>
      <c r="Q175" s="376"/>
      <c r="R175" s="375">
        <f>N175-H175</f>
        <v>0</v>
      </c>
      <c r="S175" s="377">
        <f t="shared" si="77"/>
        <v>0</v>
      </c>
      <c r="T175" s="138">
        <f>((J175-D175)/D175)</f>
        <v>6.3252525531407613E-5</v>
      </c>
    </row>
    <row r="176" spans="1:20" s="112" customFormat="1" ht="7.5" customHeight="1">
      <c r="A176" s="452"/>
      <c r="B176" s="453"/>
      <c r="C176" s="454"/>
      <c r="D176" s="454"/>
      <c r="E176" s="454"/>
      <c r="F176" s="454"/>
      <c r="G176" s="454"/>
      <c r="H176" s="454"/>
      <c r="I176" s="454"/>
      <c r="J176" s="454"/>
      <c r="K176" s="454"/>
      <c r="L176" s="454"/>
      <c r="M176" s="454"/>
      <c r="N176" s="454"/>
      <c r="O176" s="454"/>
      <c r="P176" s="454"/>
      <c r="Q176" s="454"/>
      <c r="R176" s="454"/>
      <c r="S176" s="455"/>
      <c r="T176" s="188"/>
    </row>
    <row r="177" spans="1:20" s="112" customFormat="1" ht="12" customHeight="1">
      <c r="A177" s="448" t="s">
        <v>46</v>
      </c>
      <c r="B177" s="449"/>
      <c r="C177" s="450"/>
      <c r="D177" s="450"/>
      <c r="E177" s="450"/>
      <c r="F177" s="450"/>
      <c r="G177" s="450"/>
      <c r="H177" s="450"/>
      <c r="I177" s="450"/>
      <c r="J177" s="450"/>
      <c r="K177" s="450"/>
      <c r="L177" s="450"/>
      <c r="M177" s="450"/>
      <c r="N177" s="450"/>
      <c r="O177" s="450"/>
      <c r="P177" s="450"/>
      <c r="Q177" s="450"/>
      <c r="R177" s="450"/>
      <c r="S177" s="451"/>
      <c r="T177" s="188"/>
    </row>
    <row r="178" spans="1:20" s="112" customFormat="1" ht="25.5" customHeight="1">
      <c r="A178" s="251"/>
      <c r="B178" s="253" t="s">
        <v>46</v>
      </c>
      <c r="C178" s="252" t="s">
        <v>194</v>
      </c>
      <c r="D178" s="253" t="s">
        <v>72</v>
      </c>
      <c r="E178" s="254" t="s">
        <v>61</v>
      </c>
      <c r="F178" s="254"/>
      <c r="G178" s="254" t="s">
        <v>73</v>
      </c>
      <c r="H178" s="255"/>
      <c r="I178" s="255"/>
      <c r="J178" s="256" t="s">
        <v>72</v>
      </c>
      <c r="K178" s="254" t="s">
        <v>61</v>
      </c>
      <c r="L178" s="256" t="s">
        <v>213</v>
      </c>
      <c r="M178" s="256" t="s">
        <v>214</v>
      </c>
      <c r="N178" s="254"/>
      <c r="O178" s="254"/>
      <c r="P178" s="409" t="s">
        <v>62</v>
      </c>
      <c r="Q178" s="409"/>
      <c r="R178" s="409"/>
      <c r="S178" s="367"/>
      <c r="T178" s="188"/>
    </row>
    <row r="179" spans="1:20" s="112" customFormat="1" ht="12" customHeight="1">
      <c r="A179" s="189"/>
      <c r="B179" s="68"/>
      <c r="C179" s="68"/>
      <c r="D179" s="198"/>
      <c r="E179" s="198"/>
      <c r="F179" s="198"/>
      <c r="G179" s="198"/>
      <c r="H179" s="221"/>
      <c r="I179" s="221"/>
      <c r="J179" s="217"/>
      <c r="K179" s="198"/>
      <c r="L179" s="198"/>
      <c r="M179" s="198"/>
      <c r="N179" s="220"/>
      <c r="O179" s="220"/>
      <c r="P179" s="297" t="s">
        <v>204</v>
      </c>
      <c r="Q179" s="300" t="s">
        <v>119</v>
      </c>
      <c r="R179" s="297" t="s">
        <v>215</v>
      </c>
      <c r="S179" s="364">
        <f t="shared" ref="S179:S192" si="78">O179-I179</f>
        <v>0</v>
      </c>
      <c r="T179" s="188"/>
    </row>
    <row r="180" spans="1:20" s="112" customFormat="1" ht="12" customHeight="1">
      <c r="A180" s="403">
        <v>1</v>
      </c>
      <c r="B180" s="368" t="s">
        <v>223</v>
      </c>
      <c r="C180" s="369" t="s">
        <v>87</v>
      </c>
      <c r="D180" s="324">
        <v>600047009.96603644</v>
      </c>
      <c r="E180" s="193">
        <f t="shared" ref="E180:E191" si="79">(D180/$D$192)</f>
        <v>7.0582136901198078E-2</v>
      </c>
      <c r="F180" s="328">
        <v>138.15</v>
      </c>
      <c r="G180" s="328">
        <v>141.12</v>
      </c>
      <c r="H180" s="335">
        <v>4.5199999999999997E-2</v>
      </c>
      <c r="I180" s="335">
        <v>5.8999999999999997E-2</v>
      </c>
      <c r="J180" s="324">
        <v>601039980.77340233</v>
      </c>
      <c r="K180" s="193">
        <f t="shared" ref="K180:K190" si="80">(J180/$J$192)</f>
        <v>7.1037410388510261E-2</v>
      </c>
      <c r="L180" s="328">
        <v>138.37688057405373</v>
      </c>
      <c r="M180" s="328">
        <v>141.34869580983082</v>
      </c>
      <c r="N180" s="335">
        <v>4.2000000000000003E-2</v>
      </c>
      <c r="O180" s="335">
        <v>4.7E-2</v>
      </c>
      <c r="P180" s="329">
        <f t="shared" ref="P180:P191" si="81">((J180-D180)/D180)</f>
        <v>1.6548216904240518E-3</v>
      </c>
      <c r="Q180" s="329">
        <f t="shared" ref="Q180:Q191" si="82">((M180-G180)/G180)</f>
        <v>1.6205768837217298E-3</v>
      </c>
      <c r="R180" s="329">
        <f t="shared" ref="R180:R191" si="83">N180-H180</f>
        <v>-3.1999999999999945E-3</v>
      </c>
      <c r="S180" s="364">
        <f t="shared" si="78"/>
        <v>-1.1999999999999997E-2</v>
      </c>
      <c r="T180" s="188"/>
    </row>
    <row r="181" spans="1:20" s="112" customFormat="1" ht="12" customHeight="1">
      <c r="A181" s="395">
        <v>2</v>
      </c>
      <c r="B181" s="368" t="s">
        <v>96</v>
      </c>
      <c r="C181" s="369" t="s">
        <v>23</v>
      </c>
      <c r="D181" s="324">
        <v>671920271.25</v>
      </c>
      <c r="E181" s="193">
        <f t="shared" si="79"/>
        <v>7.9036421787589614E-2</v>
      </c>
      <c r="F181" s="328">
        <v>20.12</v>
      </c>
      <c r="G181" s="328">
        <v>20.12</v>
      </c>
      <c r="H181" s="335">
        <v>6.2700000000000006E-2</v>
      </c>
      <c r="I181" s="335">
        <v>0.2959</v>
      </c>
      <c r="J181" s="324">
        <v>663747720.25</v>
      </c>
      <c r="K181" s="193">
        <f t="shared" si="80"/>
        <v>7.8448889767973165E-2</v>
      </c>
      <c r="L181" s="328">
        <v>19.87</v>
      </c>
      <c r="M181" s="328">
        <v>19.87</v>
      </c>
      <c r="N181" s="335">
        <v>-1.2200000000000001E-2</v>
      </c>
      <c r="O181" s="335">
        <v>0.2802</v>
      </c>
      <c r="P181" s="329">
        <f t="shared" si="81"/>
        <v>-1.2162977290142294E-2</v>
      </c>
      <c r="Q181" s="329">
        <f t="shared" si="82"/>
        <v>-1.2425447316103379E-2</v>
      </c>
      <c r="R181" s="329">
        <f t="shared" si="83"/>
        <v>-7.4900000000000008E-2</v>
      </c>
      <c r="S181" s="364">
        <f t="shared" si="78"/>
        <v>-1.5699999999999992E-2</v>
      </c>
      <c r="T181" s="188"/>
    </row>
    <row r="182" spans="1:20" s="112" customFormat="1" ht="12" customHeight="1">
      <c r="A182" s="395">
        <v>3</v>
      </c>
      <c r="B182" s="368" t="s">
        <v>184</v>
      </c>
      <c r="C182" s="369" t="s">
        <v>54</v>
      </c>
      <c r="D182" s="324">
        <v>237232187.46000001</v>
      </c>
      <c r="E182" s="193">
        <f t="shared" si="79"/>
        <v>2.7905071527012795E-2</v>
      </c>
      <c r="F182" s="328">
        <v>17.399999999999999</v>
      </c>
      <c r="G182" s="328">
        <v>17.5</v>
      </c>
      <c r="H182" s="335">
        <v>7.4671612298812695E-2</v>
      </c>
      <c r="I182" s="335">
        <v>0.25020039752109469</v>
      </c>
      <c r="J182" s="324">
        <v>240319338.08000001</v>
      </c>
      <c r="K182" s="193">
        <f t="shared" si="80"/>
        <v>2.8403540512424375E-2</v>
      </c>
      <c r="L182" s="328">
        <v>17.399999999999999</v>
      </c>
      <c r="M182" s="328">
        <v>17.5</v>
      </c>
      <c r="N182" s="335">
        <v>1.2999999999999999E-2</v>
      </c>
      <c r="O182" s="335">
        <v>0.26650000000000001</v>
      </c>
      <c r="P182" s="329">
        <f t="shared" si="81"/>
        <v>1.3013203027184212E-2</v>
      </c>
      <c r="Q182" s="329">
        <f t="shared" si="82"/>
        <v>0</v>
      </c>
      <c r="R182" s="329">
        <f t="shared" si="83"/>
        <v>-6.1671612298812697E-2</v>
      </c>
      <c r="S182" s="364">
        <f t="shared" si="78"/>
        <v>1.6299602478905328E-2</v>
      </c>
      <c r="T182" s="188"/>
    </row>
    <row r="183" spans="1:20" s="112" customFormat="1" ht="12" customHeight="1">
      <c r="A183" s="395">
        <v>4</v>
      </c>
      <c r="B183" s="368" t="s">
        <v>183</v>
      </c>
      <c r="C183" s="369" t="s">
        <v>54</v>
      </c>
      <c r="D183" s="324">
        <v>319540355.49000001</v>
      </c>
      <c r="E183" s="193">
        <f t="shared" si="79"/>
        <v>3.7586790271530994E-2</v>
      </c>
      <c r="F183" s="328">
        <v>16.399999999999999</v>
      </c>
      <c r="G183" s="328">
        <v>16.5</v>
      </c>
      <c r="H183" s="335">
        <v>6.6454627062749072E-2</v>
      </c>
      <c r="I183" s="335">
        <v>0.37503637211685725</v>
      </c>
      <c r="J183" s="324">
        <v>327220966.83999997</v>
      </c>
      <c r="K183" s="193">
        <f t="shared" si="80"/>
        <v>3.8674515594166001E-2</v>
      </c>
      <c r="L183" s="328">
        <v>16.399999999999999</v>
      </c>
      <c r="M183" s="328">
        <v>16.5</v>
      </c>
      <c r="N183" s="335">
        <v>2.4E-2</v>
      </c>
      <c r="O183" s="335">
        <v>0.40810000000000002</v>
      </c>
      <c r="P183" s="329">
        <f t="shared" si="81"/>
        <v>2.4036436143478997E-2</v>
      </c>
      <c r="Q183" s="329">
        <f t="shared" si="82"/>
        <v>0</v>
      </c>
      <c r="R183" s="329">
        <f t="shared" si="83"/>
        <v>-4.2454627062749072E-2</v>
      </c>
      <c r="S183" s="364">
        <f t="shared" si="78"/>
        <v>3.3063627883142765E-2</v>
      </c>
      <c r="T183" s="188"/>
    </row>
    <row r="184" spans="1:20" s="112" customFormat="1" ht="12" customHeight="1">
      <c r="A184" s="403">
        <v>5</v>
      </c>
      <c r="B184" s="368" t="s">
        <v>32</v>
      </c>
      <c r="C184" s="369" t="s">
        <v>31</v>
      </c>
      <c r="D184" s="324">
        <v>750326200</v>
      </c>
      <c r="E184" s="193">
        <f t="shared" si="79"/>
        <v>8.8259129183817314E-2</v>
      </c>
      <c r="F184" s="328">
        <v>16900</v>
      </c>
      <c r="G184" s="328">
        <v>16900</v>
      </c>
      <c r="H184" s="335">
        <v>0</v>
      </c>
      <c r="I184" s="335">
        <v>0</v>
      </c>
      <c r="J184" s="324">
        <v>679289400</v>
      </c>
      <c r="K184" s="193">
        <f t="shared" si="80"/>
        <v>8.0285773698900512E-2</v>
      </c>
      <c r="L184" s="328">
        <v>15300</v>
      </c>
      <c r="M184" s="328">
        <v>15300</v>
      </c>
      <c r="N184" s="335">
        <v>0</v>
      </c>
      <c r="O184" s="335">
        <v>0</v>
      </c>
      <c r="P184" s="329">
        <f t="shared" si="81"/>
        <v>-9.4674556213017749E-2</v>
      </c>
      <c r="Q184" s="329">
        <f t="shared" si="82"/>
        <v>-9.4674556213017749E-2</v>
      </c>
      <c r="R184" s="329">
        <f t="shared" si="83"/>
        <v>0</v>
      </c>
      <c r="S184" s="364">
        <f t="shared" si="78"/>
        <v>0</v>
      </c>
      <c r="T184" s="188"/>
    </row>
    <row r="185" spans="1:20" s="112" customFormat="1" ht="12" customHeight="1">
      <c r="A185" s="404">
        <v>6</v>
      </c>
      <c r="B185" s="368" t="s">
        <v>94</v>
      </c>
      <c r="C185" s="369" t="s">
        <v>39</v>
      </c>
      <c r="D185" s="324">
        <v>806990931.40999997</v>
      </c>
      <c r="E185" s="193">
        <f t="shared" si="79"/>
        <v>9.4924470004491709E-2</v>
      </c>
      <c r="F185" s="328">
        <v>80</v>
      </c>
      <c r="G185" s="328">
        <v>80</v>
      </c>
      <c r="H185" s="335">
        <v>8.4000000000000005E-2</v>
      </c>
      <c r="I185" s="335">
        <v>0.31530000000000002</v>
      </c>
      <c r="J185" s="324">
        <v>812581911.92999995</v>
      </c>
      <c r="K185" s="193">
        <f t="shared" si="80"/>
        <v>9.6039725473460777E-2</v>
      </c>
      <c r="L185" s="328">
        <v>83</v>
      </c>
      <c r="M185" s="328">
        <v>83</v>
      </c>
      <c r="N185" s="335">
        <v>1.7000000000000001E-2</v>
      </c>
      <c r="O185" s="335">
        <v>0.33760000000000001</v>
      </c>
      <c r="P185" s="329">
        <f t="shared" si="81"/>
        <v>6.9281825884105587E-3</v>
      </c>
      <c r="Q185" s="329">
        <f t="shared" si="82"/>
        <v>3.7499999999999999E-2</v>
      </c>
      <c r="R185" s="329">
        <f t="shared" si="83"/>
        <v>-6.7000000000000004E-2</v>
      </c>
      <c r="S185" s="364">
        <f t="shared" si="78"/>
        <v>2.2299999999999986E-2</v>
      </c>
      <c r="T185" s="188"/>
    </row>
    <row r="186" spans="1:20" s="112" customFormat="1" ht="12" customHeight="1">
      <c r="A186" s="404">
        <v>7</v>
      </c>
      <c r="B186" s="368" t="s">
        <v>40</v>
      </c>
      <c r="C186" s="369" t="s">
        <v>39</v>
      </c>
      <c r="D186" s="324">
        <v>539342500.90999997</v>
      </c>
      <c r="E186" s="193">
        <f t="shared" si="79"/>
        <v>6.3441606413502286E-2</v>
      </c>
      <c r="F186" s="328">
        <v>252</v>
      </c>
      <c r="G186" s="328">
        <v>252</v>
      </c>
      <c r="H186" s="335">
        <v>5.4699999999999999E-2</v>
      </c>
      <c r="I186" s="335">
        <v>0.20669999999999999</v>
      </c>
      <c r="J186" s="324">
        <v>534563252.25999999</v>
      </c>
      <c r="K186" s="193">
        <f t="shared" si="80"/>
        <v>6.3180471090369769E-2</v>
      </c>
      <c r="L186" s="328">
        <v>245</v>
      </c>
      <c r="M186" s="328">
        <v>245</v>
      </c>
      <c r="N186" s="335">
        <v>1.1999999999999999E-3</v>
      </c>
      <c r="O186" s="335">
        <v>0.20810000000000001</v>
      </c>
      <c r="P186" s="329">
        <f t="shared" si="81"/>
        <v>-8.8612498401966083E-3</v>
      </c>
      <c r="Q186" s="329">
        <f t="shared" si="82"/>
        <v>-2.7777777777777776E-2</v>
      </c>
      <c r="R186" s="329">
        <f t="shared" si="83"/>
        <v>-5.3499999999999999E-2</v>
      </c>
      <c r="S186" s="364">
        <f t="shared" si="78"/>
        <v>1.4000000000000123E-3</v>
      </c>
      <c r="T186" s="188"/>
    </row>
    <row r="187" spans="1:20" s="112" customFormat="1" ht="12" customHeight="1">
      <c r="A187" s="403">
        <v>8</v>
      </c>
      <c r="B187" s="368" t="s">
        <v>50</v>
      </c>
      <c r="C187" s="369" t="s">
        <v>29</v>
      </c>
      <c r="D187" s="324">
        <v>197356308</v>
      </c>
      <c r="E187" s="193">
        <f t="shared" si="79"/>
        <v>2.3214564389479189E-2</v>
      </c>
      <c r="F187" s="328">
        <v>8.7799999999999994</v>
      </c>
      <c r="G187" s="328">
        <v>8.8800000000000008</v>
      </c>
      <c r="H187" s="335">
        <v>0</v>
      </c>
      <c r="I187" s="335">
        <v>0</v>
      </c>
      <c r="J187" s="324">
        <v>197698435.84999999</v>
      </c>
      <c r="K187" s="193">
        <f t="shared" si="80"/>
        <v>2.3366140972138974E-2</v>
      </c>
      <c r="L187" s="328">
        <v>8.8000000000000007</v>
      </c>
      <c r="M187" s="328">
        <v>8.9</v>
      </c>
      <c r="N187" s="335">
        <v>0</v>
      </c>
      <c r="O187" s="335">
        <v>0.50170000000000003</v>
      </c>
      <c r="P187" s="329">
        <f t="shared" si="81"/>
        <v>1.7335541664064472E-3</v>
      </c>
      <c r="Q187" s="329">
        <f t="shared" si="82"/>
        <v>2.2522522522522041E-3</v>
      </c>
      <c r="R187" s="329">
        <f t="shared" si="83"/>
        <v>0</v>
      </c>
      <c r="S187" s="364">
        <f t="shared" si="78"/>
        <v>0.50170000000000003</v>
      </c>
      <c r="T187" s="188"/>
    </row>
    <row r="188" spans="1:20" s="112" customFormat="1" ht="12" customHeight="1">
      <c r="A188" s="403">
        <v>9</v>
      </c>
      <c r="B188" s="368" t="s">
        <v>59</v>
      </c>
      <c r="C188" s="369" t="s">
        <v>29</v>
      </c>
      <c r="D188" s="75">
        <v>498465018.32999998</v>
      </c>
      <c r="E188" s="193">
        <f t="shared" si="79"/>
        <v>5.8633283025971018E-2</v>
      </c>
      <c r="F188" s="328">
        <v>5.87</v>
      </c>
      <c r="G188" s="328">
        <v>5.97</v>
      </c>
      <c r="H188" s="335">
        <v>0</v>
      </c>
      <c r="I188" s="335">
        <v>0</v>
      </c>
      <c r="J188" s="75">
        <v>502621024</v>
      </c>
      <c r="K188" s="193">
        <f t="shared" si="80"/>
        <v>5.9405192822342946E-2</v>
      </c>
      <c r="L188" s="328">
        <v>5.94</v>
      </c>
      <c r="M188" s="328">
        <v>6.04</v>
      </c>
      <c r="N188" s="335">
        <v>2.7300000000000001E-2</v>
      </c>
      <c r="O188" s="335">
        <v>0.42320000000000002</v>
      </c>
      <c r="P188" s="329">
        <f t="shared" si="81"/>
        <v>8.3376074893356036E-3</v>
      </c>
      <c r="Q188" s="329">
        <f t="shared" si="82"/>
        <v>1.1725293132328356E-2</v>
      </c>
      <c r="R188" s="329">
        <f t="shared" si="83"/>
        <v>2.7300000000000001E-2</v>
      </c>
      <c r="S188" s="364">
        <f t="shared" si="78"/>
        <v>0.42320000000000002</v>
      </c>
      <c r="T188" s="188"/>
    </row>
    <row r="189" spans="1:20" s="112" customFormat="1" ht="12" customHeight="1">
      <c r="A189" s="403">
        <v>10</v>
      </c>
      <c r="B189" s="368" t="s">
        <v>92</v>
      </c>
      <c r="C189" s="369" t="s">
        <v>29</v>
      </c>
      <c r="D189" s="324">
        <v>488170026.68000001</v>
      </c>
      <c r="E189" s="193">
        <f t="shared" si="79"/>
        <v>5.7422307055808086E-2</v>
      </c>
      <c r="F189" s="328">
        <v>137.66999999999999</v>
      </c>
      <c r="G189" s="328">
        <v>139.66999999999999</v>
      </c>
      <c r="H189" s="335">
        <v>0</v>
      </c>
      <c r="I189" s="335">
        <v>0</v>
      </c>
      <c r="J189" s="324">
        <v>492336350.33999997</v>
      </c>
      <c r="K189" s="193">
        <f t="shared" si="80"/>
        <v>5.8189638771251016E-2</v>
      </c>
      <c r="L189" s="328">
        <v>138.85</v>
      </c>
      <c r="M189" s="328">
        <v>140.85</v>
      </c>
      <c r="N189" s="335">
        <v>-3.3000000000000002E-2</v>
      </c>
      <c r="O189" s="335">
        <v>-0.1358</v>
      </c>
      <c r="P189" s="329">
        <f t="shared" si="81"/>
        <v>8.5345749068920836E-3</v>
      </c>
      <c r="Q189" s="329">
        <f t="shared" si="82"/>
        <v>8.4484857163314026E-3</v>
      </c>
      <c r="R189" s="329">
        <f t="shared" si="83"/>
        <v>-3.3000000000000002E-2</v>
      </c>
      <c r="S189" s="364">
        <f t="shared" si="78"/>
        <v>-0.1358</v>
      </c>
      <c r="T189" s="188"/>
    </row>
    <row r="190" spans="1:20" s="112" customFormat="1" ht="12" customHeight="1">
      <c r="A190" s="403">
        <v>11</v>
      </c>
      <c r="B190" s="368" t="s">
        <v>30</v>
      </c>
      <c r="C190" s="369" t="s">
        <v>29</v>
      </c>
      <c r="D190" s="324">
        <v>3138143313.6799998</v>
      </c>
      <c r="E190" s="193">
        <f t="shared" si="79"/>
        <v>0.36913251345803422</v>
      </c>
      <c r="F190" s="328">
        <v>21.61</v>
      </c>
      <c r="G190" s="328">
        <v>21.81</v>
      </c>
      <c r="H190" s="335">
        <v>0</v>
      </c>
      <c r="I190" s="335">
        <v>0</v>
      </c>
      <c r="J190" s="324">
        <v>3149429292.5500002</v>
      </c>
      <c r="K190" s="193">
        <f t="shared" si="80"/>
        <v>0.37223364218896637</v>
      </c>
      <c r="L190" s="328">
        <v>21.65</v>
      </c>
      <c r="M190" s="328">
        <v>21.85</v>
      </c>
      <c r="N190" s="335">
        <v>9.9699999999999997E-2</v>
      </c>
      <c r="O190" s="335">
        <v>0.13589999999999999</v>
      </c>
      <c r="P190" s="329">
        <f t="shared" si="81"/>
        <v>3.5963873354036397E-3</v>
      </c>
      <c r="Q190" s="329">
        <f t="shared" si="82"/>
        <v>1.8340210912426733E-3</v>
      </c>
      <c r="R190" s="329">
        <f t="shared" si="83"/>
        <v>9.9699999999999997E-2</v>
      </c>
      <c r="S190" s="364">
        <f t="shared" si="78"/>
        <v>0.13589999999999999</v>
      </c>
      <c r="T190" s="188"/>
    </row>
    <row r="191" spans="1:20" s="112" customFormat="1" ht="12" customHeight="1">
      <c r="A191" s="403">
        <v>12</v>
      </c>
      <c r="B191" s="368" t="s">
        <v>51</v>
      </c>
      <c r="C191" s="369" t="s">
        <v>29</v>
      </c>
      <c r="D191" s="75">
        <v>253866320.47999999</v>
      </c>
      <c r="E191" s="193">
        <f t="shared" si="79"/>
        <v>2.9861705981564669E-2</v>
      </c>
      <c r="F191" s="328">
        <v>24.04</v>
      </c>
      <c r="G191" s="328">
        <v>24.24</v>
      </c>
      <c r="H191" s="335">
        <v>0</v>
      </c>
      <c r="I191" s="335">
        <v>0</v>
      </c>
      <c r="J191" s="75">
        <v>260046065.88</v>
      </c>
      <c r="K191" s="193">
        <v>0.24610000000000001</v>
      </c>
      <c r="L191" s="328">
        <v>24.66</v>
      </c>
      <c r="M191" s="328">
        <v>24.86</v>
      </c>
      <c r="N191" s="335">
        <v>2.5700000000000001E-2</v>
      </c>
      <c r="O191" s="335">
        <v>3.2099999999999997E-2</v>
      </c>
      <c r="P191" s="329">
        <f t="shared" si="81"/>
        <v>2.4342517701109772E-2</v>
      </c>
      <c r="Q191" s="329">
        <f t="shared" si="82"/>
        <v>2.557755775577562E-2</v>
      </c>
      <c r="R191" s="329">
        <f t="shared" si="83"/>
        <v>2.5700000000000001E-2</v>
      </c>
      <c r="S191" s="364">
        <f t="shared" si="78"/>
        <v>3.2099999999999997E-2</v>
      </c>
      <c r="T191" s="190"/>
    </row>
    <row r="192" spans="1:20" s="112" customFormat="1" ht="12" customHeight="1">
      <c r="A192" s="378"/>
      <c r="B192" s="379"/>
      <c r="C192" s="379" t="s">
        <v>33</v>
      </c>
      <c r="D192" s="371">
        <f>SUM(D180:D191)</f>
        <v>8501400443.6560364</v>
      </c>
      <c r="E192" s="371"/>
      <c r="F192" s="374"/>
      <c r="G192" s="372"/>
      <c r="H192" s="373"/>
      <c r="I192" s="373"/>
      <c r="J192" s="371">
        <f>SUM(J180:J191)</f>
        <v>8460893738.7534027</v>
      </c>
      <c r="K192" s="374"/>
      <c r="L192" s="374"/>
      <c r="M192" s="372"/>
      <c r="N192" s="373"/>
      <c r="O192" s="373"/>
      <c r="P192" s="375">
        <f t="shared" ref="P192" si="84">((J192-D192)/D192)</f>
        <v>-4.7647096700239328E-3</v>
      </c>
      <c r="Q192" s="376"/>
      <c r="R192" s="375">
        <f t="shared" ref="R192" si="85">N192-H192</f>
        <v>0</v>
      </c>
      <c r="S192" s="377">
        <f t="shared" si="78"/>
        <v>0</v>
      </c>
      <c r="T192" s="137" t="s">
        <v>260</v>
      </c>
    </row>
    <row r="193" spans="1:20" s="112" customFormat="1" ht="12" customHeight="1" thickBot="1">
      <c r="A193" s="246"/>
      <c r="B193" s="247"/>
      <c r="C193" s="247" t="s">
        <v>43</v>
      </c>
      <c r="D193" s="248">
        <f>SUM(D168,D175,D192)</f>
        <v>1885965497080.9697</v>
      </c>
      <c r="E193" s="248"/>
      <c r="F193" s="248"/>
      <c r="G193" s="249"/>
      <c r="H193" s="250"/>
      <c r="I193" s="250"/>
      <c r="J193" s="248">
        <f>SUM(J168,J175,J192)</f>
        <v>1977611461136.2695</v>
      </c>
      <c r="K193" s="228"/>
      <c r="L193" s="228"/>
      <c r="M193" s="229"/>
      <c r="N193" s="230"/>
      <c r="O193" s="230"/>
      <c r="P193" s="211"/>
      <c r="Q193" s="215"/>
      <c r="R193" s="215"/>
      <c r="S193" s="212"/>
      <c r="T193" s="138">
        <f>((J192-D192)/D192)</f>
        <v>-4.7647096700239328E-3</v>
      </c>
    </row>
    <row r="194" spans="1:20" ht="12" customHeight="1">
      <c r="A194" s="231"/>
      <c r="B194" s="92"/>
      <c r="C194" s="232"/>
      <c r="D194" s="66"/>
      <c r="E194" s="66"/>
      <c r="F194" s="66"/>
      <c r="G194" s="233"/>
      <c r="H194" s="234"/>
      <c r="I194" s="234"/>
      <c r="J194" s="7"/>
      <c r="K194" s="66"/>
      <c r="L194" s="66"/>
      <c r="M194" s="235"/>
      <c r="N194" s="236"/>
      <c r="O194" s="236"/>
    </row>
    <row r="195" spans="1:20" ht="12" customHeight="1">
      <c r="A195" s="236"/>
      <c r="B195" s="235"/>
      <c r="C195" s="238"/>
      <c r="D195" s="235"/>
      <c r="E195" s="235"/>
      <c r="F195" s="235"/>
      <c r="G195" s="235"/>
      <c r="H195" s="237"/>
      <c r="I195" s="237"/>
      <c r="J195" s="239"/>
      <c r="K195" s="235"/>
      <c r="L195" s="235"/>
      <c r="M195" s="235"/>
      <c r="N195" s="236"/>
      <c r="O195" s="236"/>
    </row>
    <row r="196" spans="1:20" ht="12" customHeight="1">
      <c r="A196" s="236"/>
      <c r="B196" s="238"/>
      <c r="C196" s="235"/>
      <c r="D196" s="235"/>
      <c r="E196" s="235"/>
      <c r="F196" s="235"/>
      <c r="G196" s="235"/>
      <c r="H196" s="237"/>
      <c r="I196" s="237"/>
      <c r="J196" s="239"/>
      <c r="K196" s="235"/>
      <c r="L196" s="235"/>
      <c r="M196" s="235"/>
      <c r="N196" s="236"/>
      <c r="O196" s="236"/>
    </row>
    <row r="197" spans="1:20" ht="12" customHeight="1">
      <c r="A197" s="236"/>
      <c r="B197" s="241"/>
      <c r="C197" s="240"/>
      <c r="D197" s="235"/>
      <c r="E197" s="235"/>
      <c r="F197" s="235"/>
      <c r="G197" s="235"/>
      <c r="H197" s="237"/>
      <c r="I197" s="237"/>
      <c r="J197" s="239"/>
      <c r="K197" s="235"/>
      <c r="L197" s="235"/>
      <c r="M197" s="235"/>
      <c r="N197" s="236"/>
      <c r="O197" s="236"/>
    </row>
    <row r="198" spans="1:20" ht="12" customHeight="1">
      <c r="A198" s="236"/>
      <c r="B198" s="240"/>
      <c r="C198" s="240"/>
      <c r="D198" s="235"/>
      <c r="E198" s="235"/>
      <c r="F198" s="235"/>
      <c r="G198" s="235"/>
      <c r="H198" s="237"/>
      <c r="I198" s="237"/>
      <c r="J198" s="239"/>
      <c r="K198" s="235"/>
      <c r="L198" s="235"/>
      <c r="M198" s="235"/>
      <c r="N198" s="236"/>
      <c r="O198" s="236"/>
    </row>
    <row r="199" spans="1:20" ht="12" customHeight="1">
      <c r="A199" s="236"/>
      <c r="B199" s="240"/>
      <c r="C199" s="240"/>
      <c r="D199" s="235"/>
      <c r="E199" s="235"/>
      <c r="F199" s="235"/>
      <c r="G199" s="235"/>
      <c r="H199" s="237"/>
      <c r="I199" s="237"/>
      <c r="J199" s="239"/>
      <c r="K199" s="235"/>
      <c r="L199" s="235"/>
      <c r="M199" s="235"/>
      <c r="N199" s="236"/>
      <c r="O199" s="236"/>
    </row>
    <row r="200" spans="1:20" ht="12" customHeight="1">
      <c r="A200" s="236"/>
      <c r="B200" s="240"/>
      <c r="C200" s="240"/>
      <c r="D200" s="235"/>
      <c r="E200" s="235"/>
      <c r="F200" s="235"/>
      <c r="G200" s="235"/>
      <c r="H200" s="237"/>
      <c r="I200" s="237"/>
      <c r="J200" s="239"/>
      <c r="K200" s="235"/>
      <c r="L200" s="235"/>
      <c r="M200" s="235"/>
      <c r="N200" s="236"/>
      <c r="O200" s="236"/>
    </row>
    <row r="201" spans="1:20" ht="12" customHeight="1">
      <c r="A201" s="236"/>
      <c r="B201" s="241"/>
      <c r="C201" s="240"/>
      <c r="D201" s="235"/>
      <c r="E201" s="235"/>
      <c r="F201" s="235"/>
      <c r="G201" s="235"/>
      <c r="H201" s="237"/>
      <c r="I201" s="237"/>
      <c r="J201" s="239"/>
      <c r="K201" s="235"/>
      <c r="L201" s="235"/>
      <c r="M201" s="235"/>
      <c r="N201" s="236"/>
      <c r="O201" s="236"/>
    </row>
    <row r="202" spans="1:20" ht="12" customHeight="1">
      <c r="B202" s="240"/>
      <c r="C202" s="240"/>
      <c r="D202" s="235"/>
      <c r="E202" s="235"/>
      <c r="F202" s="235"/>
      <c r="G202" s="235"/>
      <c r="H202" s="237"/>
      <c r="I202" s="237"/>
      <c r="J202" s="239"/>
      <c r="K202" s="235"/>
      <c r="L202" s="235"/>
      <c r="M202" s="235"/>
      <c r="N202" s="236"/>
      <c r="O202" s="236"/>
    </row>
    <row r="203" spans="1:20" ht="12" customHeight="1">
      <c r="B203" s="4"/>
      <c r="C203" s="4"/>
    </row>
    <row r="204" spans="1:20" ht="12" customHeight="1">
      <c r="B204" s="4"/>
      <c r="C204" s="4"/>
    </row>
    <row r="205" spans="1:20" ht="12" customHeight="1">
      <c r="B205" s="6"/>
      <c r="C205" s="4"/>
    </row>
    <row r="206" spans="1:20" ht="12" customHeight="1">
      <c r="B206" s="4"/>
      <c r="C206" s="4"/>
    </row>
    <row r="207" spans="1:20" ht="12" customHeight="1">
      <c r="B207" s="4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5"/>
      <c r="C238" s="5"/>
    </row>
    <row r="239" spans="2:3" ht="12" customHeight="1">
      <c r="B239" s="5"/>
      <c r="C239" s="5"/>
    </row>
    <row r="240" spans="2:3" ht="12" customHeight="1">
      <c r="B240" s="5"/>
      <c r="C240" s="5"/>
    </row>
  </sheetData>
  <protectedRanges>
    <protectedRange password="CADF" sqref="E47" name="Yield_1_1_2_1_1_1"/>
    <protectedRange password="CADF" sqref="E52" name="Yield_1_1_1_1"/>
    <protectedRange password="CADF" sqref="J20 D20" name="Fund Name_1_1_1_3_1_1"/>
    <protectedRange password="CADF" sqref="N20:O20 H20:I20" name="Yield_1_1_2_1_3"/>
    <protectedRange password="CADF" sqref="L20:M20 F20:G20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M76 G76" name="BidOffer Prices_2_1_1_1_1_1_1_1_1_1"/>
    <protectedRange password="CADF" sqref="J135 J144:J145 D135 D144:D145" name="Fund Name_1_1_1_2"/>
    <protectedRange password="CADF" sqref="N135:O135 N144:O145 H135:I135 H144:I145" name="Yield_1_1_2_2"/>
    <protectedRange password="CADF" sqref="L135:M135 L144:M145 F135:G135 F144:G145" name="Fund Name_1_1_1_1_2"/>
    <protectedRange password="CADF" sqref="N47:O47 H47:I47" name="Yield_1_1_2_1_1_1_1_1"/>
    <protectedRange password="CADF" sqref="J94:J95 D94:D95" name="Yield_2_1_2_6_3"/>
    <protectedRange password="CADF" sqref="J16 D16" name="Yield_2_1_2_5"/>
  </protectedRanges>
  <mergeCells count="43">
    <mergeCell ref="A148:S148"/>
    <mergeCell ref="A147:S147"/>
    <mergeCell ref="A177:S177"/>
    <mergeCell ref="A159:S159"/>
    <mergeCell ref="A158:S158"/>
    <mergeCell ref="A170:S170"/>
    <mergeCell ref="A176:S176"/>
    <mergeCell ref="A1:S1"/>
    <mergeCell ref="A56:S56"/>
    <mergeCell ref="A55:S55"/>
    <mergeCell ref="A89:S89"/>
    <mergeCell ref="A90:S90"/>
    <mergeCell ref="A88:S88"/>
    <mergeCell ref="D2:I2"/>
    <mergeCell ref="J2:O2"/>
    <mergeCell ref="U70:V70"/>
    <mergeCell ref="V29:W29"/>
    <mergeCell ref="P2:Q2"/>
    <mergeCell ref="R2:S2"/>
    <mergeCell ref="V30:W30"/>
    <mergeCell ref="V31:W31"/>
    <mergeCell ref="V34:W34"/>
    <mergeCell ref="U39:U40"/>
    <mergeCell ref="A4:S4"/>
    <mergeCell ref="A5:S5"/>
    <mergeCell ref="A24:S24"/>
    <mergeCell ref="A23:S23"/>
    <mergeCell ref="W119:W121"/>
    <mergeCell ref="V71:V83"/>
    <mergeCell ref="T122:T123"/>
    <mergeCell ref="P178:R178"/>
    <mergeCell ref="P171:R171"/>
    <mergeCell ref="A169:R169"/>
    <mergeCell ref="A114:S114"/>
    <mergeCell ref="A154:S154"/>
    <mergeCell ref="A155:S155"/>
    <mergeCell ref="A153:S153"/>
    <mergeCell ref="U103:U104"/>
    <mergeCell ref="A102:S102"/>
    <mergeCell ref="A101:S101"/>
    <mergeCell ref="A113:S113"/>
    <mergeCell ref="A121:S121"/>
    <mergeCell ref="A120:S120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100" max="16383" man="1"/>
    <brk id="140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Normal="10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2"/>
      <c r="F3" s="102"/>
      <c r="G3" s="102"/>
    </row>
    <row r="4" spans="1:7">
      <c r="E4" s="102"/>
      <c r="F4" s="102"/>
      <c r="G4" s="102"/>
    </row>
    <row r="5" spans="1:7">
      <c r="E5" s="102"/>
      <c r="F5" s="102"/>
      <c r="G5" s="102"/>
    </row>
    <row r="6" spans="1:7">
      <c r="E6" s="99" t="s">
        <v>64</v>
      </c>
      <c r="F6" s="100" t="s">
        <v>152</v>
      </c>
      <c r="G6" s="102"/>
    </row>
    <row r="7" spans="1:7">
      <c r="E7" s="194" t="s">
        <v>0</v>
      </c>
      <c r="F7" s="101">
        <f>'NAV Trend'!J2</f>
        <v>20030863173.209999</v>
      </c>
      <c r="G7" s="102"/>
    </row>
    <row r="8" spans="1:7">
      <c r="E8" s="194" t="s">
        <v>44</v>
      </c>
      <c r="F8" s="101">
        <f>'NAV Trend'!J3</f>
        <v>816758455712.61926</v>
      </c>
      <c r="G8" s="102"/>
    </row>
    <row r="9" spans="1:7">
      <c r="A9" s="102"/>
      <c r="B9" s="102"/>
      <c r="E9" s="194" t="s">
        <v>193</v>
      </c>
      <c r="F9" s="101">
        <f>'NAV Trend'!J4</f>
        <v>317665884188.13855</v>
      </c>
      <c r="G9" s="102"/>
    </row>
    <row r="10" spans="1:7">
      <c r="A10" s="456"/>
      <c r="B10" s="456"/>
      <c r="E10" s="194" t="s">
        <v>195</v>
      </c>
      <c r="F10" s="101">
        <f>'NAV Trend'!J5</f>
        <v>470498434802.98218</v>
      </c>
      <c r="G10" s="102"/>
    </row>
    <row r="11" spans="1:7">
      <c r="A11" s="95"/>
      <c r="B11" s="95"/>
      <c r="E11" s="194" t="s">
        <v>211</v>
      </c>
      <c r="F11" s="101">
        <f>'NAV Trend'!J6</f>
        <v>93449896565.160004</v>
      </c>
      <c r="G11" s="102"/>
    </row>
    <row r="12" spans="1:7">
      <c r="A12" s="96"/>
      <c r="B12" s="97"/>
      <c r="E12" s="194" t="s">
        <v>60</v>
      </c>
      <c r="F12" s="101">
        <f>'NAV Trend'!J7</f>
        <v>35744115521.98378</v>
      </c>
      <c r="G12" s="102"/>
    </row>
    <row r="13" spans="1:7">
      <c r="A13" s="96"/>
      <c r="B13" s="97"/>
      <c r="E13" s="194" t="s">
        <v>66</v>
      </c>
      <c r="F13" s="101">
        <f>'NAV Trend'!J8</f>
        <v>3394394975.1899996</v>
      </c>
      <c r="G13" s="102"/>
    </row>
    <row r="14" spans="1:7">
      <c r="A14" s="96"/>
      <c r="B14" s="97"/>
      <c r="E14" s="194" t="s">
        <v>208</v>
      </c>
      <c r="F14" s="195">
        <f>'NAV Trend'!J9</f>
        <v>25810810447.57</v>
      </c>
      <c r="G14" s="102"/>
    </row>
    <row r="15" spans="1:7">
      <c r="A15" s="96"/>
      <c r="B15" s="97"/>
      <c r="E15" s="102"/>
      <c r="F15" s="102"/>
      <c r="G15" s="102"/>
    </row>
    <row r="16" spans="1:7">
      <c r="A16" s="96"/>
      <c r="B16" s="97"/>
      <c r="E16" s="102"/>
      <c r="F16" s="102"/>
      <c r="G16" s="102"/>
    </row>
    <row r="17" spans="1:13">
      <c r="A17" s="96"/>
      <c r="B17" s="97"/>
      <c r="E17" s="102"/>
      <c r="F17" s="102"/>
      <c r="G17" s="102"/>
    </row>
    <row r="18" spans="1:13">
      <c r="A18" s="96"/>
      <c r="B18" s="97"/>
      <c r="E18" s="102"/>
      <c r="F18" s="102"/>
      <c r="G18" s="102"/>
    </row>
    <row r="19" spans="1:13">
      <c r="A19" s="96"/>
      <c r="B19" s="97"/>
      <c r="E19" s="102"/>
      <c r="F19" s="102"/>
      <c r="G19" s="102"/>
    </row>
    <row r="24" spans="1:13" s="93" customFormat="1" ht="21.75" customHeight="1"/>
    <row r="25" spans="1:13" ht="30.75" customHeight="1">
      <c r="B25" s="381" t="s">
        <v>154</v>
      </c>
      <c r="M25" s="94"/>
    </row>
    <row r="26" spans="1:13" ht="43.5" customHeight="1">
      <c r="B26" s="457" t="s">
        <v>287</v>
      </c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98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H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46" t="s">
        <v>64</v>
      </c>
      <c r="C1" s="340">
        <v>45044</v>
      </c>
      <c r="D1" s="340">
        <v>45051</v>
      </c>
      <c r="E1" s="340">
        <v>45058</v>
      </c>
      <c r="F1" s="340">
        <v>45065</v>
      </c>
      <c r="G1" s="340">
        <v>45072</v>
      </c>
      <c r="H1" s="340">
        <v>45079</v>
      </c>
      <c r="I1" s="340">
        <v>45086</v>
      </c>
      <c r="J1" s="340">
        <v>45093</v>
      </c>
      <c r="K1" s="340">
        <v>45100</v>
      </c>
      <c r="L1" s="304"/>
    </row>
    <row r="2" spans="2:24" s="108" customFormat="1" ht="16.5">
      <c r="B2" s="347" t="s">
        <v>0</v>
      </c>
      <c r="C2" s="341">
        <v>16794813036.269999</v>
      </c>
      <c r="D2" s="341">
        <v>16995023834.229998</v>
      </c>
      <c r="E2" s="341">
        <v>16966112297.950001</v>
      </c>
      <c r="F2" s="341">
        <v>17079628906.379999</v>
      </c>
      <c r="G2" s="341">
        <v>17454929325.299999</v>
      </c>
      <c r="H2" s="341">
        <v>18617819180.259998</v>
      </c>
      <c r="I2" s="341">
        <v>18707350348.629997</v>
      </c>
      <c r="J2" s="341">
        <v>20030863173.209999</v>
      </c>
      <c r="K2" s="341">
        <v>20288689104.509998</v>
      </c>
    </row>
    <row r="3" spans="2:24" s="108" customFormat="1" ht="16.5">
      <c r="B3" s="347" t="s">
        <v>44</v>
      </c>
      <c r="C3" s="342">
        <v>792540018978.42993</v>
      </c>
      <c r="D3" s="342">
        <v>806100368208.14038</v>
      </c>
      <c r="E3" s="342">
        <v>813613346034.13635</v>
      </c>
      <c r="F3" s="342">
        <v>806087341383.99084</v>
      </c>
      <c r="G3" s="342">
        <v>798748175531.57666</v>
      </c>
      <c r="H3" s="342">
        <v>807261945859.45349</v>
      </c>
      <c r="I3" s="342">
        <v>810860786783.24963</v>
      </c>
      <c r="J3" s="342">
        <v>816758455712.61926</v>
      </c>
      <c r="K3" s="342">
        <v>817523630430.57593</v>
      </c>
    </row>
    <row r="4" spans="2:24" s="108" customFormat="1" ht="16.5">
      <c r="B4" s="347" t="s">
        <v>193</v>
      </c>
      <c r="C4" s="341">
        <v>324966477016.1626</v>
      </c>
      <c r="D4" s="341">
        <v>326343931654.87665</v>
      </c>
      <c r="E4" s="341">
        <v>326621734089.72247</v>
      </c>
      <c r="F4" s="341">
        <v>326437563760.66541</v>
      </c>
      <c r="G4" s="341">
        <v>323714339049.49524</v>
      </c>
      <c r="H4" s="341">
        <v>323395950269.5387</v>
      </c>
      <c r="I4" s="341">
        <v>319908980259.00153</v>
      </c>
      <c r="J4" s="341">
        <v>317665884188.13855</v>
      </c>
      <c r="K4" s="341">
        <v>327549421729.35663</v>
      </c>
    </row>
    <row r="5" spans="2:24" s="108" customFormat="1" ht="16.5">
      <c r="B5" s="347" t="s">
        <v>195</v>
      </c>
      <c r="C5" s="342">
        <v>332681726568.12634</v>
      </c>
      <c r="D5" s="342">
        <v>334539052167.92297</v>
      </c>
      <c r="E5" s="342">
        <v>331372584980.02832</v>
      </c>
      <c r="F5" s="342">
        <v>329647629846.67249</v>
      </c>
      <c r="G5" s="342">
        <v>331908642809.0658</v>
      </c>
      <c r="H5" s="342">
        <v>331906740337.94391</v>
      </c>
      <c r="I5" s="342">
        <v>338597314330.35101</v>
      </c>
      <c r="J5" s="342">
        <v>470498434802.98218</v>
      </c>
      <c r="K5" s="342">
        <v>550519578291.03943</v>
      </c>
    </row>
    <row r="6" spans="2:24" s="108" customFormat="1" ht="16.5">
      <c r="B6" s="347" t="s">
        <v>212</v>
      </c>
      <c r="C6" s="341">
        <v>47216549017.909996</v>
      </c>
      <c r="D6" s="341">
        <v>94163780372.309998</v>
      </c>
      <c r="E6" s="341">
        <v>94193238006.570007</v>
      </c>
      <c r="F6" s="341">
        <v>94202498345.429993</v>
      </c>
      <c r="G6" s="341">
        <v>94230214273.230011</v>
      </c>
      <c r="H6" s="341">
        <v>93351135037.830002</v>
      </c>
      <c r="I6" s="341">
        <v>93428704507.080002</v>
      </c>
      <c r="J6" s="341">
        <v>93449896565.160004</v>
      </c>
      <c r="K6" s="341">
        <v>93463222418.470001</v>
      </c>
    </row>
    <row r="7" spans="2:24" s="108" customFormat="1" ht="16.5">
      <c r="B7" s="347" t="s">
        <v>221</v>
      </c>
      <c r="C7" s="343">
        <v>31321324637.973106</v>
      </c>
      <c r="D7" s="343">
        <v>31685014995.591473</v>
      </c>
      <c r="E7" s="343">
        <v>31764157613.919247</v>
      </c>
      <c r="F7" s="343">
        <v>32017254793.66489</v>
      </c>
      <c r="G7" s="343">
        <v>32587344550.170525</v>
      </c>
      <c r="H7" s="343">
        <v>33634490477.322308</v>
      </c>
      <c r="I7" s="343">
        <v>33719080186.031113</v>
      </c>
      <c r="J7" s="343">
        <v>35744115521.98378</v>
      </c>
      <c r="K7" s="343">
        <v>36228102075.464104</v>
      </c>
    </row>
    <row r="8" spans="2:24" s="285" customFormat="1" ht="16.5">
      <c r="B8" s="347" t="s">
        <v>66</v>
      </c>
      <c r="C8" s="341">
        <v>3019546321.4400001</v>
      </c>
      <c r="D8" s="341">
        <v>3058498106.9700003</v>
      </c>
      <c r="E8" s="341">
        <v>3052374164.9300003</v>
      </c>
      <c r="F8" s="341">
        <v>3085351470.0200005</v>
      </c>
      <c r="G8" s="341">
        <v>3105704717.4300003</v>
      </c>
      <c r="H8" s="341">
        <v>3224901792.5799999</v>
      </c>
      <c r="I8" s="341">
        <v>3226244064.04</v>
      </c>
      <c r="J8" s="341">
        <v>3394394975.1899996</v>
      </c>
      <c r="K8" s="341">
        <v>3378418489.8299999</v>
      </c>
    </row>
    <row r="9" spans="2:24" ht="16.5">
      <c r="B9" s="347" t="s">
        <v>208</v>
      </c>
      <c r="C9" s="341">
        <v>25078820531.75</v>
      </c>
      <c r="D9" s="341">
        <v>25223397111.16</v>
      </c>
      <c r="E9" s="341">
        <v>25289708132.780003</v>
      </c>
      <c r="F9" s="341">
        <v>25509760696.910004</v>
      </c>
      <c r="G9" s="341">
        <v>25740009095.389999</v>
      </c>
      <c r="H9" s="341">
        <v>25701609592.029999</v>
      </c>
      <c r="I9" s="341">
        <v>25776389309.68</v>
      </c>
      <c r="J9" s="341">
        <v>25810810447.57</v>
      </c>
      <c r="K9" s="341">
        <v>26082310834.120003</v>
      </c>
    </row>
    <row r="10" spans="2:24" s="1" customFormat="1" ht="15.75">
      <c r="B10" s="348" t="s">
        <v>249</v>
      </c>
      <c r="C10" s="349">
        <f t="shared" ref="C10:J10" si="0">SUM(C2:C9)</f>
        <v>1573619276108.0618</v>
      </c>
      <c r="D10" s="349">
        <f t="shared" si="0"/>
        <v>1638109066451.2014</v>
      </c>
      <c r="E10" s="349">
        <f t="shared" si="0"/>
        <v>1642873255320.0364</v>
      </c>
      <c r="F10" s="349">
        <f t="shared" si="0"/>
        <v>1634067029203.7332</v>
      </c>
      <c r="G10" s="349">
        <f t="shared" si="0"/>
        <v>1627489359351.6582</v>
      </c>
      <c r="H10" s="349">
        <f t="shared" si="0"/>
        <v>1637094592546.9585</v>
      </c>
      <c r="I10" s="349">
        <f t="shared" si="0"/>
        <v>1644224849788.0632</v>
      </c>
      <c r="J10" s="349">
        <f t="shared" si="0"/>
        <v>1783352855386.8538</v>
      </c>
      <c r="K10" s="349">
        <f t="shared" ref="K10" si="1">SUM(K2:K9)</f>
        <v>1875033373373.3662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2:24" ht="6.75" customHeight="1">
      <c r="B11" s="344"/>
      <c r="C11" s="345"/>
      <c r="D11" s="345"/>
      <c r="E11" s="345"/>
      <c r="F11" s="345"/>
      <c r="G11" s="345"/>
      <c r="H11" s="345"/>
      <c r="I11" s="345"/>
      <c r="J11" s="344"/>
      <c r="K11" s="344"/>
    </row>
    <row r="12" spans="2:24" ht="15.75">
      <c r="B12" s="350" t="s">
        <v>114</v>
      </c>
      <c r="C12" s="351" t="s">
        <v>113</v>
      </c>
      <c r="D12" s="352">
        <f>(C10+D10)/2</f>
        <v>1605864171279.6316</v>
      </c>
      <c r="E12" s="353">
        <f t="shared" ref="E12:K12" si="2">(D10+E10)/2</f>
        <v>1640491160885.6189</v>
      </c>
      <c r="F12" s="353">
        <f t="shared" si="2"/>
        <v>1638470142261.8848</v>
      </c>
      <c r="G12" s="353">
        <f t="shared" si="2"/>
        <v>1630778194277.6958</v>
      </c>
      <c r="H12" s="353">
        <f>(G10+H10)/2</f>
        <v>1632291975949.3083</v>
      </c>
      <c r="I12" s="353">
        <f t="shared" si="2"/>
        <v>1640659721167.5107</v>
      </c>
      <c r="J12" s="353">
        <f t="shared" si="2"/>
        <v>1713788852587.4585</v>
      </c>
      <c r="K12" s="353">
        <f t="shared" si="2"/>
        <v>1829193114380.1099</v>
      </c>
    </row>
    <row r="13" spans="2:24">
      <c r="B13" s="8"/>
      <c r="C13" s="10"/>
      <c r="D13" s="10"/>
      <c r="E13" s="10"/>
      <c r="F13" s="10"/>
      <c r="G13" s="10"/>
      <c r="H13" s="10"/>
      <c r="I13" s="10"/>
    </row>
    <row r="14" spans="2:24">
      <c r="B14" s="8"/>
      <c r="C14" s="10"/>
      <c r="D14" s="10"/>
      <c r="E14" s="10"/>
      <c r="F14" s="10"/>
      <c r="G14" s="10"/>
      <c r="H14" s="287"/>
      <c r="I14" s="90"/>
      <c r="J14" s="89"/>
      <c r="L14" s="392"/>
    </row>
    <row r="15" spans="2:24" ht="16.5">
      <c r="B15" s="346" t="s">
        <v>64</v>
      </c>
      <c r="C15" s="340">
        <v>45093</v>
      </c>
      <c r="D15" s="340">
        <v>45100</v>
      </c>
      <c r="E15" s="10"/>
      <c r="F15" s="10"/>
      <c r="G15" s="10"/>
      <c r="H15" s="357"/>
      <c r="I15" s="357"/>
    </row>
    <row r="16" spans="2:24" ht="16.5">
      <c r="B16" s="347" t="s">
        <v>0</v>
      </c>
      <c r="C16" s="341">
        <v>20030863173.209999</v>
      </c>
      <c r="D16" s="341">
        <v>20288689104.509998</v>
      </c>
      <c r="E16" s="10"/>
      <c r="F16" s="10"/>
      <c r="G16" s="10"/>
      <c r="H16" s="359"/>
      <c r="I16" s="359"/>
      <c r="J16" s="90"/>
    </row>
    <row r="17" spans="2:10" ht="16.5">
      <c r="B17" s="347" t="s">
        <v>44</v>
      </c>
      <c r="C17" s="342">
        <v>816758455712.61926</v>
      </c>
      <c r="D17" s="342">
        <v>817523630430.57593</v>
      </c>
      <c r="E17" s="10"/>
      <c r="F17" s="10"/>
      <c r="G17" s="10"/>
      <c r="H17" s="360"/>
      <c r="I17" s="360"/>
    </row>
    <row r="18" spans="2:10" ht="16.5">
      <c r="B18" s="347" t="s">
        <v>193</v>
      </c>
      <c r="C18" s="341">
        <v>317665884188.13855</v>
      </c>
      <c r="D18" s="341">
        <v>327549421729.35663</v>
      </c>
      <c r="E18" s="9"/>
      <c r="F18" s="9"/>
      <c r="G18" s="9"/>
      <c r="H18" s="359"/>
      <c r="I18" s="359"/>
    </row>
    <row r="19" spans="2:10" ht="16.5">
      <c r="B19" s="347" t="s">
        <v>195</v>
      </c>
      <c r="C19" s="342">
        <v>470498434802.98218</v>
      </c>
      <c r="D19" s="342">
        <v>550519578291.03943</v>
      </c>
      <c r="E19" s="8"/>
      <c r="F19" s="8"/>
      <c r="G19" s="8"/>
      <c r="H19" s="360"/>
      <c r="I19" s="360"/>
    </row>
    <row r="20" spans="2:10" ht="16.5">
      <c r="B20" s="347" t="s">
        <v>212</v>
      </c>
      <c r="C20" s="341">
        <v>93449896565.160004</v>
      </c>
      <c r="D20" s="341">
        <v>93463222418.470001</v>
      </c>
      <c r="E20" s="8"/>
      <c r="F20" s="8"/>
      <c r="G20" s="8"/>
      <c r="H20" s="359"/>
      <c r="I20" s="359"/>
      <c r="J20" s="91"/>
    </row>
    <row r="21" spans="2:10" ht="16.5">
      <c r="B21" s="347" t="s">
        <v>221</v>
      </c>
      <c r="C21" s="343">
        <v>35744115521.98378</v>
      </c>
      <c r="D21" s="343">
        <v>36228102075.464104</v>
      </c>
      <c r="E21" s="8"/>
      <c r="F21" s="8"/>
      <c r="G21" s="8"/>
      <c r="H21" s="361"/>
      <c r="I21" s="361"/>
    </row>
    <row r="22" spans="2:10" ht="16.5">
      <c r="B22" s="347" t="s">
        <v>66</v>
      </c>
      <c r="C22" s="341">
        <v>3394394975.1899996</v>
      </c>
      <c r="D22" s="341">
        <v>3378418489.8299999</v>
      </c>
      <c r="E22" s="8"/>
      <c r="F22" s="8"/>
      <c r="G22" s="8"/>
      <c r="H22" s="359"/>
      <c r="I22" s="359"/>
    </row>
    <row r="23" spans="2:10" ht="16.5">
      <c r="B23" s="347" t="s">
        <v>208</v>
      </c>
      <c r="C23" s="341">
        <v>25810810447.57</v>
      </c>
      <c r="D23" s="341">
        <v>26082310834.120003</v>
      </c>
      <c r="E23" s="8"/>
      <c r="F23" s="8"/>
      <c r="G23" s="8"/>
      <c r="H23" s="359"/>
      <c r="I23" s="359"/>
    </row>
    <row r="24" spans="2:10" ht="16.5">
      <c r="B24" s="358"/>
      <c r="C24" s="359"/>
      <c r="D24" s="8"/>
      <c r="E24" s="8"/>
      <c r="F24" s="8"/>
      <c r="G24" s="8"/>
      <c r="H24" s="359"/>
    </row>
    <row r="25" spans="2:10" ht="16.5">
      <c r="B25" s="358"/>
      <c r="C25" s="359"/>
      <c r="D25" s="8"/>
      <c r="E25" s="8"/>
      <c r="F25" s="8"/>
      <c r="G25" s="8"/>
      <c r="H25" s="359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8"/>
  <sheetViews>
    <sheetView zoomScale="120" zoomScaleNormal="120" workbookViewId="0">
      <pane xSplit="1" ySplit="8" topLeftCell="AF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44" customWidth="1"/>
    <col min="2" max="2" width="20.42578125" style="370" customWidth="1"/>
    <col min="3" max="3" width="9.28515625" style="370" customWidth="1"/>
    <col min="4" max="4" width="21.140625" style="370" customWidth="1"/>
    <col min="5" max="7" width="9.28515625" style="370" customWidth="1"/>
    <col min="8" max="8" width="23" style="370" customWidth="1"/>
    <col min="9" max="11" width="9.28515625" style="370" customWidth="1"/>
    <col min="12" max="12" width="21.7109375" style="370" customWidth="1"/>
    <col min="13" max="13" width="9.28515625" style="370" customWidth="1"/>
    <col min="14" max="14" width="10" style="370" customWidth="1"/>
    <col min="15" max="15" width="9.28515625" style="370" customWidth="1"/>
    <col min="16" max="16" width="21" style="370" customWidth="1"/>
    <col min="17" max="19" width="9.28515625" style="370" customWidth="1"/>
    <col min="20" max="20" width="20.7109375" style="370" customWidth="1"/>
    <col min="21" max="21" width="10" style="370" customWidth="1"/>
    <col min="22" max="23" width="9.28515625" style="370" customWidth="1"/>
    <col min="24" max="24" width="20.7109375" style="370" customWidth="1"/>
    <col min="25" max="27" width="9.28515625" style="370" customWidth="1"/>
    <col min="28" max="28" width="21.28515625" style="370" customWidth="1"/>
    <col min="29" max="31" width="9.28515625" style="370" customWidth="1"/>
    <col min="32" max="32" width="19.28515625" style="370" customWidth="1"/>
    <col min="33" max="35" width="9.28515625" style="370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8.7109375" customWidth="1"/>
    <col min="41" max="41" width="8.140625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08" customFormat="1" ht="37.5" customHeight="1" thickBot="1">
      <c r="A1" s="462" t="s">
        <v>71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4"/>
    </row>
    <row r="2" spans="1:49" ht="30.75" customHeight="1">
      <c r="A2" s="199"/>
      <c r="B2" s="458" t="s">
        <v>268</v>
      </c>
      <c r="C2" s="458"/>
      <c r="D2" s="458" t="s">
        <v>269</v>
      </c>
      <c r="E2" s="458"/>
      <c r="F2" s="458" t="s">
        <v>62</v>
      </c>
      <c r="G2" s="458"/>
      <c r="H2" s="458" t="s">
        <v>270</v>
      </c>
      <c r="I2" s="458"/>
      <c r="J2" s="458" t="s">
        <v>62</v>
      </c>
      <c r="K2" s="458"/>
      <c r="L2" s="458" t="s">
        <v>271</v>
      </c>
      <c r="M2" s="458"/>
      <c r="N2" s="458" t="s">
        <v>62</v>
      </c>
      <c r="O2" s="458"/>
      <c r="P2" s="458" t="s">
        <v>272</v>
      </c>
      <c r="Q2" s="458"/>
      <c r="R2" s="458" t="s">
        <v>62</v>
      </c>
      <c r="S2" s="458"/>
      <c r="T2" s="458" t="s">
        <v>273</v>
      </c>
      <c r="U2" s="458"/>
      <c r="V2" s="458" t="s">
        <v>62</v>
      </c>
      <c r="W2" s="458"/>
      <c r="X2" s="458" t="s">
        <v>274</v>
      </c>
      <c r="Y2" s="458"/>
      <c r="Z2" s="458" t="s">
        <v>62</v>
      </c>
      <c r="AA2" s="458"/>
      <c r="AB2" s="458" t="s">
        <v>282</v>
      </c>
      <c r="AC2" s="458"/>
      <c r="AD2" s="458" t="s">
        <v>62</v>
      </c>
      <c r="AE2" s="458"/>
      <c r="AF2" s="458" t="s">
        <v>286</v>
      </c>
      <c r="AG2" s="458"/>
      <c r="AH2" s="458" t="s">
        <v>62</v>
      </c>
      <c r="AI2" s="458"/>
      <c r="AJ2" s="458" t="s">
        <v>78</v>
      </c>
      <c r="AK2" s="458"/>
      <c r="AL2" s="458" t="s">
        <v>79</v>
      </c>
      <c r="AM2" s="458"/>
      <c r="AN2" s="458" t="s">
        <v>70</v>
      </c>
      <c r="AO2" s="465"/>
      <c r="AP2" s="14"/>
      <c r="AQ2" s="459" t="s">
        <v>83</v>
      </c>
      <c r="AR2" s="460"/>
      <c r="AS2" s="14"/>
      <c r="AT2" s="14"/>
    </row>
    <row r="3" spans="1:49" ht="27.75" customHeight="1">
      <c r="A3" s="200" t="s">
        <v>2</v>
      </c>
      <c r="B3" s="191" t="s">
        <v>58</v>
      </c>
      <c r="C3" s="192" t="s">
        <v>3</v>
      </c>
      <c r="D3" s="191" t="s">
        <v>58</v>
      </c>
      <c r="E3" s="192" t="s">
        <v>3</v>
      </c>
      <c r="F3" s="196" t="s">
        <v>58</v>
      </c>
      <c r="G3" s="197" t="s">
        <v>3</v>
      </c>
      <c r="H3" s="191" t="s">
        <v>58</v>
      </c>
      <c r="I3" s="192" t="s">
        <v>3</v>
      </c>
      <c r="J3" s="196" t="s">
        <v>58</v>
      </c>
      <c r="K3" s="197" t="s">
        <v>3</v>
      </c>
      <c r="L3" s="191" t="s">
        <v>58</v>
      </c>
      <c r="M3" s="192" t="s">
        <v>3</v>
      </c>
      <c r="N3" s="196" t="s">
        <v>58</v>
      </c>
      <c r="O3" s="197" t="s">
        <v>3</v>
      </c>
      <c r="P3" s="191" t="s">
        <v>58</v>
      </c>
      <c r="Q3" s="192" t="s">
        <v>3</v>
      </c>
      <c r="R3" s="196" t="s">
        <v>58</v>
      </c>
      <c r="S3" s="197" t="s">
        <v>3</v>
      </c>
      <c r="T3" s="191" t="s">
        <v>58</v>
      </c>
      <c r="U3" s="192" t="s">
        <v>3</v>
      </c>
      <c r="V3" s="196" t="s">
        <v>58</v>
      </c>
      <c r="W3" s="197" t="s">
        <v>3</v>
      </c>
      <c r="X3" s="191" t="s">
        <v>58</v>
      </c>
      <c r="Y3" s="192" t="s">
        <v>3</v>
      </c>
      <c r="Z3" s="196" t="s">
        <v>58</v>
      </c>
      <c r="AA3" s="197" t="s">
        <v>3</v>
      </c>
      <c r="AB3" s="191" t="s">
        <v>58</v>
      </c>
      <c r="AC3" s="192" t="s">
        <v>3</v>
      </c>
      <c r="AD3" s="196" t="s">
        <v>58</v>
      </c>
      <c r="AE3" s="197" t="s">
        <v>3</v>
      </c>
      <c r="AF3" s="191" t="s">
        <v>58</v>
      </c>
      <c r="AG3" s="192" t="s">
        <v>3</v>
      </c>
      <c r="AH3" s="196" t="s">
        <v>58</v>
      </c>
      <c r="AI3" s="197" t="s">
        <v>3</v>
      </c>
      <c r="AJ3" s="196" t="s">
        <v>58</v>
      </c>
      <c r="AK3" s="197" t="s">
        <v>3</v>
      </c>
      <c r="AL3" s="196" t="s">
        <v>58</v>
      </c>
      <c r="AM3" s="197" t="s">
        <v>3</v>
      </c>
      <c r="AN3" s="196" t="s">
        <v>58</v>
      </c>
      <c r="AO3" s="393" t="s">
        <v>3</v>
      </c>
      <c r="AP3" s="14"/>
      <c r="AQ3" s="17" t="s">
        <v>58</v>
      </c>
      <c r="AR3" s="18" t="s">
        <v>3</v>
      </c>
      <c r="AS3" s="14"/>
      <c r="AT3" s="14"/>
    </row>
    <row r="4" spans="1:49">
      <c r="A4" s="201" t="s">
        <v>0</v>
      </c>
      <c r="B4" s="67" t="s">
        <v>4</v>
      </c>
      <c r="C4" s="67" t="s">
        <v>4</v>
      </c>
      <c r="D4" s="67" t="s">
        <v>4</v>
      </c>
      <c r="E4" s="67" t="s">
        <v>4</v>
      </c>
      <c r="F4" s="19" t="s">
        <v>77</v>
      </c>
      <c r="G4" s="19" t="s">
        <v>77</v>
      </c>
      <c r="H4" s="67" t="s">
        <v>4</v>
      </c>
      <c r="I4" s="67" t="s">
        <v>4</v>
      </c>
      <c r="J4" s="19" t="s">
        <v>77</v>
      </c>
      <c r="K4" s="19" t="s">
        <v>77</v>
      </c>
      <c r="L4" s="67" t="s">
        <v>4</v>
      </c>
      <c r="M4" s="67" t="s">
        <v>4</v>
      </c>
      <c r="N4" s="19" t="s">
        <v>77</v>
      </c>
      <c r="O4" s="19" t="s">
        <v>77</v>
      </c>
      <c r="P4" s="67" t="s">
        <v>4</v>
      </c>
      <c r="Q4" s="67" t="s">
        <v>4</v>
      </c>
      <c r="R4" s="19" t="s">
        <v>77</v>
      </c>
      <c r="S4" s="19" t="s">
        <v>77</v>
      </c>
      <c r="T4" s="67" t="s">
        <v>4</v>
      </c>
      <c r="U4" s="67" t="s">
        <v>4</v>
      </c>
      <c r="V4" s="19" t="s">
        <v>77</v>
      </c>
      <c r="W4" s="19" t="s">
        <v>77</v>
      </c>
      <c r="X4" s="67" t="s">
        <v>4</v>
      </c>
      <c r="Y4" s="67" t="s">
        <v>4</v>
      </c>
      <c r="Z4" s="19" t="s">
        <v>77</v>
      </c>
      <c r="AA4" s="19" t="s">
        <v>77</v>
      </c>
      <c r="AB4" s="67" t="s">
        <v>4</v>
      </c>
      <c r="AC4" s="67" t="s">
        <v>4</v>
      </c>
      <c r="AD4" s="19" t="s">
        <v>77</v>
      </c>
      <c r="AE4" s="19" t="s">
        <v>77</v>
      </c>
      <c r="AF4" s="67" t="s">
        <v>4</v>
      </c>
      <c r="AG4" s="67" t="s">
        <v>4</v>
      </c>
      <c r="AH4" s="19" t="s">
        <v>77</v>
      </c>
      <c r="AI4" s="19" t="s">
        <v>77</v>
      </c>
      <c r="AJ4" s="20" t="s">
        <v>77</v>
      </c>
      <c r="AK4" s="20" t="s">
        <v>77</v>
      </c>
      <c r="AL4" s="21" t="s">
        <v>77</v>
      </c>
      <c r="AM4" s="21" t="s">
        <v>77</v>
      </c>
      <c r="AN4" s="15" t="s">
        <v>77</v>
      </c>
      <c r="AO4" s="16" t="s">
        <v>77</v>
      </c>
      <c r="AP4" s="14"/>
      <c r="AQ4" s="22" t="s">
        <v>4</v>
      </c>
      <c r="AR4" s="22" t="s">
        <v>4</v>
      </c>
      <c r="AS4" s="14"/>
      <c r="AT4" s="14"/>
    </row>
    <row r="5" spans="1:49">
      <c r="A5" s="202" t="s">
        <v>13</v>
      </c>
      <c r="B5" s="326">
        <v>426683527.77999997</v>
      </c>
      <c r="C5" s="325">
        <v>202.7312</v>
      </c>
      <c r="D5" s="326">
        <v>431434117.44999999</v>
      </c>
      <c r="E5" s="325">
        <v>204.9342</v>
      </c>
      <c r="F5" s="23">
        <f>((D5-B5)/B5)</f>
        <v>1.1133754552740651E-2</v>
      </c>
      <c r="G5" s="23">
        <f>((E5-C5)/C5)</f>
        <v>1.0866605633469356E-2</v>
      </c>
      <c r="H5" s="326">
        <v>433286355.20999998</v>
      </c>
      <c r="I5" s="325">
        <v>205.8792</v>
      </c>
      <c r="J5" s="23">
        <f t="shared" ref="J5:J20" si="0">((H5-D5)/D5)</f>
        <v>4.2932111418254983E-3</v>
      </c>
      <c r="K5" s="23">
        <f t="shared" ref="K5:K20" si="1">((I5-E5)/E5)</f>
        <v>4.6112361919093698E-3</v>
      </c>
      <c r="L5" s="326">
        <v>436714292.20999998</v>
      </c>
      <c r="M5" s="325">
        <v>207.58750000000001</v>
      </c>
      <c r="N5" s="23">
        <f t="shared" ref="N5:N20" si="2">((L5-H5)/H5)</f>
        <v>7.9114815382048884E-3</v>
      </c>
      <c r="O5" s="23">
        <f t="shared" ref="O5:O20" si="3">((M5-I5)/I5)</f>
        <v>8.2975842144325813E-3</v>
      </c>
      <c r="P5" s="326">
        <v>452265506.13999999</v>
      </c>
      <c r="Q5" s="325">
        <v>214.8929</v>
      </c>
      <c r="R5" s="23">
        <f t="shared" ref="R5:R20" si="4">((P5-L5)/L5)</f>
        <v>3.5609583215843087E-2</v>
      </c>
      <c r="S5" s="23">
        <f t="shared" ref="S5:S20" si="5">((Q5-M5)/M5)</f>
        <v>3.5191907027157181E-2</v>
      </c>
      <c r="T5" s="326">
        <v>471138975.60000002</v>
      </c>
      <c r="U5" s="325">
        <v>223.21119999999999</v>
      </c>
      <c r="V5" s="23">
        <f t="shared" ref="V5:V20" si="6">((T5-P5)/P5)</f>
        <v>4.1730950523026854E-2</v>
      </c>
      <c r="W5" s="23">
        <f t="shared" ref="W5:W20" si="7">((U5-Q5)/Q5)</f>
        <v>3.8709049949998318E-2</v>
      </c>
      <c r="X5" s="326">
        <v>473833554.04000002</v>
      </c>
      <c r="Y5" s="325">
        <v>224.7843</v>
      </c>
      <c r="Z5" s="23">
        <f t="shared" ref="Z5:Z20" si="8">((X5-T5)/T5)</f>
        <v>5.7192857724590205E-3</v>
      </c>
      <c r="AA5" s="23">
        <f t="shared" ref="AA5:AA20" si="9">((Y5-U5)/U5)</f>
        <v>7.0475854258209751E-3</v>
      </c>
      <c r="AB5" s="326">
        <v>515658316.36000001</v>
      </c>
      <c r="AC5" s="325">
        <v>240.32689999999999</v>
      </c>
      <c r="AD5" s="23">
        <f t="shared" ref="AD5:AD20" si="10">((AB5-X5)/X5)</f>
        <v>8.8268890971088199E-2</v>
      </c>
      <c r="AE5" s="23">
        <f t="shared" ref="AE5:AE20" si="11">((AC5-Y5)/Y5)</f>
        <v>6.9144508757951487E-2</v>
      </c>
      <c r="AF5" s="326">
        <v>525729217.97000003</v>
      </c>
      <c r="AG5" s="325">
        <v>244.16630000000001</v>
      </c>
      <c r="AH5" s="23">
        <f t="shared" ref="AH5:AH20" si="12">((AF5-AB5)/AB5)</f>
        <v>1.9530183632235163E-2</v>
      </c>
      <c r="AI5" s="23">
        <f t="shared" ref="AI5:AI20" si="13">((AG5-AC5)/AC5)</f>
        <v>1.5975739711201749E-2</v>
      </c>
      <c r="AJ5" s="24">
        <f>AVERAGE(F5,J5,N5,R5,V5,Z5,AD5,AH5)</f>
        <v>2.6774667668427919E-2</v>
      </c>
      <c r="AK5" s="24">
        <f>AVERAGE(G5,K5,O5,S5,W5,AA5,AE5,AI5)</f>
        <v>2.3730527113992629E-2</v>
      </c>
      <c r="AL5" s="25">
        <f>((AF5-D5)/D5)</f>
        <v>0.21856199291176398</v>
      </c>
      <c r="AM5" s="25">
        <f>((AG5-E5)/E5)</f>
        <v>0.19143754434350149</v>
      </c>
      <c r="AN5" s="466">
        <f>STDEV(F5,J5,N5,R5,V5,Z5,AD5,AH5)</f>
        <v>2.8498047869292362E-2</v>
      </c>
      <c r="AO5" s="467">
        <f>STDEV(G5,K5,O5,S5,W5,AA5,AE5,AI5)</f>
        <v>2.244297492190021E-2</v>
      </c>
      <c r="AP5" s="27"/>
      <c r="AQ5" s="28">
        <v>7877662528.1199999</v>
      </c>
      <c r="AR5" s="28">
        <v>7704.04</v>
      </c>
      <c r="AS5" s="29" t="e">
        <f>(#REF!/AQ5)-1</f>
        <v>#REF!</v>
      </c>
      <c r="AT5" s="29" t="e">
        <f>(#REF!/AR5)-1</f>
        <v>#REF!</v>
      </c>
    </row>
    <row r="6" spans="1:49">
      <c r="A6" s="202" t="s">
        <v>136</v>
      </c>
      <c r="B6" s="325">
        <v>458403469.83999997</v>
      </c>
      <c r="C6" s="325">
        <v>154.75110000000001</v>
      </c>
      <c r="D6" s="325">
        <v>470621417.10000002</v>
      </c>
      <c r="E6" s="325">
        <v>158.98480000000001</v>
      </c>
      <c r="F6" s="23">
        <f>((D6-B6)/B6)</f>
        <v>2.6653260858310195E-2</v>
      </c>
      <c r="G6" s="23">
        <f>((E6-C6)/C6)</f>
        <v>2.735812540266272E-2</v>
      </c>
      <c r="H6" s="325">
        <v>475053455.74000001</v>
      </c>
      <c r="I6" s="325">
        <v>160.4314</v>
      </c>
      <c r="J6" s="23">
        <f t="shared" si="0"/>
        <v>9.4174180752556857E-3</v>
      </c>
      <c r="K6" s="23">
        <f t="shared" si="1"/>
        <v>9.0989830474359143E-3</v>
      </c>
      <c r="L6" s="325">
        <v>483720953.86000001</v>
      </c>
      <c r="M6" s="325">
        <v>163.3826</v>
      </c>
      <c r="N6" s="23">
        <f t="shared" si="2"/>
        <v>1.8245311165031891E-2</v>
      </c>
      <c r="O6" s="23">
        <f t="shared" si="3"/>
        <v>1.8395401398978006E-2</v>
      </c>
      <c r="P6" s="325">
        <v>493782590.50999999</v>
      </c>
      <c r="Q6" s="325">
        <v>166.67320000000001</v>
      </c>
      <c r="R6" s="23">
        <f t="shared" si="4"/>
        <v>2.0800497827745634E-2</v>
      </c>
      <c r="S6" s="23">
        <f t="shared" si="5"/>
        <v>2.0140455593190536E-2</v>
      </c>
      <c r="T6" s="325">
        <v>510795023.56999999</v>
      </c>
      <c r="U6" s="325">
        <v>170.9237</v>
      </c>
      <c r="V6" s="23">
        <f t="shared" si="6"/>
        <v>3.4453286500904838E-2</v>
      </c>
      <c r="W6" s="23">
        <f t="shared" si="7"/>
        <v>2.5502000321587323E-2</v>
      </c>
      <c r="X6" s="325">
        <v>509891503.94</v>
      </c>
      <c r="Y6" s="325">
        <v>172.1558</v>
      </c>
      <c r="Z6" s="23">
        <f t="shared" si="8"/>
        <v>-1.768849711348403E-3</v>
      </c>
      <c r="AA6" s="23">
        <f t="shared" si="9"/>
        <v>7.2084795730492767E-3</v>
      </c>
      <c r="AB6" s="325">
        <v>536194121.19</v>
      </c>
      <c r="AC6" s="325">
        <v>181.00040000000001</v>
      </c>
      <c r="AD6" s="23">
        <f t="shared" si="10"/>
        <v>5.1584733314354425E-2</v>
      </c>
      <c r="AE6" s="23">
        <f t="shared" si="11"/>
        <v>5.1375556327466251E-2</v>
      </c>
      <c r="AF6" s="325">
        <v>540228725.09000003</v>
      </c>
      <c r="AG6" s="325">
        <v>181.00040000000001</v>
      </c>
      <c r="AH6" s="23">
        <f t="shared" si="12"/>
        <v>7.5245209534298063E-3</v>
      </c>
      <c r="AI6" s="23">
        <f t="shared" si="13"/>
        <v>0</v>
      </c>
      <c r="AJ6" s="24">
        <f t="shared" ref="AJ6:AJ69" si="14">AVERAGE(F6,J6,N6,R6,V6,Z6,AD6,AH6)</f>
        <v>2.0863772372960512E-2</v>
      </c>
      <c r="AK6" s="24">
        <f t="shared" ref="AK6:AK69" si="15">AVERAGE(G6,K6,O6,S6,W6,AA6,AE6,AI6)</f>
        <v>1.9884875208046254E-2</v>
      </c>
      <c r="AL6" s="25">
        <f t="shared" ref="AL6:AL69" si="16">((AF6-D6)/D6)</f>
        <v>0.14790510049229122</v>
      </c>
      <c r="AM6" s="25">
        <f t="shared" ref="AM6:AM69" si="17">((AG6-E6)/E6)</f>
        <v>0.13847613105152193</v>
      </c>
      <c r="AN6" s="466">
        <f t="shared" ref="AN6:AN69" si="18">STDEV(F6,J6,N6,R6,V6,Z6,AD6,AH6)</f>
        <v>1.6860863783316714E-2</v>
      </c>
      <c r="AO6" s="467">
        <f t="shared" ref="AO6:AO69" si="19">STDEV(G6,K6,O6,S6,W6,AA6,AE6,AI6)</f>
        <v>1.5828469612755788E-2</v>
      </c>
      <c r="AP6" s="30"/>
      <c r="AQ6" s="31">
        <v>486981928.81999999</v>
      </c>
      <c r="AR6" s="32">
        <v>0.95</v>
      </c>
      <c r="AS6" s="29" t="e">
        <f>(#REF!/AQ6)-1</f>
        <v>#REF!</v>
      </c>
      <c r="AT6" s="29" t="e">
        <f>(#REF!/AR6)-1</f>
        <v>#REF!</v>
      </c>
    </row>
    <row r="7" spans="1:49">
      <c r="A7" s="202" t="s">
        <v>11</v>
      </c>
      <c r="B7" s="325">
        <v>2399333308.2600002</v>
      </c>
      <c r="C7" s="325">
        <v>23.644100000000002</v>
      </c>
      <c r="D7" s="325">
        <v>2414176649.5999999</v>
      </c>
      <c r="E7" s="325">
        <v>23.817799999999998</v>
      </c>
      <c r="F7" s="23">
        <f>((D7-B7)/B7)</f>
        <v>6.1864440796531462E-3</v>
      </c>
      <c r="G7" s="23">
        <f>((E7-C7)/C7)</f>
        <v>7.3464416069969514E-3</v>
      </c>
      <c r="H7" s="325">
        <v>2403131631.46</v>
      </c>
      <c r="I7" s="325">
        <v>23.721499999999999</v>
      </c>
      <c r="J7" s="23">
        <f t="shared" si="0"/>
        <v>-4.575066261961358E-3</v>
      </c>
      <c r="K7" s="23">
        <f t="shared" si="1"/>
        <v>-4.0431945855620328E-3</v>
      </c>
      <c r="L7" s="325">
        <v>2402855602.7199998</v>
      </c>
      <c r="M7" s="325">
        <v>23.7805</v>
      </c>
      <c r="N7" s="23">
        <f t="shared" si="2"/>
        <v>-1.1486209760076658E-4</v>
      </c>
      <c r="O7" s="23">
        <f t="shared" si="3"/>
        <v>2.487195160508444E-3</v>
      </c>
      <c r="P7" s="325">
        <v>2456274425.3800001</v>
      </c>
      <c r="Q7" s="325">
        <v>24.317499999999999</v>
      </c>
      <c r="R7" s="23">
        <f t="shared" si="4"/>
        <v>2.2231391099627854E-2</v>
      </c>
      <c r="S7" s="23">
        <f t="shared" si="5"/>
        <v>2.2581526881268226E-2</v>
      </c>
      <c r="T7" s="325">
        <v>2579025602.8000002</v>
      </c>
      <c r="U7" s="325">
        <v>25.376300000000001</v>
      </c>
      <c r="V7" s="23">
        <f t="shared" si="6"/>
        <v>4.9974537108576432E-2</v>
      </c>
      <c r="W7" s="23">
        <f t="shared" si="7"/>
        <v>4.3540660018505255E-2</v>
      </c>
      <c r="X7" s="325">
        <v>2583689981.1999998</v>
      </c>
      <c r="Y7" s="325">
        <v>25.4315</v>
      </c>
      <c r="Z7" s="23">
        <f t="shared" si="8"/>
        <v>1.8085816577142894E-3</v>
      </c>
      <c r="AA7" s="23">
        <f t="shared" si="9"/>
        <v>2.1752580163380496E-3</v>
      </c>
      <c r="AB7" s="325">
        <v>2813464823.6100001</v>
      </c>
      <c r="AC7" s="325">
        <v>26.514299999999999</v>
      </c>
      <c r="AD7" s="23">
        <f t="shared" si="10"/>
        <v>8.8932822467841496E-2</v>
      </c>
      <c r="AE7" s="23">
        <f t="shared" si="11"/>
        <v>4.2577118927314507E-2</v>
      </c>
      <c r="AF7" s="325">
        <v>2863971512.0100002</v>
      </c>
      <c r="AG7" s="325">
        <v>26.982399999999998</v>
      </c>
      <c r="AH7" s="23">
        <f t="shared" si="12"/>
        <v>1.7951775325626494E-2</v>
      </c>
      <c r="AI7" s="23">
        <f t="shared" si="13"/>
        <v>1.7654624108499932E-2</v>
      </c>
      <c r="AJ7" s="24">
        <f t="shared" si="14"/>
        <v>2.2799452922434699E-2</v>
      </c>
      <c r="AK7" s="24">
        <f t="shared" si="15"/>
        <v>1.6789953766733669E-2</v>
      </c>
      <c r="AL7" s="25">
        <f t="shared" si="16"/>
        <v>0.18631398099411073</v>
      </c>
      <c r="AM7" s="25">
        <f t="shared" si="17"/>
        <v>0.13286701542543813</v>
      </c>
      <c r="AN7" s="466">
        <f t="shared" si="18"/>
        <v>3.1908282205066286E-2</v>
      </c>
      <c r="AO7" s="467">
        <f t="shared" si="19"/>
        <v>1.8346764501572056E-2</v>
      </c>
      <c r="AP7" s="30"/>
      <c r="AQ7" s="28">
        <v>204065067.03999999</v>
      </c>
      <c r="AR7" s="32">
        <v>105.02</v>
      </c>
      <c r="AS7" s="29" t="e">
        <f>(#REF!/AQ7)-1</f>
        <v>#REF!</v>
      </c>
      <c r="AT7" s="29" t="e">
        <f>(#REF!/AR7)-1</f>
        <v>#REF!</v>
      </c>
    </row>
    <row r="8" spans="1:49">
      <c r="A8" s="202" t="s">
        <v>81</v>
      </c>
      <c r="B8" s="326">
        <v>253303753.62</v>
      </c>
      <c r="C8" s="325">
        <v>134.46</v>
      </c>
      <c r="D8" s="326">
        <v>253303753.62</v>
      </c>
      <c r="E8" s="325">
        <v>134.46</v>
      </c>
      <c r="F8" s="23">
        <f>((D8-B8)/B8)</f>
        <v>0</v>
      </c>
      <c r="G8" s="23">
        <f>((E8-C8)/C8)</f>
        <v>0</v>
      </c>
      <c r="H8" s="325">
        <v>260177922.62</v>
      </c>
      <c r="I8" s="325">
        <v>139.27000000000001</v>
      </c>
      <c r="J8" s="23">
        <f t="shared" si="0"/>
        <v>2.7138046324858087E-2</v>
      </c>
      <c r="K8" s="23">
        <f t="shared" si="1"/>
        <v>3.5772720511676348E-2</v>
      </c>
      <c r="L8" s="325">
        <v>254064284.93000001</v>
      </c>
      <c r="M8" s="325">
        <v>136.21</v>
      </c>
      <c r="N8" s="23">
        <f t="shared" si="2"/>
        <v>-2.3497911077294608E-2</v>
      </c>
      <c r="O8" s="23">
        <f t="shared" si="3"/>
        <v>-2.1971709628778646E-2</v>
      </c>
      <c r="P8" s="325">
        <v>265936057.41999999</v>
      </c>
      <c r="Q8" s="325">
        <v>142.16999999999999</v>
      </c>
      <c r="R8" s="23">
        <f t="shared" si="4"/>
        <v>4.6727435512122058E-2</v>
      </c>
      <c r="S8" s="23">
        <f t="shared" si="5"/>
        <v>4.3755965053960642E-2</v>
      </c>
      <c r="T8" s="325">
        <v>287532611.79000002</v>
      </c>
      <c r="U8" s="325">
        <v>149.41999999999999</v>
      </c>
      <c r="V8" s="23">
        <f t="shared" si="6"/>
        <v>8.1209575638297199E-2</v>
      </c>
      <c r="W8" s="23">
        <f t="shared" si="7"/>
        <v>5.0995287332067249E-2</v>
      </c>
      <c r="X8" s="325">
        <v>287896938.24000001</v>
      </c>
      <c r="Y8" s="325">
        <v>149.41999999999999</v>
      </c>
      <c r="Z8" s="23">
        <f t="shared" si="8"/>
        <v>1.267078707114011E-3</v>
      </c>
      <c r="AA8" s="23">
        <f t="shared" si="9"/>
        <v>0</v>
      </c>
      <c r="AB8" s="325">
        <v>301856283.92000002</v>
      </c>
      <c r="AC8" s="325">
        <v>156.96</v>
      </c>
      <c r="AD8" s="23">
        <f t="shared" si="10"/>
        <v>4.8487301620286957E-2</v>
      </c>
      <c r="AE8" s="23">
        <f t="shared" si="11"/>
        <v>5.046178557087419E-2</v>
      </c>
      <c r="AF8" s="325">
        <v>309472758.36000001</v>
      </c>
      <c r="AG8" s="325">
        <v>157.72999999999999</v>
      </c>
      <c r="AH8" s="23">
        <f t="shared" si="12"/>
        <v>2.5232121528464078E-2</v>
      </c>
      <c r="AI8" s="23">
        <f t="shared" si="13"/>
        <v>4.905708460754216E-3</v>
      </c>
      <c r="AJ8" s="24">
        <f t="shared" si="14"/>
        <v>2.5820456031730974E-2</v>
      </c>
      <c r="AK8" s="24">
        <f t="shared" si="15"/>
        <v>2.048996966256925E-2</v>
      </c>
      <c r="AL8" s="25">
        <f t="shared" si="16"/>
        <v>0.22174564702370481</v>
      </c>
      <c r="AM8" s="25">
        <f t="shared" si="17"/>
        <v>0.17306262085378538</v>
      </c>
      <c r="AN8" s="466">
        <f t="shared" si="18"/>
        <v>3.3215293496520318E-2</v>
      </c>
      <c r="AO8" s="467">
        <f t="shared" si="19"/>
        <v>2.8003301563055878E-2</v>
      </c>
      <c r="AP8" s="30"/>
      <c r="AQ8" s="33">
        <v>166618649</v>
      </c>
      <c r="AR8" s="34">
        <v>9.4</v>
      </c>
      <c r="AS8" s="29" t="e">
        <f>(#REF!/AQ8)-1</f>
        <v>#REF!</v>
      </c>
      <c r="AT8" s="29" t="e">
        <f>(#REF!/AR8)-1</f>
        <v>#REF!</v>
      </c>
      <c r="AU8" s="91"/>
    </row>
    <row r="9" spans="1:49" s="86" customFormat="1">
      <c r="A9" s="202" t="s">
        <v>52</v>
      </c>
      <c r="B9" s="325">
        <v>391185242.54000002</v>
      </c>
      <c r="C9" s="325">
        <v>182.4</v>
      </c>
      <c r="D9" s="325">
        <v>397400267.23000002</v>
      </c>
      <c r="E9" s="325">
        <v>185.22</v>
      </c>
      <c r="F9" s="23">
        <f>((D9-B9)/B9)</f>
        <v>1.5887676768288339E-2</v>
      </c>
      <c r="G9" s="23">
        <f>((E9-C9)/C9)</f>
        <v>1.5460526315789435E-2</v>
      </c>
      <c r="H9" s="325">
        <v>403711139.06</v>
      </c>
      <c r="I9" s="325">
        <v>186.56</v>
      </c>
      <c r="J9" s="23">
        <f t="shared" si="0"/>
        <v>1.5880391510525817E-2</v>
      </c>
      <c r="K9" s="23">
        <f t="shared" si="1"/>
        <v>7.2346398877011307E-3</v>
      </c>
      <c r="L9" s="325">
        <v>415271697.45999998</v>
      </c>
      <c r="M9" s="325">
        <v>191.46</v>
      </c>
      <c r="N9" s="23">
        <f t="shared" si="2"/>
        <v>2.8635718169475213E-2</v>
      </c>
      <c r="O9" s="23">
        <f t="shared" si="3"/>
        <v>2.6265008576329362E-2</v>
      </c>
      <c r="P9" s="325">
        <v>429384434.37</v>
      </c>
      <c r="Q9" s="325">
        <v>197.91</v>
      </c>
      <c r="R9" s="23">
        <f t="shared" si="4"/>
        <v>3.3984345661696343E-2</v>
      </c>
      <c r="S9" s="23">
        <f t="shared" si="5"/>
        <v>3.3688498903165089E-2</v>
      </c>
      <c r="T9" s="325">
        <v>450185756.94</v>
      </c>
      <c r="U9" s="325">
        <v>206.68</v>
      </c>
      <c r="V9" s="23">
        <f t="shared" si="6"/>
        <v>4.8444519421203612E-2</v>
      </c>
      <c r="W9" s="23">
        <f t="shared" si="7"/>
        <v>4.4313071598201255E-2</v>
      </c>
      <c r="X9" s="325">
        <v>457605222.00999999</v>
      </c>
      <c r="Y9" s="325">
        <v>207.36</v>
      </c>
      <c r="Z9" s="23">
        <f t="shared" si="8"/>
        <v>1.6480896953363289E-2</v>
      </c>
      <c r="AA9" s="23">
        <f t="shared" si="9"/>
        <v>3.2901103154635513E-3</v>
      </c>
      <c r="AB9" s="325">
        <v>492758236.86000001</v>
      </c>
      <c r="AC9" s="325">
        <v>220.97</v>
      </c>
      <c r="AD9" s="23">
        <f t="shared" si="10"/>
        <v>7.6819522940740889E-2</v>
      </c>
      <c r="AE9" s="23">
        <f t="shared" si="11"/>
        <v>6.5634645061728322E-2</v>
      </c>
      <c r="AF9" s="325">
        <v>507848497.44</v>
      </c>
      <c r="AG9" s="325">
        <v>223.62</v>
      </c>
      <c r="AH9" s="23">
        <f t="shared" si="12"/>
        <v>3.0624065619196037E-2</v>
      </c>
      <c r="AI9" s="23">
        <f t="shared" si="13"/>
        <v>1.1992578178033243E-2</v>
      </c>
      <c r="AJ9" s="24">
        <f t="shared" si="14"/>
        <v>3.3344642130561195E-2</v>
      </c>
      <c r="AK9" s="24">
        <f t="shared" si="15"/>
        <v>2.5984884854551422E-2</v>
      </c>
      <c r="AL9" s="25">
        <f t="shared" si="16"/>
        <v>0.27792691479514475</v>
      </c>
      <c r="AM9" s="25">
        <f t="shared" si="17"/>
        <v>0.20732102364755428</v>
      </c>
      <c r="AN9" s="466">
        <f t="shared" si="18"/>
        <v>2.0847020576658916E-2</v>
      </c>
      <c r="AO9" s="467">
        <f t="shared" si="19"/>
        <v>2.1181600165457972E-2</v>
      </c>
      <c r="AP9" s="30"/>
      <c r="AQ9" s="33"/>
      <c r="AR9" s="34"/>
      <c r="AS9" s="29"/>
      <c r="AT9" s="29"/>
    </row>
    <row r="10" spans="1:49">
      <c r="A10" s="202" t="s">
        <v>8</v>
      </c>
      <c r="B10" s="326">
        <v>266937356.22999999</v>
      </c>
      <c r="C10" s="325">
        <v>137.35</v>
      </c>
      <c r="D10" s="326">
        <v>268366586.72</v>
      </c>
      <c r="E10" s="325">
        <v>137.27000000000001</v>
      </c>
      <c r="F10" s="23">
        <f>((D10-B10)/B10)</f>
        <v>5.354179385700323E-3</v>
      </c>
      <c r="G10" s="23">
        <f>((E10-C10)/C10)</f>
        <v>-5.8245358572977125E-4</v>
      </c>
      <c r="H10" s="326">
        <v>271307203.51999998</v>
      </c>
      <c r="I10" s="325">
        <v>139.47999999999999</v>
      </c>
      <c r="J10" s="23">
        <f t="shared" si="0"/>
        <v>1.0957462461852868E-2</v>
      </c>
      <c r="K10" s="23">
        <f t="shared" si="1"/>
        <v>1.609965760909142E-2</v>
      </c>
      <c r="L10" s="326">
        <v>274084077.38999999</v>
      </c>
      <c r="M10" s="325">
        <v>140.93</v>
      </c>
      <c r="N10" s="23">
        <f t="shared" si="2"/>
        <v>1.0235164544001139E-2</v>
      </c>
      <c r="O10" s="23">
        <f t="shared" si="3"/>
        <v>1.0395755663894588E-2</v>
      </c>
      <c r="P10" s="326">
        <v>281264175.48000002</v>
      </c>
      <c r="Q10" s="325">
        <v>143.69999999999999</v>
      </c>
      <c r="R10" s="23">
        <f t="shared" si="4"/>
        <v>2.6196699050792801E-2</v>
      </c>
      <c r="S10" s="23">
        <f t="shared" si="5"/>
        <v>1.965514794578856E-2</v>
      </c>
      <c r="T10" s="326">
        <v>285800738.51999998</v>
      </c>
      <c r="U10" s="325">
        <v>146.21</v>
      </c>
      <c r="V10" s="23">
        <f t="shared" si="6"/>
        <v>1.6129188981348054E-2</v>
      </c>
      <c r="W10" s="23">
        <f t="shared" si="7"/>
        <v>1.7466945024356435E-2</v>
      </c>
      <c r="X10" s="326">
        <v>289501955.77999997</v>
      </c>
      <c r="Y10" s="325">
        <v>148.08000000000001</v>
      </c>
      <c r="Z10" s="23">
        <f t="shared" si="8"/>
        <v>1.2950341833147446E-2</v>
      </c>
      <c r="AA10" s="23">
        <f t="shared" si="9"/>
        <v>1.2789822857533715E-2</v>
      </c>
      <c r="AB10" s="326">
        <v>304110707.12</v>
      </c>
      <c r="AC10" s="325">
        <v>155.47</v>
      </c>
      <c r="AD10" s="23">
        <f t="shared" si="10"/>
        <v>5.0461667178171334E-2</v>
      </c>
      <c r="AE10" s="23">
        <f t="shared" si="11"/>
        <v>4.9905456509994499E-2</v>
      </c>
      <c r="AF10" s="326">
        <v>304110707.12</v>
      </c>
      <c r="AG10" s="325">
        <v>155.47</v>
      </c>
      <c r="AH10" s="23">
        <f t="shared" si="12"/>
        <v>0</v>
      </c>
      <c r="AI10" s="23">
        <f t="shared" si="13"/>
        <v>0</v>
      </c>
      <c r="AJ10" s="24">
        <f t="shared" si="14"/>
        <v>1.6535587929376743E-2</v>
      </c>
      <c r="AK10" s="24">
        <f t="shared" si="15"/>
        <v>1.5716291503116181E-2</v>
      </c>
      <c r="AL10" s="25">
        <f t="shared" si="16"/>
        <v>0.13319139627949883</v>
      </c>
      <c r="AM10" s="25">
        <f t="shared" si="17"/>
        <v>0.13258541560428344</v>
      </c>
      <c r="AN10" s="466">
        <f t="shared" si="18"/>
        <v>1.5705301446729485E-2</v>
      </c>
      <c r="AO10" s="467">
        <f t="shared" si="19"/>
        <v>1.5753224530227348E-2</v>
      </c>
      <c r="AP10" s="30"/>
      <c r="AQ10" s="28">
        <v>1147996444.8800001</v>
      </c>
      <c r="AR10" s="32">
        <v>0.69840000000000002</v>
      </c>
      <c r="AS10" s="29" t="e">
        <f>(#REF!/AQ10)-1</f>
        <v>#REF!</v>
      </c>
      <c r="AT10" s="29" t="e">
        <f>(#REF!/AR10)-1</f>
        <v>#REF!</v>
      </c>
    </row>
    <row r="11" spans="1:49">
      <c r="A11" s="202" t="s">
        <v>217</v>
      </c>
      <c r="B11" s="74">
        <v>25667146</v>
      </c>
      <c r="C11" s="325">
        <v>103.28</v>
      </c>
      <c r="D11" s="74">
        <v>26679738</v>
      </c>
      <c r="E11" s="325">
        <v>107.37</v>
      </c>
      <c r="F11" s="23">
        <f>((D11-B11)/B11)</f>
        <v>3.9450899605277499E-2</v>
      </c>
      <c r="G11" s="23">
        <f>((E11-C11)/C11)</f>
        <v>3.9601084430673929E-2</v>
      </c>
      <c r="H11" s="74">
        <v>27447295.370000001</v>
      </c>
      <c r="I11" s="325">
        <v>110.38</v>
      </c>
      <c r="J11" s="23">
        <f t="shared" si="0"/>
        <v>2.8769299383674646E-2</v>
      </c>
      <c r="K11" s="23">
        <f t="shared" si="1"/>
        <v>2.8033901462233314E-2</v>
      </c>
      <c r="L11" s="74">
        <v>28355131.620000001</v>
      </c>
      <c r="M11" s="325">
        <v>114.04</v>
      </c>
      <c r="N11" s="23">
        <f t="shared" si="2"/>
        <v>3.3075617752569841E-2</v>
      </c>
      <c r="O11" s="23">
        <f t="shared" si="3"/>
        <v>3.3158180829860578E-2</v>
      </c>
      <c r="P11" s="74">
        <v>30537454.09</v>
      </c>
      <c r="Q11" s="325">
        <v>122.81</v>
      </c>
      <c r="R11" s="23">
        <f t="shared" si="4"/>
        <v>7.696393369800901E-2</v>
      </c>
      <c r="S11" s="23">
        <f t="shared" si="5"/>
        <v>7.6902841108382983E-2</v>
      </c>
      <c r="T11" s="74">
        <v>31765543.109999999</v>
      </c>
      <c r="U11" s="325">
        <v>127.78</v>
      </c>
      <c r="V11" s="23">
        <f t="shared" si="6"/>
        <v>4.0215828614283793E-2</v>
      </c>
      <c r="W11" s="23">
        <f t="shared" si="7"/>
        <v>4.0469017181011306E-2</v>
      </c>
      <c r="X11" s="74">
        <v>32179037.640000001</v>
      </c>
      <c r="Y11" s="325">
        <v>129.44999999999999</v>
      </c>
      <c r="Z11" s="23">
        <f t="shared" si="8"/>
        <v>1.3017077295613133E-2</v>
      </c>
      <c r="AA11" s="23">
        <f t="shared" si="9"/>
        <v>1.3069337924557736E-2</v>
      </c>
      <c r="AB11" s="74">
        <v>35556033.340000004</v>
      </c>
      <c r="AC11" s="325">
        <v>139.05000000000001</v>
      </c>
      <c r="AD11" s="23">
        <f t="shared" si="10"/>
        <v>0.1049439618977991</v>
      </c>
      <c r="AE11" s="23">
        <f t="shared" si="11"/>
        <v>7.4159907300116054E-2</v>
      </c>
      <c r="AF11" s="74">
        <v>26309579.190000001</v>
      </c>
      <c r="AG11" s="325">
        <v>105.43</v>
      </c>
      <c r="AH11" s="23">
        <f t="shared" si="12"/>
        <v>-0.26005302845742018</v>
      </c>
      <c r="AI11" s="23">
        <f t="shared" si="13"/>
        <v>-0.24178353110391948</v>
      </c>
      <c r="AJ11" s="24">
        <f t="shared" si="14"/>
        <v>9.5479487237258576E-3</v>
      </c>
      <c r="AK11" s="24">
        <f t="shared" si="15"/>
        <v>7.9513423916145534E-3</v>
      </c>
      <c r="AL11" s="25">
        <f t="shared" si="16"/>
        <v>-1.3874154611263373E-2</v>
      </c>
      <c r="AM11" s="25">
        <f t="shared" si="17"/>
        <v>-1.8068361739778313E-2</v>
      </c>
      <c r="AN11" s="466">
        <f t="shared" si="18"/>
        <v>0.11282081429617723</v>
      </c>
      <c r="AO11" s="467">
        <f t="shared" si="19"/>
        <v>0.10325376740851505</v>
      </c>
      <c r="AP11" s="30"/>
      <c r="AQ11" s="28">
        <v>2845469436.1399999</v>
      </c>
      <c r="AR11" s="32">
        <v>13.0688</v>
      </c>
      <c r="AS11" s="29" t="e">
        <f>(#REF!/AQ11)-1</f>
        <v>#REF!</v>
      </c>
      <c r="AT11" s="29" t="e">
        <f>(#REF!/AR11)-1</f>
        <v>#REF!</v>
      </c>
    </row>
    <row r="12" spans="1:49" s="370" customFormat="1">
      <c r="A12" s="202" t="s">
        <v>277</v>
      </c>
      <c r="B12" s="326">
        <v>344190166.48000002</v>
      </c>
      <c r="C12" s="325">
        <v>1.3</v>
      </c>
      <c r="D12" s="326">
        <v>351847653.92000002</v>
      </c>
      <c r="E12" s="325">
        <v>1.33</v>
      </c>
      <c r="F12" s="23">
        <f>((D12-B12)/B12)</f>
        <v>2.2247839089397557E-2</v>
      </c>
      <c r="G12" s="23">
        <f>((E12-C12)/C12)</f>
        <v>2.3076923076923096E-2</v>
      </c>
      <c r="H12" s="326">
        <v>352536812.56999999</v>
      </c>
      <c r="I12" s="325">
        <v>1.33</v>
      </c>
      <c r="J12" s="23">
        <f t="shared" ref="J12" si="20">((H12-D12)/D12)</f>
        <v>1.9586847953139142E-3</v>
      </c>
      <c r="K12" s="23">
        <f t="shared" ref="K12" si="21">((I12-E12)/E12)</f>
        <v>0</v>
      </c>
      <c r="L12" s="326">
        <v>356346205.95999998</v>
      </c>
      <c r="M12" s="325">
        <v>1.34</v>
      </c>
      <c r="N12" s="23">
        <f t="shared" ref="N12" si="22">((L12-H12)/H12)</f>
        <v>1.0805661293155277E-2</v>
      </c>
      <c r="O12" s="23">
        <f t="shared" ref="O12" si="23">((M12-I12)/I12)</f>
        <v>7.5187969924812095E-3</v>
      </c>
      <c r="P12" s="326">
        <v>371448608.08999997</v>
      </c>
      <c r="Q12" s="325">
        <v>1.41</v>
      </c>
      <c r="R12" s="23">
        <f t="shared" ref="R12" si="24">((P12-L12)/L12)</f>
        <v>4.2381262596339377E-2</v>
      </c>
      <c r="S12" s="23">
        <f t="shared" ref="S12" si="25">((Q12-M12)/M12)</f>
        <v>5.2238805970149134E-2</v>
      </c>
      <c r="T12" s="326">
        <v>395989381.80000001</v>
      </c>
      <c r="U12" s="325">
        <v>1.5</v>
      </c>
      <c r="V12" s="23">
        <f t="shared" ref="V12" si="26">((T12-P12)/P12)</f>
        <v>6.6067749819253438E-2</v>
      </c>
      <c r="W12" s="23">
        <f t="shared" ref="W12" si="27">((U12-Q12)/Q12)</f>
        <v>6.3829787234042618E-2</v>
      </c>
      <c r="X12" s="326">
        <v>401755619.42000002</v>
      </c>
      <c r="Y12" s="325">
        <v>1.51</v>
      </c>
      <c r="Z12" s="23">
        <f t="shared" ref="Z12" si="28">((X12-T12)/T12)</f>
        <v>1.456159656046617E-2</v>
      </c>
      <c r="AA12" s="23">
        <f t="shared" ref="AA12" si="29">((Y12-U12)/U12)</f>
        <v>6.6666666666666723E-3</v>
      </c>
      <c r="AB12" s="326">
        <v>431856945.29000002</v>
      </c>
      <c r="AC12" s="325">
        <v>1.62</v>
      </c>
      <c r="AD12" s="23">
        <f t="shared" ref="AD12" si="30">((AB12-X12)/X12)</f>
        <v>7.4924467549343038E-2</v>
      </c>
      <c r="AE12" s="23">
        <f t="shared" ref="AE12" si="31">((AC12-Y12)/Y12)</f>
        <v>7.2847682119205365E-2</v>
      </c>
      <c r="AF12" s="326">
        <v>431814652.81999999</v>
      </c>
      <c r="AG12" s="325">
        <v>1.62</v>
      </c>
      <c r="AH12" s="23">
        <f t="shared" si="12"/>
        <v>-9.7931665708486933E-5</v>
      </c>
      <c r="AI12" s="23">
        <f t="shared" si="13"/>
        <v>0</v>
      </c>
      <c r="AJ12" s="24">
        <f t="shared" si="14"/>
        <v>2.9106166254695035E-2</v>
      </c>
      <c r="AK12" s="24">
        <f t="shared" si="15"/>
        <v>2.8272332757433512E-2</v>
      </c>
      <c r="AL12" s="25">
        <f t="shared" si="16"/>
        <v>0.22727734009044198</v>
      </c>
      <c r="AM12" s="25">
        <f t="shared" si="17"/>
        <v>0.2180451127819549</v>
      </c>
      <c r="AN12" s="466">
        <f t="shared" si="18"/>
        <v>2.8847030800123102E-2</v>
      </c>
      <c r="AO12" s="467">
        <f t="shared" si="19"/>
        <v>3.0116066221611115E-2</v>
      </c>
      <c r="AP12" s="30"/>
      <c r="AQ12" s="28"/>
      <c r="AR12" s="32"/>
      <c r="AS12" s="29"/>
      <c r="AT12" s="29"/>
    </row>
    <row r="13" spans="1:49" ht="12.75" customHeight="1">
      <c r="A13" s="202" t="s">
        <v>45</v>
      </c>
      <c r="B13" s="326">
        <v>1031899682.33</v>
      </c>
      <c r="C13" s="325">
        <v>2.1</v>
      </c>
      <c r="D13" s="326">
        <v>1039769742.6900001</v>
      </c>
      <c r="E13" s="325">
        <v>2.12</v>
      </c>
      <c r="F13" s="23">
        <f>((D13-B13)/B13)</f>
        <v>7.6267688562803339E-3</v>
      </c>
      <c r="G13" s="23">
        <f>((E13-C13)/C13)</f>
        <v>9.5238095238095316E-3</v>
      </c>
      <c r="H13" s="326">
        <v>1025642836.7</v>
      </c>
      <c r="I13" s="325">
        <v>2.09</v>
      </c>
      <c r="J13" s="23">
        <f t="shared" si="0"/>
        <v>-1.3586571535975004E-2</v>
      </c>
      <c r="K13" s="23">
        <f t="shared" si="1"/>
        <v>-1.4150943396226532E-2</v>
      </c>
      <c r="L13" s="326">
        <v>1041705147.45</v>
      </c>
      <c r="M13" s="325">
        <v>2.12</v>
      </c>
      <c r="N13" s="23">
        <f t="shared" si="2"/>
        <v>1.5660725327815279E-2</v>
      </c>
      <c r="O13" s="23">
        <f t="shared" si="3"/>
        <v>1.4354066985646053E-2</v>
      </c>
      <c r="P13" s="326">
        <v>1066539663.6799999</v>
      </c>
      <c r="Q13" s="325">
        <v>2.17</v>
      </c>
      <c r="R13" s="23">
        <f t="shared" si="4"/>
        <v>2.3840254884784383E-2</v>
      </c>
      <c r="S13" s="23">
        <f t="shared" si="5"/>
        <v>2.3584905660377273E-2</v>
      </c>
      <c r="T13" s="326">
        <v>1145105965.0799999</v>
      </c>
      <c r="U13" s="325">
        <v>2.34</v>
      </c>
      <c r="V13" s="23">
        <f t="shared" si="6"/>
        <v>7.3664678469541361E-2</v>
      </c>
      <c r="W13" s="23">
        <f t="shared" si="7"/>
        <v>7.8341013824884759E-2</v>
      </c>
      <c r="X13" s="326">
        <v>1144652863.8199999</v>
      </c>
      <c r="Y13" s="325">
        <v>2.33</v>
      </c>
      <c r="Z13" s="23">
        <f t="shared" si="8"/>
        <v>-3.9568500542073038E-4</v>
      </c>
      <c r="AA13" s="23">
        <f t="shared" si="9"/>
        <v>-4.2735042735041829E-3</v>
      </c>
      <c r="AB13" s="326">
        <v>1192552480.03</v>
      </c>
      <c r="AC13" s="325">
        <v>2.4300000000000002</v>
      </c>
      <c r="AD13" s="23">
        <f t="shared" si="10"/>
        <v>4.1846412763208177E-2</v>
      </c>
      <c r="AE13" s="23">
        <f t="shared" si="11"/>
        <v>4.2918454935622352E-2</v>
      </c>
      <c r="AF13" s="326">
        <v>1203292684.5</v>
      </c>
      <c r="AG13" s="325">
        <v>2.4500000000000002</v>
      </c>
      <c r="AH13" s="23">
        <f t="shared" si="12"/>
        <v>9.0060644289045016E-3</v>
      </c>
      <c r="AI13" s="23">
        <f t="shared" si="13"/>
        <v>8.2304526748971252E-3</v>
      </c>
      <c r="AJ13" s="24">
        <f t="shared" si="14"/>
        <v>1.9707831023642288E-2</v>
      </c>
      <c r="AK13" s="24">
        <f t="shared" si="15"/>
        <v>1.98160319919383E-2</v>
      </c>
      <c r="AL13" s="25">
        <f t="shared" si="16"/>
        <v>0.15726841731992305</v>
      </c>
      <c r="AM13" s="25">
        <f t="shared" si="17"/>
        <v>0.15566037735849059</v>
      </c>
      <c r="AN13" s="466">
        <f t="shared" si="18"/>
        <v>2.7276527452564026E-2</v>
      </c>
      <c r="AO13" s="467">
        <f t="shared" si="19"/>
        <v>2.92211996938215E-2</v>
      </c>
      <c r="AP13" s="30"/>
      <c r="AQ13" s="33">
        <v>155057555.75</v>
      </c>
      <c r="AR13" s="33">
        <v>111.51</v>
      </c>
      <c r="AS13" s="29" t="e">
        <f>(#REF!/AQ13)-1</f>
        <v>#REF!</v>
      </c>
      <c r="AT13" s="29" t="e">
        <f>(#REF!/AR13)-1</f>
        <v>#REF!</v>
      </c>
      <c r="AU13" s="81"/>
      <c r="AV13" s="82"/>
      <c r="AW13" s="87"/>
    </row>
    <row r="14" spans="1:49" ht="12.75" customHeight="1">
      <c r="A14" s="202" t="s">
        <v>53</v>
      </c>
      <c r="B14" s="325">
        <v>310381485.08999997</v>
      </c>
      <c r="C14" s="325">
        <v>12.965</v>
      </c>
      <c r="D14" s="325">
        <v>327568482.69999999</v>
      </c>
      <c r="E14" s="325">
        <v>13.675599999999999</v>
      </c>
      <c r="F14" s="23">
        <f>((D14-B14)/B14)</f>
        <v>5.5373784956974398E-2</v>
      </c>
      <c r="G14" s="23">
        <f>((E14-C14)/C14)</f>
        <v>5.4809101426918583E-2</v>
      </c>
      <c r="H14" s="325">
        <v>322464418.95999998</v>
      </c>
      <c r="I14" s="325">
        <v>13.423679999999999</v>
      </c>
      <c r="J14" s="23">
        <f t="shared" si="0"/>
        <v>-1.5581669206785411E-2</v>
      </c>
      <c r="K14" s="23">
        <f t="shared" si="1"/>
        <v>-1.8421129603088723E-2</v>
      </c>
      <c r="L14" s="325">
        <v>332248869.60000002</v>
      </c>
      <c r="M14" s="325">
        <v>13.726271000000001</v>
      </c>
      <c r="N14" s="23">
        <f t="shared" si="2"/>
        <v>3.0342729506580863E-2</v>
      </c>
      <c r="O14" s="23">
        <f t="shared" si="3"/>
        <v>2.2541583232019938E-2</v>
      </c>
      <c r="P14" s="325">
        <v>308394954.04000002</v>
      </c>
      <c r="Q14" s="325">
        <v>13.157444999999999</v>
      </c>
      <c r="R14" s="23">
        <f t="shared" si="4"/>
        <v>-7.1795324958420864E-2</v>
      </c>
      <c r="S14" s="23">
        <f t="shared" si="5"/>
        <v>-4.1440679700990996E-2</v>
      </c>
      <c r="T14" s="325">
        <v>330392962.49000001</v>
      </c>
      <c r="U14" s="325">
        <v>13.706492000000001</v>
      </c>
      <c r="V14" s="23">
        <f t="shared" si="6"/>
        <v>7.1330636775421299E-2</v>
      </c>
      <c r="W14" s="23">
        <f t="shared" si="7"/>
        <v>4.1728998297161923E-2</v>
      </c>
      <c r="X14" s="325">
        <v>334193909.07999998</v>
      </c>
      <c r="Y14" s="325">
        <v>13.783480000000001</v>
      </c>
      <c r="Z14" s="23">
        <f t="shared" si="8"/>
        <v>1.1504320677275373E-2</v>
      </c>
      <c r="AA14" s="23">
        <f t="shared" si="9"/>
        <v>5.616900371006677E-3</v>
      </c>
      <c r="AB14" s="325">
        <v>355880190.25999999</v>
      </c>
      <c r="AC14" s="325">
        <v>14.683999999999999</v>
      </c>
      <c r="AD14" s="23">
        <f t="shared" si="10"/>
        <v>6.4891311872499455E-2</v>
      </c>
      <c r="AE14" s="23">
        <f t="shared" si="11"/>
        <v>6.5333283031571016E-2</v>
      </c>
      <c r="AF14" s="325">
        <v>373574712.43000001</v>
      </c>
      <c r="AG14" s="325">
        <v>14.849634999999999</v>
      </c>
      <c r="AH14" s="23">
        <f t="shared" si="12"/>
        <v>4.9720447089433947E-2</v>
      </c>
      <c r="AI14" s="23">
        <f t="shared" si="13"/>
        <v>1.127996458730591E-2</v>
      </c>
      <c r="AJ14" s="24">
        <f t="shared" si="14"/>
        <v>2.4473279589122383E-2</v>
      </c>
      <c r="AK14" s="24">
        <f t="shared" si="15"/>
        <v>1.7681002705238039E-2</v>
      </c>
      <c r="AL14" s="25">
        <f t="shared" si="16"/>
        <v>0.14044766868531219</v>
      </c>
      <c r="AM14" s="25">
        <f t="shared" si="17"/>
        <v>8.5848884144022933E-2</v>
      </c>
      <c r="AN14" s="466">
        <f t="shared" si="18"/>
        <v>4.8544791447967695E-2</v>
      </c>
      <c r="AO14" s="467">
        <f t="shared" si="19"/>
        <v>3.6324765286630888E-2</v>
      </c>
      <c r="AP14" s="30"/>
      <c r="AQ14" s="38">
        <v>212579164.06</v>
      </c>
      <c r="AR14" s="38">
        <v>9.9</v>
      </c>
      <c r="AS14" s="29" t="e">
        <f>(#REF!/AQ14)-1</f>
        <v>#REF!</v>
      </c>
      <c r="AT14" s="29" t="e">
        <f>(#REF!/AR14)-1</f>
        <v>#REF!</v>
      </c>
    </row>
    <row r="15" spans="1:49" ht="12.75" customHeight="1">
      <c r="A15" s="202" t="s">
        <v>125</v>
      </c>
      <c r="B15" s="325">
        <v>295967065.02999997</v>
      </c>
      <c r="C15" s="325">
        <v>1.533102</v>
      </c>
      <c r="D15" s="325">
        <v>304563016.81999999</v>
      </c>
      <c r="E15" s="325">
        <v>1.5771029999999999</v>
      </c>
      <c r="F15" s="23">
        <f>((D15-B15)/B15)</f>
        <v>2.9043609258106857E-2</v>
      </c>
      <c r="G15" s="23">
        <f>((E15-C15)/C15)</f>
        <v>2.870063440005946E-2</v>
      </c>
      <c r="H15" s="325">
        <v>308529932.08999997</v>
      </c>
      <c r="I15" s="325">
        <v>1.5971120000000001</v>
      </c>
      <c r="J15" s="23">
        <f t="shared" si="0"/>
        <v>1.3024940819864779E-2</v>
      </c>
      <c r="K15" s="23">
        <f t="shared" si="1"/>
        <v>1.268718656929837E-2</v>
      </c>
      <c r="L15" s="325">
        <v>315819551.70999998</v>
      </c>
      <c r="M15" s="325">
        <v>1.634835</v>
      </c>
      <c r="N15" s="23">
        <f t="shared" si="2"/>
        <v>2.3626944622908031E-2</v>
      </c>
      <c r="O15" s="23">
        <f t="shared" si="3"/>
        <v>2.3619508212323212E-2</v>
      </c>
      <c r="P15" s="325">
        <v>322080876.56</v>
      </c>
      <c r="Q15" s="325">
        <v>1.667095</v>
      </c>
      <c r="R15" s="23">
        <f t="shared" si="4"/>
        <v>1.982564035728054E-2</v>
      </c>
      <c r="S15" s="23">
        <f t="shared" si="5"/>
        <v>1.9732878241535051E-2</v>
      </c>
      <c r="T15" s="325">
        <v>336511409.14999998</v>
      </c>
      <c r="U15" s="325">
        <v>1.7410920000000001</v>
      </c>
      <c r="V15" s="23">
        <f t="shared" si="6"/>
        <v>4.480406519047625E-2</v>
      </c>
      <c r="W15" s="23">
        <f t="shared" si="7"/>
        <v>4.4386792594303316E-2</v>
      </c>
      <c r="X15" s="325">
        <v>334078728.27999997</v>
      </c>
      <c r="Y15" s="325">
        <v>1.729228</v>
      </c>
      <c r="Z15" s="23">
        <f t="shared" si="8"/>
        <v>-7.2291185494861993E-3</v>
      </c>
      <c r="AA15" s="23">
        <f t="shared" si="9"/>
        <v>-6.8141143604129456E-3</v>
      </c>
      <c r="AB15" s="325">
        <v>353832052.04000002</v>
      </c>
      <c r="AC15" s="325">
        <v>1.830408</v>
      </c>
      <c r="AD15" s="23">
        <f t="shared" si="10"/>
        <v>5.9127750700260932E-2</v>
      </c>
      <c r="AE15" s="23">
        <f t="shared" si="11"/>
        <v>5.8511659538244838E-2</v>
      </c>
      <c r="AF15" s="325">
        <v>358347283.30000001</v>
      </c>
      <c r="AG15" s="325">
        <v>1.853299</v>
      </c>
      <c r="AH15" s="23">
        <f t="shared" si="12"/>
        <v>1.2760944730607821E-2</v>
      </c>
      <c r="AI15" s="23">
        <f t="shared" si="13"/>
        <v>1.2505954956490572E-2</v>
      </c>
      <c r="AJ15" s="24">
        <f t="shared" si="14"/>
        <v>2.4373097141252378E-2</v>
      </c>
      <c r="AK15" s="24">
        <f t="shared" si="15"/>
        <v>2.4166312518980233E-2</v>
      </c>
      <c r="AL15" s="25">
        <f t="shared" si="16"/>
        <v>0.17659487038699481</v>
      </c>
      <c r="AM15" s="25">
        <f t="shared" si="17"/>
        <v>0.17512870116916912</v>
      </c>
      <c r="AN15" s="466">
        <f t="shared" si="18"/>
        <v>2.046140255532761E-2</v>
      </c>
      <c r="AO15" s="467">
        <f t="shared" si="19"/>
        <v>2.0200799865340839E-2</v>
      </c>
      <c r="AP15" s="30"/>
      <c r="AQ15" s="28">
        <v>305162610.31</v>
      </c>
      <c r="AR15" s="28">
        <v>1481.86</v>
      </c>
      <c r="AS15" s="29" t="e">
        <f>(#REF!/AQ15)-1</f>
        <v>#REF!</v>
      </c>
      <c r="AT15" s="29" t="e">
        <f>(#REF!/AR15)-1</f>
        <v>#REF!</v>
      </c>
    </row>
    <row r="16" spans="1:49" s="86" customFormat="1" ht="12.75" customHeight="1">
      <c r="A16" s="202" t="s">
        <v>10</v>
      </c>
      <c r="B16" s="326">
        <v>725857123.89999998</v>
      </c>
      <c r="C16" s="325">
        <v>18.989999999999998</v>
      </c>
      <c r="D16" s="326">
        <v>733608279.30999994</v>
      </c>
      <c r="E16" s="325">
        <v>18.79</v>
      </c>
      <c r="F16" s="23">
        <f>((D16-B16)/B16)</f>
        <v>1.0678624146241525E-2</v>
      </c>
      <c r="G16" s="23">
        <f>((E16-C16)/C16)</f>
        <v>-1.0531858873091065E-2</v>
      </c>
      <c r="H16" s="326">
        <v>751036579.92999995</v>
      </c>
      <c r="I16" s="325">
        <v>18.79</v>
      </c>
      <c r="J16" s="23">
        <f t="shared" si="0"/>
        <v>2.3756957372935195E-2</v>
      </c>
      <c r="K16" s="23">
        <f t="shared" si="1"/>
        <v>0</v>
      </c>
      <c r="L16" s="326">
        <v>747894697.69000006</v>
      </c>
      <c r="M16" s="325">
        <v>18.79</v>
      </c>
      <c r="N16" s="23">
        <f t="shared" si="2"/>
        <v>-4.1833944230688846E-3</v>
      </c>
      <c r="O16" s="23">
        <f t="shared" si="3"/>
        <v>0</v>
      </c>
      <c r="P16" s="326">
        <v>771566534.01999998</v>
      </c>
      <c r="Q16" s="325">
        <v>19.760000000000002</v>
      </c>
      <c r="R16" s="23">
        <f t="shared" si="4"/>
        <v>3.1651295834981066E-2</v>
      </c>
      <c r="S16" s="23">
        <f t="shared" si="5"/>
        <v>5.1623203831825573E-2</v>
      </c>
      <c r="T16" s="326">
        <v>821104735.62</v>
      </c>
      <c r="U16" s="325">
        <v>19.760000000000002</v>
      </c>
      <c r="V16" s="23">
        <f t="shared" si="6"/>
        <v>6.420470486439725E-2</v>
      </c>
      <c r="W16" s="23">
        <f t="shared" si="7"/>
        <v>0</v>
      </c>
      <c r="X16" s="326">
        <v>848881786.79999995</v>
      </c>
      <c r="Y16" s="325">
        <v>21.75</v>
      </c>
      <c r="Z16" s="23">
        <f t="shared" si="8"/>
        <v>3.3828877090845227E-2</v>
      </c>
      <c r="AA16" s="23">
        <f t="shared" si="9"/>
        <v>0.10070850202429141</v>
      </c>
      <c r="AB16" s="326">
        <v>939005677.60000002</v>
      </c>
      <c r="AC16" s="325">
        <v>24.13</v>
      </c>
      <c r="AD16" s="23">
        <f t="shared" si="10"/>
        <v>0.10616777530324564</v>
      </c>
      <c r="AE16" s="23">
        <f t="shared" si="11"/>
        <v>0.10942528735632179</v>
      </c>
      <c r="AF16" s="326">
        <v>931787865.08000004</v>
      </c>
      <c r="AG16" s="325">
        <v>23.89</v>
      </c>
      <c r="AH16" s="23">
        <f t="shared" si="12"/>
        <v>-7.6866548224159333E-3</v>
      </c>
      <c r="AI16" s="23">
        <f t="shared" si="13"/>
        <v>-9.9461251554081413E-3</v>
      </c>
      <c r="AJ16" s="24">
        <f t="shared" si="14"/>
        <v>3.2302273170895138E-2</v>
      </c>
      <c r="AK16" s="24">
        <f t="shared" si="15"/>
        <v>3.0159876147992443E-2</v>
      </c>
      <c r="AL16" s="25">
        <f t="shared" si="16"/>
        <v>0.27014360573520135</v>
      </c>
      <c r="AM16" s="25">
        <f t="shared" si="17"/>
        <v>0.27142096860031939</v>
      </c>
      <c r="AN16" s="466">
        <f t="shared" si="18"/>
        <v>3.7697204832535282E-2</v>
      </c>
      <c r="AO16" s="467">
        <f t="shared" si="19"/>
        <v>5.0304716464028801E-2</v>
      </c>
      <c r="AP16" s="30"/>
      <c r="AQ16" s="28"/>
      <c r="AR16" s="28"/>
      <c r="AS16" s="29"/>
      <c r="AT16" s="29"/>
    </row>
    <row r="17" spans="1:46" s="370" customFormat="1" ht="12.75" customHeight="1">
      <c r="A17" s="203" t="s">
        <v>67</v>
      </c>
      <c r="B17" s="326">
        <v>352597487.56</v>
      </c>
      <c r="C17" s="325">
        <v>3520.07</v>
      </c>
      <c r="D17" s="326">
        <v>360902095.77999997</v>
      </c>
      <c r="E17" s="325">
        <v>3602.14</v>
      </c>
      <c r="F17" s="23">
        <f>((D17-B17)/B17)</f>
        <v>2.3552658521387819E-2</v>
      </c>
      <c r="G17" s="23">
        <f>((E17-C17)/C17)</f>
        <v>2.3314877260963478E-2</v>
      </c>
      <c r="H17" s="326">
        <v>359827802.38</v>
      </c>
      <c r="I17" s="325">
        <v>3591.3</v>
      </c>
      <c r="J17" s="23">
        <f t="shared" si="0"/>
        <v>-2.9766892810033662E-3</v>
      </c>
      <c r="K17" s="23">
        <f t="shared" si="1"/>
        <v>-3.0093222362261576E-3</v>
      </c>
      <c r="L17" s="326">
        <v>362595207.16000003</v>
      </c>
      <c r="M17" s="325">
        <v>3618.89</v>
      </c>
      <c r="N17" s="23">
        <f t="shared" si="2"/>
        <v>7.6909142698136585E-3</v>
      </c>
      <c r="O17" s="23">
        <f t="shared" si="3"/>
        <v>7.6824548213737893E-3</v>
      </c>
      <c r="P17" s="326">
        <v>357013099.50999999</v>
      </c>
      <c r="Q17" s="325">
        <v>3762.39</v>
      </c>
      <c r="R17" s="23">
        <f t="shared" si="4"/>
        <v>-1.5394874338581247E-2</v>
      </c>
      <c r="S17" s="23">
        <f t="shared" si="5"/>
        <v>3.9653042783837036E-2</v>
      </c>
      <c r="T17" s="326">
        <v>374241686.24000001</v>
      </c>
      <c r="U17" s="325">
        <v>3944.29</v>
      </c>
      <c r="V17" s="23">
        <f t="shared" si="6"/>
        <v>4.8257575852668239E-2</v>
      </c>
      <c r="W17" s="23">
        <f t="shared" si="7"/>
        <v>4.8346928415182927E-2</v>
      </c>
      <c r="X17" s="326">
        <v>377264083.42000002</v>
      </c>
      <c r="Y17" s="325">
        <v>3976.39</v>
      </c>
      <c r="Z17" s="23">
        <f t="shared" si="8"/>
        <v>8.0760569736791788E-3</v>
      </c>
      <c r="AA17" s="23">
        <f t="shared" si="9"/>
        <v>8.1383468254108866E-3</v>
      </c>
      <c r="AB17" s="326">
        <v>411312309.70999998</v>
      </c>
      <c r="AC17" s="325">
        <v>4335.5600000000004</v>
      </c>
      <c r="AD17" s="23">
        <f t="shared" si="10"/>
        <v>9.0250378412234919E-2</v>
      </c>
      <c r="AE17" s="23">
        <f t="shared" si="11"/>
        <v>9.0325647132197928E-2</v>
      </c>
      <c r="AF17" s="326">
        <v>426515600.54000002</v>
      </c>
      <c r="AG17" s="325">
        <v>4316.53</v>
      </c>
      <c r="AH17" s="23">
        <f t="shared" si="12"/>
        <v>3.6962887983389751E-2</v>
      </c>
      <c r="AI17" s="23">
        <f t="shared" si="13"/>
        <v>-4.3892830453276287E-3</v>
      </c>
      <c r="AJ17" s="24">
        <f t="shared" si="14"/>
        <v>2.4552363549198618E-2</v>
      </c>
      <c r="AK17" s="24">
        <f t="shared" si="15"/>
        <v>2.6257836494676532E-2</v>
      </c>
      <c r="AL17" s="25">
        <f t="shared" si="16"/>
        <v>0.18180416663470131</v>
      </c>
      <c r="AM17" s="25">
        <f t="shared" si="17"/>
        <v>0.19832377420089167</v>
      </c>
      <c r="AN17" s="466">
        <f t="shared" si="18"/>
        <v>3.3684660538023825E-2</v>
      </c>
      <c r="AO17" s="467">
        <f t="shared" si="19"/>
        <v>3.2182244725049859E-2</v>
      </c>
      <c r="AP17" s="30"/>
      <c r="AQ17" s="28"/>
      <c r="AR17" s="28"/>
      <c r="AS17" s="29"/>
      <c r="AT17" s="29"/>
    </row>
    <row r="18" spans="1:46" s="86" customFormat="1" ht="12.75" customHeight="1">
      <c r="A18" s="202" t="s">
        <v>225</v>
      </c>
      <c r="B18" s="326">
        <v>7449446127.3000002</v>
      </c>
      <c r="C18" s="325">
        <v>12999.2</v>
      </c>
      <c r="D18" s="326">
        <v>7561137652.1700001</v>
      </c>
      <c r="E18" s="325">
        <v>13195.08</v>
      </c>
      <c r="F18" s="23">
        <f>((D18-B18)/B18)</f>
        <v>1.4993265668528528E-2</v>
      </c>
      <c r="G18" s="23">
        <f>((E18-C18)/C18)</f>
        <v>1.5068619607360391E-2</v>
      </c>
      <c r="H18" s="326">
        <v>7527063280.2200003</v>
      </c>
      <c r="I18" s="325">
        <v>13157.36</v>
      </c>
      <c r="J18" s="23">
        <f t="shared" si="0"/>
        <v>-4.5065139027353476E-3</v>
      </c>
      <c r="K18" s="23">
        <f t="shared" si="1"/>
        <v>-2.8586412511329485E-3</v>
      </c>
      <c r="L18" s="326">
        <v>7587944673.5</v>
      </c>
      <c r="M18" s="325">
        <v>13267.36</v>
      </c>
      <c r="N18" s="23">
        <f t="shared" si="2"/>
        <v>8.0883328615008396E-3</v>
      </c>
      <c r="O18" s="23">
        <f t="shared" si="3"/>
        <v>8.3603397642080177E-3</v>
      </c>
      <c r="P18" s="326">
        <v>7777595684.5600004</v>
      </c>
      <c r="Q18" s="325">
        <v>13602.44</v>
      </c>
      <c r="R18" s="23">
        <f t="shared" si="4"/>
        <v>2.4993726130125085E-2</v>
      </c>
      <c r="S18" s="23">
        <f t="shared" si="5"/>
        <v>2.5255966522352593E-2</v>
      </c>
      <c r="T18" s="326">
        <v>8187560089.1400003</v>
      </c>
      <c r="U18" s="325">
        <v>14313.25</v>
      </c>
      <c r="V18" s="23">
        <f t="shared" si="6"/>
        <v>5.2710943228105427E-2</v>
      </c>
      <c r="W18" s="23">
        <f t="shared" si="7"/>
        <v>5.225606582348457E-2</v>
      </c>
      <c r="X18" s="326">
        <v>8210277172.0100002</v>
      </c>
      <c r="Y18" s="325">
        <v>14347.53</v>
      </c>
      <c r="Z18" s="23">
        <f t="shared" si="8"/>
        <v>2.774585178328264E-3</v>
      </c>
      <c r="AA18" s="23">
        <f t="shared" si="9"/>
        <v>2.3949836689780906E-3</v>
      </c>
      <c r="AB18" s="326">
        <v>8793551066.7700005</v>
      </c>
      <c r="AC18" s="325">
        <v>15348.97</v>
      </c>
      <c r="AD18" s="23">
        <f t="shared" si="10"/>
        <v>7.104192496064124E-2</v>
      </c>
      <c r="AE18" s="23">
        <f t="shared" si="11"/>
        <v>6.9798773726209226E-2</v>
      </c>
      <c r="AF18" s="326">
        <v>8729913197.9699993</v>
      </c>
      <c r="AG18" s="325">
        <v>15317</v>
      </c>
      <c r="AH18" s="23">
        <f t="shared" si="12"/>
        <v>-7.2368794263881226E-3</v>
      </c>
      <c r="AI18" s="23">
        <f t="shared" si="13"/>
        <v>-2.0828759193613215E-3</v>
      </c>
      <c r="AJ18" s="24">
        <f t="shared" si="14"/>
        <v>2.0357423087263238E-2</v>
      </c>
      <c r="AK18" s="24">
        <f t="shared" si="15"/>
        <v>2.1024153992762324E-2</v>
      </c>
      <c r="AL18" s="25">
        <f t="shared" si="16"/>
        <v>0.15457667874417916</v>
      </c>
      <c r="AM18" s="25">
        <f t="shared" si="17"/>
        <v>0.16081145396617527</v>
      </c>
      <c r="AN18" s="466">
        <f t="shared" si="18"/>
        <v>2.8044062636531364E-2</v>
      </c>
      <c r="AO18" s="467">
        <f t="shared" si="19"/>
        <v>2.677822514025464E-2</v>
      </c>
      <c r="AP18" s="30"/>
      <c r="AQ18" s="28"/>
      <c r="AR18" s="28"/>
      <c r="AS18" s="29"/>
      <c r="AT18" s="29"/>
    </row>
    <row r="19" spans="1:46" s="108" customFormat="1" ht="12.75" customHeight="1">
      <c r="A19" s="202" t="s">
        <v>245</v>
      </c>
      <c r="B19" s="74">
        <v>58043001.25</v>
      </c>
      <c r="C19" s="325">
        <v>110.4457</v>
      </c>
      <c r="D19" s="74">
        <v>58755040</v>
      </c>
      <c r="E19" s="325">
        <v>111.5488</v>
      </c>
      <c r="F19" s="23">
        <f>((D19-B19)/B19)</f>
        <v>1.2267435085466053E-2</v>
      </c>
      <c r="G19" s="23">
        <f>((E19-C19)/C19)</f>
        <v>9.9877134193544683E-3</v>
      </c>
      <c r="H19" s="74">
        <v>58830040.659999996</v>
      </c>
      <c r="I19" s="325">
        <v>111.6998</v>
      </c>
      <c r="J19" s="23">
        <f t="shared" si="0"/>
        <v>1.2764974715359981E-3</v>
      </c>
      <c r="K19" s="23">
        <f t="shared" si="1"/>
        <v>1.3536676324621712E-3</v>
      </c>
      <c r="L19" s="74">
        <v>59586982.670000002</v>
      </c>
      <c r="M19" s="325">
        <v>113.1404</v>
      </c>
      <c r="N19" s="23">
        <f t="shared" si="2"/>
        <v>1.2866589951461125E-2</v>
      </c>
      <c r="O19" s="23">
        <f t="shared" si="3"/>
        <v>1.2897068750346944E-2</v>
      </c>
      <c r="P19" s="74">
        <v>60471101.140000001</v>
      </c>
      <c r="Q19" s="325">
        <v>114.6515</v>
      </c>
      <c r="R19" s="23">
        <f t="shared" si="4"/>
        <v>1.4837443186146125E-2</v>
      </c>
      <c r="S19" s="23">
        <f t="shared" si="5"/>
        <v>1.3355971872116406E-2</v>
      </c>
      <c r="T19" s="74">
        <v>63131251.880000003</v>
      </c>
      <c r="U19" s="325">
        <v>118.4969</v>
      </c>
      <c r="V19" s="23">
        <f t="shared" si="6"/>
        <v>4.3990446508346846E-2</v>
      </c>
      <c r="W19" s="23">
        <f t="shared" si="7"/>
        <v>3.3539901353231295E-2</v>
      </c>
      <c r="X19" s="74">
        <v>63016916.469999999</v>
      </c>
      <c r="Y19" s="325">
        <v>118.2435</v>
      </c>
      <c r="Z19" s="23">
        <f t="shared" si="8"/>
        <v>-1.8110746515423587E-3</v>
      </c>
      <c r="AA19" s="23">
        <f t="shared" si="9"/>
        <v>-2.138452567113563E-3</v>
      </c>
      <c r="AB19" s="74">
        <v>66210201.329999998</v>
      </c>
      <c r="AC19" s="325">
        <v>124.14879999999999</v>
      </c>
      <c r="AD19" s="23">
        <f t="shared" si="10"/>
        <v>5.0673454667052822E-2</v>
      </c>
      <c r="AE19" s="23">
        <f t="shared" si="11"/>
        <v>4.9941857269109907E-2</v>
      </c>
      <c r="AF19" s="74">
        <v>66054241.280000001</v>
      </c>
      <c r="AG19" s="325">
        <v>123.6105</v>
      </c>
      <c r="AH19" s="23">
        <f t="shared" si="12"/>
        <v>-2.3555290101395774E-3</v>
      </c>
      <c r="AI19" s="23">
        <f t="shared" si="13"/>
        <v>-4.3359259211526203E-3</v>
      </c>
      <c r="AJ19" s="24">
        <f t="shared" si="14"/>
        <v>1.6468157901040878E-2</v>
      </c>
      <c r="AK19" s="24">
        <f t="shared" si="15"/>
        <v>1.4325225226044376E-2</v>
      </c>
      <c r="AL19" s="25">
        <f t="shared" si="16"/>
        <v>0.12423106647531856</v>
      </c>
      <c r="AM19" s="25">
        <f t="shared" si="17"/>
        <v>0.10812935683754556</v>
      </c>
      <c r="AN19" s="466">
        <f t="shared" si="18"/>
        <v>2.0283713979558811E-2</v>
      </c>
      <c r="AO19" s="467">
        <f t="shared" si="19"/>
        <v>1.8697188113415929E-2</v>
      </c>
      <c r="AP19" s="30"/>
      <c r="AQ19" s="28"/>
      <c r="AR19" s="28"/>
      <c r="AS19" s="29"/>
      <c r="AT19" s="29"/>
    </row>
    <row r="20" spans="1:46" s="302" customFormat="1" ht="12.75" customHeight="1">
      <c r="A20" s="202" t="s">
        <v>75</v>
      </c>
      <c r="B20" s="325">
        <v>2004917093.0599999</v>
      </c>
      <c r="C20" s="310">
        <v>1.0557000000000001</v>
      </c>
      <c r="D20" s="325">
        <v>1994889341.1199999</v>
      </c>
      <c r="E20" s="310">
        <v>1.0508999999999999</v>
      </c>
      <c r="F20" s="23">
        <f>((D20-B20)/B20)</f>
        <v>-5.0015793544336664E-3</v>
      </c>
      <c r="G20" s="23">
        <f>((E20-C20)/C20)</f>
        <v>-4.5467462347259045E-3</v>
      </c>
      <c r="H20" s="325">
        <v>1986065591.46</v>
      </c>
      <c r="I20" s="310">
        <v>1.0337000000000001</v>
      </c>
      <c r="J20" s="23">
        <f t="shared" si="0"/>
        <v>-4.4231775056985815E-3</v>
      </c>
      <c r="K20" s="23">
        <f t="shared" si="1"/>
        <v>-1.6366923589304295E-2</v>
      </c>
      <c r="L20" s="325">
        <v>1980421530.45</v>
      </c>
      <c r="M20" s="310">
        <v>1.028</v>
      </c>
      <c r="N20" s="23">
        <f t="shared" si="2"/>
        <v>-2.8418301159182351E-3</v>
      </c>
      <c r="O20" s="23">
        <f t="shared" si="3"/>
        <v>-5.5141723904421382E-3</v>
      </c>
      <c r="P20" s="325">
        <v>2010374160.3099999</v>
      </c>
      <c r="Q20" s="310">
        <v>1.0426</v>
      </c>
      <c r="R20" s="23">
        <f t="shared" si="4"/>
        <v>1.5124370948034446E-2</v>
      </c>
      <c r="S20" s="23">
        <f t="shared" si="5"/>
        <v>1.4202334630350142E-2</v>
      </c>
      <c r="T20" s="325">
        <v>2347537446.5300002</v>
      </c>
      <c r="U20" s="310">
        <v>1.1678999999999999</v>
      </c>
      <c r="V20" s="23">
        <f t="shared" si="6"/>
        <v>0.16771170903231747</v>
      </c>
      <c r="W20" s="23">
        <f t="shared" si="7"/>
        <v>0.12018031843468249</v>
      </c>
      <c r="X20" s="325">
        <v>2358631076.48</v>
      </c>
      <c r="Y20" s="310">
        <v>1.1733</v>
      </c>
      <c r="Z20" s="23">
        <f t="shared" si="8"/>
        <v>4.7256455765584482E-3</v>
      </c>
      <c r="AA20" s="23">
        <f t="shared" si="9"/>
        <v>4.623683534549252E-3</v>
      </c>
      <c r="AB20" s="325">
        <v>2487063727.7800002</v>
      </c>
      <c r="AC20" s="310">
        <v>1.2363999999999999</v>
      </c>
      <c r="AD20" s="23">
        <f t="shared" si="10"/>
        <v>5.445220008364849E-2</v>
      </c>
      <c r="AE20" s="23">
        <f t="shared" si="11"/>
        <v>5.3779936930026362E-2</v>
      </c>
      <c r="AF20" s="325">
        <v>2689717869.4099998</v>
      </c>
      <c r="AG20" s="310">
        <v>1.1746000000000001</v>
      </c>
      <c r="AH20" s="23">
        <f t="shared" si="12"/>
        <v>8.1483292674165819E-2</v>
      </c>
      <c r="AI20" s="23">
        <f t="shared" si="13"/>
        <v>-4.9983824005176203E-2</v>
      </c>
      <c r="AJ20" s="24">
        <f t="shared" si="14"/>
        <v>3.8903828917334272E-2</v>
      </c>
      <c r="AK20" s="24">
        <f t="shared" si="15"/>
        <v>1.4546825913744964E-2</v>
      </c>
      <c r="AL20" s="25">
        <f t="shared" si="16"/>
        <v>0.34830429636758659</v>
      </c>
      <c r="AM20" s="25">
        <f t="shared" si="17"/>
        <v>0.11770863069749753</v>
      </c>
      <c r="AN20" s="466">
        <f t="shared" si="18"/>
        <v>6.0859859873157778E-2</v>
      </c>
      <c r="AO20" s="467">
        <f t="shared" si="19"/>
        <v>5.1662547927811643E-2</v>
      </c>
      <c r="AP20" s="30"/>
      <c r="AQ20" s="28"/>
      <c r="AR20" s="28"/>
      <c r="AS20" s="29"/>
      <c r="AT20" s="29"/>
    </row>
    <row r="21" spans="1:46">
      <c r="A21" s="204" t="s">
        <v>42</v>
      </c>
      <c r="B21" s="70">
        <f>SUM(B5:B20)</f>
        <v>16794813036.269999</v>
      </c>
      <c r="C21" s="85"/>
      <c r="D21" s="70">
        <f>SUM(D5:D20)</f>
        <v>16995023834.23</v>
      </c>
      <c r="E21" s="85"/>
      <c r="F21" s="23">
        <f>((D21-B21)/B21)</f>
        <v>1.1920989982301481E-2</v>
      </c>
      <c r="G21" s="23"/>
      <c r="H21" s="70">
        <f>SUM(H5:H20)</f>
        <v>16966112297.950001</v>
      </c>
      <c r="I21" s="85"/>
      <c r="J21" s="23">
        <f>((H21-D21)/D21)</f>
        <v>-1.7011765656819795E-3</v>
      </c>
      <c r="K21" s="23"/>
      <c r="L21" s="70">
        <f>SUM(L5:L20)</f>
        <v>17079628906.380001</v>
      </c>
      <c r="M21" s="85"/>
      <c r="N21" s="23">
        <f>((L21-H21)/H21)</f>
        <v>6.6907849268283111E-3</v>
      </c>
      <c r="O21" s="23"/>
      <c r="P21" s="70">
        <f>SUM(P5:P20)</f>
        <v>17454929325.300003</v>
      </c>
      <c r="Q21" s="85"/>
      <c r="R21" s="23">
        <f>((P21-L21)/L21)</f>
        <v>2.1973569857821125E-2</v>
      </c>
      <c r="S21" s="23"/>
      <c r="T21" s="70">
        <f>SUM(T5:T20)</f>
        <v>18617819180.259998</v>
      </c>
      <c r="U21" s="85"/>
      <c r="V21" s="23">
        <f>((T21-P21)/P21)</f>
        <v>6.6622432740214399E-2</v>
      </c>
      <c r="W21" s="23"/>
      <c r="X21" s="70">
        <f>SUM(X5:X20)</f>
        <v>18707350348.630001</v>
      </c>
      <c r="Y21" s="85"/>
      <c r="Z21" s="23">
        <f>((X21-T21)/T21)</f>
        <v>4.8088966544980937E-3</v>
      </c>
      <c r="AA21" s="23"/>
      <c r="AB21" s="70">
        <f>SUM(AB5:AB20)</f>
        <v>20030863173.209999</v>
      </c>
      <c r="AC21" s="85"/>
      <c r="AD21" s="23">
        <f>((AB21-X21)/X21)</f>
        <v>7.0748278078670984E-2</v>
      </c>
      <c r="AE21" s="23"/>
      <c r="AF21" s="70">
        <f>SUM(AF5:AF20)</f>
        <v>20288689104.509998</v>
      </c>
      <c r="AG21" s="85"/>
      <c r="AH21" s="23">
        <f>((AF21-AB21)/AB21)</f>
        <v>1.2871433900303656E-2</v>
      </c>
      <c r="AI21" s="23"/>
      <c r="AJ21" s="24">
        <f t="shared" si="14"/>
        <v>2.424190119686951E-2</v>
      </c>
      <c r="AK21" s="24"/>
      <c r="AL21" s="25">
        <f t="shared" si="16"/>
        <v>0.19380174469930223</v>
      </c>
      <c r="AM21" s="25"/>
      <c r="AN21" s="466">
        <f t="shared" si="18"/>
        <v>2.8294161141716619E-2</v>
      </c>
      <c r="AO21" s="467"/>
      <c r="AP21" s="30"/>
      <c r="AQ21" s="40">
        <f>SUM(AQ5:AQ20)</f>
        <v>13401593384.119999</v>
      </c>
      <c r="AR21" s="41"/>
      <c r="AS21" s="29" t="e">
        <f>(#REF!/AQ21)-1</f>
        <v>#REF!</v>
      </c>
      <c r="AT21" s="29" t="e">
        <f>(#REF!/AR21)-1</f>
        <v>#REF!</v>
      </c>
    </row>
    <row r="22" spans="1:46" s="108" customFormat="1" ht="6" customHeight="1">
      <c r="A22" s="204"/>
      <c r="B22" s="85"/>
      <c r="C22" s="85"/>
      <c r="D22" s="85"/>
      <c r="E22" s="85"/>
      <c r="F22" s="23"/>
      <c r="G22" s="23"/>
      <c r="H22" s="85"/>
      <c r="I22" s="85"/>
      <c r="J22" s="23"/>
      <c r="K22" s="23"/>
      <c r="L22" s="85"/>
      <c r="M22" s="85"/>
      <c r="N22" s="23"/>
      <c r="O22" s="23"/>
      <c r="P22" s="85"/>
      <c r="Q22" s="85"/>
      <c r="R22" s="23"/>
      <c r="S22" s="23"/>
      <c r="T22" s="85"/>
      <c r="U22" s="85"/>
      <c r="V22" s="23"/>
      <c r="W22" s="23"/>
      <c r="X22" s="85"/>
      <c r="Y22" s="85"/>
      <c r="Z22" s="23"/>
      <c r="AA22" s="23"/>
      <c r="AB22" s="85"/>
      <c r="AC22" s="85"/>
      <c r="AD22" s="23"/>
      <c r="AE22" s="23"/>
      <c r="AF22" s="85"/>
      <c r="AG22" s="85"/>
      <c r="AH22" s="23"/>
      <c r="AI22" s="23"/>
      <c r="AJ22" s="24"/>
      <c r="AK22" s="24"/>
      <c r="AL22" s="25"/>
      <c r="AM22" s="25"/>
      <c r="AN22" s="466"/>
      <c r="AO22" s="467"/>
      <c r="AP22" s="30"/>
      <c r="AQ22" s="40"/>
      <c r="AR22" s="41"/>
      <c r="AS22" s="29"/>
      <c r="AT22" s="29"/>
    </row>
    <row r="23" spans="1:46">
      <c r="A23" s="201" t="s">
        <v>44</v>
      </c>
      <c r="B23" s="85"/>
      <c r="C23" s="85"/>
      <c r="D23" s="85"/>
      <c r="E23" s="85"/>
      <c r="F23" s="23"/>
      <c r="G23" s="23"/>
      <c r="H23" s="85"/>
      <c r="I23" s="85"/>
      <c r="J23" s="23"/>
      <c r="K23" s="23"/>
      <c r="L23" s="85"/>
      <c r="M23" s="85"/>
      <c r="N23" s="23"/>
      <c r="O23" s="23"/>
      <c r="P23" s="85"/>
      <c r="Q23" s="85"/>
      <c r="R23" s="23"/>
      <c r="S23" s="23"/>
      <c r="T23" s="85"/>
      <c r="U23" s="85"/>
      <c r="V23" s="23"/>
      <c r="W23" s="23"/>
      <c r="X23" s="85"/>
      <c r="Y23" s="85"/>
      <c r="Z23" s="23"/>
      <c r="AA23" s="23"/>
      <c r="AB23" s="85"/>
      <c r="AC23" s="85"/>
      <c r="AD23" s="23"/>
      <c r="AE23" s="23"/>
      <c r="AF23" s="85"/>
      <c r="AG23" s="85"/>
      <c r="AH23" s="23"/>
      <c r="AI23" s="23"/>
      <c r="AJ23" s="24"/>
      <c r="AK23" s="24"/>
      <c r="AL23" s="25"/>
      <c r="AM23" s="25"/>
      <c r="AN23" s="466"/>
      <c r="AO23" s="467"/>
      <c r="AP23" s="30"/>
      <c r="AQ23" s="40"/>
      <c r="AR23" s="13"/>
      <c r="AS23" s="29" t="e">
        <f>(#REF!/AQ23)-1</f>
        <v>#REF!</v>
      </c>
      <c r="AT23" s="29" t="e">
        <f>(#REF!/AR23)-1</f>
        <v>#REF!</v>
      </c>
    </row>
    <row r="24" spans="1:46">
      <c r="A24" s="202" t="s">
        <v>115</v>
      </c>
      <c r="B24" s="321">
        <v>757578529.94000006</v>
      </c>
      <c r="C24" s="310">
        <v>100</v>
      </c>
      <c r="D24" s="321">
        <v>773424588.75</v>
      </c>
      <c r="E24" s="310">
        <v>100</v>
      </c>
      <c r="F24" s="23">
        <f>((D24-B24)/B24)</f>
        <v>2.0916721084024047E-2</v>
      </c>
      <c r="G24" s="23">
        <f>((E24-C24)/C24)</f>
        <v>0</v>
      </c>
      <c r="H24" s="321">
        <v>780586901.72000003</v>
      </c>
      <c r="I24" s="310">
        <v>100</v>
      </c>
      <c r="J24" s="23">
        <f t="shared" ref="J24:J52" si="32">((H24-D24)/D24)</f>
        <v>9.2605188329681586E-3</v>
      </c>
      <c r="K24" s="23">
        <f t="shared" ref="K24:K52" si="33">((I24-E24)/E24)</f>
        <v>0</v>
      </c>
      <c r="L24" s="321">
        <v>789021220.91999996</v>
      </c>
      <c r="M24" s="310">
        <v>100</v>
      </c>
      <c r="N24" s="23">
        <f t="shared" ref="N24:N52" si="34">((L24-H24)/H24)</f>
        <v>1.0805099574967447E-2</v>
      </c>
      <c r="O24" s="23">
        <f t="shared" ref="O24:O52" si="35">((M24-I24)/I24)</f>
        <v>0</v>
      </c>
      <c r="P24" s="321">
        <v>786489186.38999999</v>
      </c>
      <c r="Q24" s="310">
        <v>100</v>
      </c>
      <c r="R24" s="23">
        <f t="shared" ref="R24:R52" si="36">((P24-L24)/L24)</f>
        <v>-3.2090829281468695E-3</v>
      </c>
      <c r="S24" s="23">
        <f t="shared" ref="S24:S52" si="37">((Q24-M24)/M24)</f>
        <v>0</v>
      </c>
      <c r="T24" s="321">
        <v>800765159.13</v>
      </c>
      <c r="U24" s="310">
        <v>100</v>
      </c>
      <c r="V24" s="23">
        <f t="shared" ref="V24:V52" si="38">((T24-P24)/P24)</f>
        <v>1.8151518148045991E-2</v>
      </c>
      <c r="W24" s="23">
        <f t="shared" ref="W24:W52" si="39">((U24-Q24)/Q24)</f>
        <v>0</v>
      </c>
      <c r="X24" s="321">
        <v>808965989.36000001</v>
      </c>
      <c r="Y24" s="310">
        <v>100</v>
      </c>
      <c r="Z24" s="23">
        <f t="shared" ref="Z24:Z52" si="40">((X24-T24)/T24)</f>
        <v>1.0241242562188771E-2</v>
      </c>
      <c r="AA24" s="23">
        <f t="shared" ref="AA24:AA52" si="41">((Y24-U24)/U24)</f>
        <v>0</v>
      </c>
      <c r="AB24" s="321">
        <v>817828258.86000001</v>
      </c>
      <c r="AC24" s="310">
        <v>100</v>
      </c>
      <c r="AD24" s="23">
        <f t="shared" ref="AD24:AD52" si="42">((AB24-X24)/X24)</f>
        <v>1.0955058205860096E-2</v>
      </c>
      <c r="AE24" s="23">
        <f t="shared" ref="AE24:AE52" si="43">((AC24-Y24)/Y24)</f>
        <v>0</v>
      </c>
      <c r="AF24" s="321">
        <v>818463836.38</v>
      </c>
      <c r="AG24" s="310">
        <v>100</v>
      </c>
      <c r="AH24" s="23">
        <f t="shared" ref="AH24:AH52" si="44">((AF24-AB24)/AB24)</f>
        <v>7.7715279841997036E-4</v>
      </c>
      <c r="AI24" s="23">
        <f t="shared" ref="AI24:AI52" si="45">((AG24-AC24)/AC24)</f>
        <v>0</v>
      </c>
      <c r="AJ24" s="24">
        <f t="shared" si="14"/>
        <v>9.7372785347909514E-3</v>
      </c>
      <c r="AK24" s="24">
        <f t="shared" si="15"/>
        <v>0</v>
      </c>
      <c r="AL24" s="25">
        <f t="shared" si="16"/>
        <v>5.8233534704129224E-2</v>
      </c>
      <c r="AM24" s="25">
        <f t="shared" si="17"/>
        <v>0</v>
      </c>
      <c r="AN24" s="466">
        <f t="shared" si="18"/>
        <v>7.9890639624855663E-3</v>
      </c>
      <c r="AO24" s="467">
        <f t="shared" si="19"/>
        <v>0</v>
      </c>
      <c r="AP24" s="30"/>
      <c r="AQ24" s="28">
        <v>56630718400</v>
      </c>
      <c r="AR24" s="42">
        <v>100</v>
      </c>
      <c r="AS24" s="29" t="e">
        <f>(#REF!/AQ24)-1</f>
        <v>#REF!</v>
      </c>
      <c r="AT24" s="29" t="e">
        <f>(#REF!/AR24)-1</f>
        <v>#REF!</v>
      </c>
    </row>
    <row r="25" spans="1:46">
      <c r="A25" s="202" t="s">
        <v>37</v>
      </c>
      <c r="B25" s="321">
        <v>2909772089.7399998</v>
      </c>
      <c r="C25" s="310">
        <v>100</v>
      </c>
      <c r="D25" s="321">
        <v>2977946608.1900001</v>
      </c>
      <c r="E25" s="310">
        <v>100</v>
      </c>
      <c r="F25" s="23">
        <f>((D25-B25)/B25)</f>
        <v>2.3429504561675814E-2</v>
      </c>
      <c r="G25" s="23">
        <f>((E25-C25)/C25)</f>
        <v>0</v>
      </c>
      <c r="H25" s="321">
        <v>3119190246.1599998</v>
      </c>
      <c r="I25" s="310">
        <v>100</v>
      </c>
      <c r="J25" s="23">
        <f t="shared" si="32"/>
        <v>4.7429875868677127E-2</v>
      </c>
      <c r="K25" s="23">
        <f t="shared" si="33"/>
        <v>0</v>
      </c>
      <c r="L25" s="321">
        <v>3181722069.02</v>
      </c>
      <c r="M25" s="310">
        <v>100</v>
      </c>
      <c r="N25" s="23">
        <f t="shared" si="34"/>
        <v>2.0047453962445016E-2</v>
      </c>
      <c r="O25" s="23">
        <f t="shared" si="35"/>
        <v>0</v>
      </c>
      <c r="P25" s="321">
        <v>3167908881.52</v>
      </c>
      <c r="Q25" s="310">
        <v>100</v>
      </c>
      <c r="R25" s="23">
        <f t="shared" si="36"/>
        <v>-4.3414186407094288E-3</v>
      </c>
      <c r="S25" s="23">
        <f t="shared" si="37"/>
        <v>0</v>
      </c>
      <c r="T25" s="321">
        <v>3238541939.1399999</v>
      </c>
      <c r="U25" s="310">
        <v>100</v>
      </c>
      <c r="V25" s="23">
        <f t="shared" si="38"/>
        <v>2.2296429683327668E-2</v>
      </c>
      <c r="W25" s="23">
        <f t="shared" si="39"/>
        <v>0</v>
      </c>
      <c r="X25" s="321">
        <v>3313072792.2199998</v>
      </c>
      <c r="Y25" s="310">
        <v>100</v>
      </c>
      <c r="Z25" s="23">
        <f t="shared" si="40"/>
        <v>2.3013706316179963E-2</v>
      </c>
      <c r="AA25" s="23">
        <f t="shared" si="41"/>
        <v>0</v>
      </c>
      <c r="AB25" s="321">
        <v>3317545180.6999998</v>
      </c>
      <c r="AC25" s="310">
        <v>100</v>
      </c>
      <c r="AD25" s="23">
        <f t="shared" si="42"/>
        <v>1.3499215865411739E-3</v>
      </c>
      <c r="AE25" s="23">
        <f t="shared" si="43"/>
        <v>0</v>
      </c>
      <c r="AF25" s="321">
        <v>3329801705.5900002</v>
      </c>
      <c r="AG25" s="310">
        <v>100</v>
      </c>
      <c r="AH25" s="23">
        <f t="shared" si="44"/>
        <v>3.694456057841607E-3</v>
      </c>
      <c r="AI25" s="23">
        <f t="shared" si="45"/>
        <v>0</v>
      </c>
      <c r="AJ25" s="24">
        <f t="shared" si="14"/>
        <v>1.7114991174497367E-2</v>
      </c>
      <c r="AK25" s="24">
        <f t="shared" si="15"/>
        <v>0</v>
      </c>
      <c r="AL25" s="25">
        <f t="shared" si="16"/>
        <v>0.11815359497457817</v>
      </c>
      <c r="AM25" s="25">
        <f t="shared" si="17"/>
        <v>0</v>
      </c>
      <c r="AN25" s="466">
        <f t="shared" si="18"/>
        <v>1.6553517109118131E-2</v>
      </c>
      <c r="AO25" s="467">
        <f t="shared" si="19"/>
        <v>0</v>
      </c>
      <c r="AP25" s="30"/>
      <c r="AQ25" s="28">
        <v>366113097.69999999</v>
      </c>
      <c r="AR25" s="32">
        <v>1.1357999999999999</v>
      </c>
      <c r="AS25" s="29" t="e">
        <f>(#REF!/AQ25)-1</f>
        <v>#REF!</v>
      </c>
      <c r="AT25" s="29" t="e">
        <f>(#REF!/AR25)-1</f>
        <v>#REF!</v>
      </c>
    </row>
    <row r="26" spans="1:46">
      <c r="A26" s="202" t="s">
        <v>139</v>
      </c>
      <c r="B26" s="321">
        <v>440703789.61000001</v>
      </c>
      <c r="C26" s="310">
        <v>100</v>
      </c>
      <c r="D26" s="321">
        <v>445987014.75</v>
      </c>
      <c r="E26" s="310">
        <v>100</v>
      </c>
      <c r="F26" s="23">
        <f>((D26-B26)/B26)</f>
        <v>1.1988154548603646E-2</v>
      </c>
      <c r="G26" s="23">
        <f>((E26-C26)/C26)</f>
        <v>0</v>
      </c>
      <c r="H26" s="321">
        <v>455989204.56</v>
      </c>
      <c r="I26" s="310">
        <v>100</v>
      </c>
      <c r="J26" s="23">
        <f t="shared" si="32"/>
        <v>2.2427087514211089E-2</v>
      </c>
      <c r="K26" s="23">
        <f t="shared" si="33"/>
        <v>0</v>
      </c>
      <c r="L26" s="321">
        <v>466329515.66000003</v>
      </c>
      <c r="M26" s="310">
        <v>100</v>
      </c>
      <c r="N26" s="23">
        <f t="shared" si="34"/>
        <v>2.2676657685301461E-2</v>
      </c>
      <c r="O26" s="23">
        <f t="shared" si="35"/>
        <v>0</v>
      </c>
      <c r="P26" s="321">
        <v>476151433.67000002</v>
      </c>
      <c r="Q26" s="310">
        <v>100</v>
      </c>
      <c r="R26" s="23">
        <f t="shared" si="36"/>
        <v>2.1062183885356148E-2</v>
      </c>
      <c r="S26" s="23">
        <f t="shared" si="37"/>
        <v>0</v>
      </c>
      <c r="T26" s="321">
        <v>482370119.82999998</v>
      </c>
      <c r="U26" s="310">
        <v>100</v>
      </c>
      <c r="V26" s="23">
        <f t="shared" si="38"/>
        <v>1.3060311741725993E-2</v>
      </c>
      <c r="W26" s="23">
        <f t="shared" si="39"/>
        <v>0</v>
      </c>
      <c r="X26" s="321">
        <v>510583469.42000002</v>
      </c>
      <c r="Y26" s="310">
        <v>100</v>
      </c>
      <c r="Z26" s="23">
        <f t="shared" si="40"/>
        <v>5.8489007569422345E-2</v>
      </c>
      <c r="AA26" s="23">
        <f t="shared" si="41"/>
        <v>0</v>
      </c>
      <c r="AB26" s="321">
        <v>493551899.81</v>
      </c>
      <c r="AC26" s="310">
        <v>100</v>
      </c>
      <c r="AD26" s="23">
        <f t="shared" si="42"/>
        <v>-3.3357072114667395E-2</v>
      </c>
      <c r="AE26" s="23">
        <f t="shared" si="43"/>
        <v>0</v>
      </c>
      <c r="AF26" s="321">
        <v>485018923.54000002</v>
      </c>
      <c r="AG26" s="310">
        <v>100</v>
      </c>
      <c r="AH26" s="23">
        <f t="shared" si="44"/>
        <v>-1.7288913837197009E-2</v>
      </c>
      <c r="AI26" s="23">
        <f t="shared" si="45"/>
        <v>0</v>
      </c>
      <c r="AJ26" s="24">
        <f t="shared" si="14"/>
        <v>1.2382177124094533E-2</v>
      </c>
      <c r="AK26" s="24">
        <f t="shared" si="15"/>
        <v>0</v>
      </c>
      <c r="AL26" s="25">
        <f t="shared" si="16"/>
        <v>8.751803864038403E-2</v>
      </c>
      <c r="AM26" s="25">
        <f t="shared" si="17"/>
        <v>0</v>
      </c>
      <c r="AN26" s="466">
        <f t="shared" si="18"/>
        <v>2.7726023273577531E-2</v>
      </c>
      <c r="AO26" s="467">
        <f t="shared" si="19"/>
        <v>0</v>
      </c>
      <c r="AP26" s="30"/>
      <c r="AQ26" s="28">
        <v>691810420.35000002</v>
      </c>
      <c r="AR26" s="42">
        <v>100</v>
      </c>
      <c r="AS26" s="29" t="e">
        <f>(#REF!/AQ26)-1</f>
        <v>#REF!</v>
      </c>
      <c r="AT26" s="29" t="e">
        <f>(#REF!/AR26)-1</f>
        <v>#REF!</v>
      </c>
    </row>
    <row r="27" spans="1:46">
      <c r="A27" s="202" t="s">
        <v>15</v>
      </c>
      <c r="B27" s="321">
        <v>77432709637.889999</v>
      </c>
      <c r="C27" s="310">
        <v>1</v>
      </c>
      <c r="D27" s="321">
        <v>78231363248.449997</v>
      </c>
      <c r="E27" s="310">
        <v>1</v>
      </c>
      <c r="F27" s="23">
        <f>((D27-B27)/B27)</f>
        <v>1.0314163281833469E-2</v>
      </c>
      <c r="G27" s="23">
        <f>((E27-C27)/C27)</f>
        <v>0</v>
      </c>
      <c r="H27" s="321">
        <v>78641641385.800003</v>
      </c>
      <c r="I27" s="310">
        <v>1</v>
      </c>
      <c r="J27" s="23">
        <f t="shared" si="32"/>
        <v>5.2444201444761989E-3</v>
      </c>
      <c r="K27" s="23">
        <f t="shared" si="33"/>
        <v>0</v>
      </c>
      <c r="L27" s="321">
        <v>79017835302.059998</v>
      </c>
      <c r="M27" s="310">
        <v>1</v>
      </c>
      <c r="N27" s="23">
        <f t="shared" si="34"/>
        <v>4.7836478185197479E-3</v>
      </c>
      <c r="O27" s="23">
        <f t="shared" si="35"/>
        <v>0</v>
      </c>
      <c r="P27" s="321">
        <v>78591591828.949997</v>
      </c>
      <c r="Q27" s="310">
        <v>1</v>
      </c>
      <c r="R27" s="23">
        <f t="shared" si="36"/>
        <v>-5.3942691732898991E-3</v>
      </c>
      <c r="S27" s="23">
        <f t="shared" si="37"/>
        <v>0</v>
      </c>
      <c r="T27" s="321">
        <v>79393393065.089996</v>
      </c>
      <c r="U27" s="310">
        <v>1</v>
      </c>
      <c r="V27" s="23">
        <f t="shared" si="38"/>
        <v>1.0202124902687718E-2</v>
      </c>
      <c r="W27" s="23">
        <f t="shared" si="39"/>
        <v>0</v>
      </c>
      <c r="X27" s="321">
        <v>79450988647.059998</v>
      </c>
      <c r="Y27" s="310">
        <v>1</v>
      </c>
      <c r="Z27" s="23">
        <f t="shared" si="40"/>
        <v>7.2544552822905524E-4</v>
      </c>
      <c r="AA27" s="23">
        <f t="shared" si="41"/>
        <v>0</v>
      </c>
      <c r="AB27" s="321">
        <v>78884907553.710007</v>
      </c>
      <c r="AC27" s="310">
        <v>1</v>
      </c>
      <c r="AD27" s="23">
        <f t="shared" si="42"/>
        <v>-7.1249093685247442E-3</v>
      </c>
      <c r="AE27" s="23">
        <f t="shared" si="43"/>
        <v>0</v>
      </c>
      <c r="AF27" s="321">
        <v>79085463217.5</v>
      </c>
      <c r="AG27" s="310">
        <v>1</v>
      </c>
      <c r="AH27" s="23">
        <f t="shared" si="44"/>
        <v>2.5423832011648344E-3</v>
      </c>
      <c r="AI27" s="23">
        <f t="shared" si="45"/>
        <v>0</v>
      </c>
      <c r="AJ27" s="24">
        <f t="shared" si="14"/>
        <v>2.6616257918870476E-3</v>
      </c>
      <c r="AK27" s="24">
        <f t="shared" si="15"/>
        <v>0</v>
      </c>
      <c r="AL27" s="25">
        <f t="shared" si="16"/>
        <v>1.0917615820365056E-2</v>
      </c>
      <c r="AM27" s="25">
        <f t="shared" si="17"/>
        <v>0</v>
      </c>
      <c r="AN27" s="466">
        <f t="shared" si="18"/>
        <v>6.4479341981871809E-3</v>
      </c>
      <c r="AO27" s="467">
        <f t="shared" si="19"/>
        <v>0</v>
      </c>
      <c r="AP27" s="30"/>
      <c r="AQ27" s="28">
        <v>13880602273.7041</v>
      </c>
      <c r="AR27" s="35">
        <v>1</v>
      </c>
      <c r="AS27" s="29" t="e">
        <f>(#REF!/AQ27)-1</f>
        <v>#REF!</v>
      </c>
      <c r="AT27" s="29" t="e">
        <f>(#REF!/AR27)-1</f>
        <v>#REF!</v>
      </c>
    </row>
    <row r="28" spans="1:46">
      <c r="A28" s="202" t="s">
        <v>82</v>
      </c>
      <c r="B28" s="321">
        <v>38293583803.980003</v>
      </c>
      <c r="C28" s="310">
        <v>1</v>
      </c>
      <c r="D28" s="321">
        <v>38293583803.980003</v>
      </c>
      <c r="E28" s="310">
        <v>1</v>
      </c>
      <c r="F28" s="23">
        <f>((D28-B28)/B28)</f>
        <v>0</v>
      </c>
      <c r="G28" s="23">
        <f>((E28-C28)/C28)</f>
        <v>0</v>
      </c>
      <c r="H28" s="321">
        <v>38293583803.980003</v>
      </c>
      <c r="I28" s="310">
        <v>1</v>
      </c>
      <c r="J28" s="23">
        <f t="shared" si="32"/>
        <v>0</v>
      </c>
      <c r="K28" s="23">
        <f t="shared" si="33"/>
        <v>0</v>
      </c>
      <c r="L28" s="321">
        <v>39423811758.82</v>
      </c>
      <c r="M28" s="310">
        <v>1</v>
      </c>
      <c r="N28" s="23">
        <f t="shared" si="34"/>
        <v>2.9514812732741074E-2</v>
      </c>
      <c r="O28" s="23">
        <f t="shared" si="35"/>
        <v>0</v>
      </c>
      <c r="P28" s="321">
        <v>40240004312.620003</v>
      </c>
      <c r="Q28" s="310">
        <v>1</v>
      </c>
      <c r="R28" s="23">
        <f t="shared" si="36"/>
        <v>2.0703034977773357E-2</v>
      </c>
      <c r="S28" s="23">
        <f t="shared" si="37"/>
        <v>0</v>
      </c>
      <c r="T28" s="321">
        <v>40173097749.93</v>
      </c>
      <c r="U28" s="310">
        <v>1</v>
      </c>
      <c r="V28" s="23">
        <f t="shared" si="38"/>
        <v>-1.6626877614180403E-3</v>
      </c>
      <c r="W28" s="23">
        <f t="shared" si="39"/>
        <v>0</v>
      </c>
      <c r="X28" s="321">
        <v>39747093653.339996</v>
      </c>
      <c r="Y28" s="310">
        <v>1</v>
      </c>
      <c r="Z28" s="23">
        <f t="shared" si="40"/>
        <v>-1.0604213278293837E-2</v>
      </c>
      <c r="AA28" s="23">
        <f t="shared" si="41"/>
        <v>0</v>
      </c>
      <c r="AB28" s="321">
        <v>39607756062</v>
      </c>
      <c r="AC28" s="310">
        <v>1</v>
      </c>
      <c r="AD28" s="23">
        <f t="shared" si="42"/>
        <v>-3.5056045243269662E-3</v>
      </c>
      <c r="AE28" s="23">
        <f t="shared" si="43"/>
        <v>0</v>
      </c>
      <c r="AF28" s="321">
        <v>40934587170.089996</v>
      </c>
      <c r="AG28" s="310">
        <v>1</v>
      </c>
      <c r="AH28" s="23">
        <f t="shared" si="44"/>
        <v>3.3499274889823127E-2</v>
      </c>
      <c r="AI28" s="23">
        <f t="shared" si="45"/>
        <v>0</v>
      </c>
      <c r="AJ28" s="24">
        <f t="shared" si="14"/>
        <v>8.4930771295373391E-3</v>
      </c>
      <c r="AK28" s="24">
        <f t="shared" si="15"/>
        <v>0</v>
      </c>
      <c r="AL28" s="25">
        <f t="shared" si="16"/>
        <v>6.8967255183765355E-2</v>
      </c>
      <c r="AM28" s="25">
        <f t="shared" si="17"/>
        <v>0</v>
      </c>
      <c r="AN28" s="466">
        <f t="shared" si="18"/>
        <v>1.6785986953331673E-2</v>
      </c>
      <c r="AO28" s="467">
        <f t="shared" si="19"/>
        <v>0</v>
      </c>
      <c r="AP28" s="30"/>
      <c r="AQ28" s="38">
        <v>246915130.99000001</v>
      </c>
      <c r="AR28" s="35">
        <v>10</v>
      </c>
      <c r="AS28" s="29" t="e">
        <f>(#REF!/AQ28)-1</f>
        <v>#REF!</v>
      </c>
      <c r="AT28" s="29" t="e">
        <f>(#REF!/AR28)-1</f>
        <v>#REF!</v>
      </c>
    </row>
    <row r="29" spans="1:46">
      <c r="A29" s="202" t="s">
        <v>97</v>
      </c>
      <c r="B29" s="321">
        <v>5953054706.3500004</v>
      </c>
      <c r="C29" s="310">
        <v>100</v>
      </c>
      <c r="D29" s="321">
        <v>6026943927.4200001</v>
      </c>
      <c r="E29" s="310">
        <v>100</v>
      </c>
      <c r="F29" s="23">
        <f>((D29-B29)/B29)</f>
        <v>1.241198421898989E-2</v>
      </c>
      <c r="G29" s="23">
        <f>((E29-C29)/C29)</f>
        <v>0</v>
      </c>
      <c r="H29" s="321">
        <v>6122434597.0100002</v>
      </c>
      <c r="I29" s="310">
        <v>100</v>
      </c>
      <c r="J29" s="23">
        <f t="shared" si="32"/>
        <v>1.5843961838695516E-2</v>
      </c>
      <c r="K29" s="23">
        <f t="shared" si="33"/>
        <v>0</v>
      </c>
      <c r="L29" s="321">
        <v>6111307995.9700003</v>
      </c>
      <c r="M29" s="310">
        <v>100</v>
      </c>
      <c r="N29" s="23">
        <f t="shared" si="34"/>
        <v>-1.8173491057681262E-3</v>
      </c>
      <c r="O29" s="23">
        <f t="shared" si="35"/>
        <v>0</v>
      </c>
      <c r="P29" s="321">
        <v>6169003279.7700005</v>
      </c>
      <c r="Q29" s="310">
        <v>100</v>
      </c>
      <c r="R29" s="23">
        <f t="shared" si="36"/>
        <v>9.4407422826744102E-3</v>
      </c>
      <c r="S29" s="23">
        <f t="shared" si="37"/>
        <v>0</v>
      </c>
      <c r="T29" s="321">
        <v>6198574769.1899996</v>
      </c>
      <c r="U29" s="310">
        <v>100</v>
      </c>
      <c r="V29" s="23">
        <f t="shared" si="38"/>
        <v>4.7935603336397709E-3</v>
      </c>
      <c r="W29" s="23">
        <f t="shared" si="39"/>
        <v>0</v>
      </c>
      <c r="X29" s="321">
        <v>5970449846.79</v>
      </c>
      <c r="Y29" s="310">
        <v>100</v>
      </c>
      <c r="Z29" s="23">
        <f t="shared" si="40"/>
        <v>-3.6802802401270367E-2</v>
      </c>
      <c r="AA29" s="23">
        <f t="shared" si="41"/>
        <v>0</v>
      </c>
      <c r="AB29" s="321">
        <v>6027359426.3900003</v>
      </c>
      <c r="AC29" s="310">
        <v>100</v>
      </c>
      <c r="AD29" s="23">
        <f t="shared" si="42"/>
        <v>9.5318746594274962E-3</v>
      </c>
      <c r="AE29" s="23">
        <f t="shared" si="43"/>
        <v>0</v>
      </c>
      <c r="AF29" s="321">
        <v>4830806999.1300001</v>
      </c>
      <c r="AG29" s="310">
        <v>100</v>
      </c>
      <c r="AH29" s="23">
        <f t="shared" si="44"/>
        <v>-0.19852017153997037</v>
      </c>
      <c r="AI29" s="23">
        <f t="shared" si="45"/>
        <v>0</v>
      </c>
      <c r="AJ29" s="24">
        <f t="shared" si="14"/>
        <v>-2.3139774964197724E-2</v>
      </c>
      <c r="AK29" s="24">
        <f t="shared" si="15"/>
        <v>0</v>
      </c>
      <c r="AL29" s="25">
        <f t="shared" si="16"/>
        <v>-0.19846491732702073</v>
      </c>
      <c r="AM29" s="25">
        <f t="shared" si="17"/>
        <v>0</v>
      </c>
      <c r="AN29" s="466">
        <f t="shared" si="18"/>
        <v>7.2793705572185688E-2</v>
      </c>
      <c r="AO29" s="467">
        <f t="shared" si="19"/>
        <v>0</v>
      </c>
      <c r="AP29" s="30"/>
      <c r="AQ29" s="38"/>
      <c r="AR29" s="35"/>
      <c r="AS29" s="29"/>
      <c r="AT29" s="29"/>
    </row>
    <row r="30" spans="1:46" ht="15.75" customHeight="1">
      <c r="A30" s="202" t="s">
        <v>230</v>
      </c>
      <c r="B30" s="321">
        <v>11817360862.35</v>
      </c>
      <c r="C30" s="310">
        <v>100</v>
      </c>
      <c r="D30" s="321">
        <v>12009793803.210001</v>
      </c>
      <c r="E30" s="310">
        <v>100</v>
      </c>
      <c r="F30" s="23">
        <f>((D30-B30)/B30)</f>
        <v>1.6283918473970795E-2</v>
      </c>
      <c r="G30" s="23">
        <f>((E30-C30)/C30)</f>
        <v>0</v>
      </c>
      <c r="H30" s="321">
        <v>12230978720.610001</v>
      </c>
      <c r="I30" s="310">
        <v>100</v>
      </c>
      <c r="J30" s="23">
        <f t="shared" si="32"/>
        <v>1.8417045373491831E-2</v>
      </c>
      <c r="K30" s="23">
        <f t="shared" si="33"/>
        <v>0</v>
      </c>
      <c r="L30" s="321">
        <v>12425715288.98</v>
      </c>
      <c r="M30" s="310">
        <v>100</v>
      </c>
      <c r="N30" s="23">
        <f t="shared" si="34"/>
        <v>1.5921585084753279E-2</v>
      </c>
      <c r="O30" s="23">
        <f t="shared" si="35"/>
        <v>0</v>
      </c>
      <c r="P30" s="321">
        <v>12378943165.34</v>
      </c>
      <c r="Q30" s="310">
        <v>100</v>
      </c>
      <c r="R30" s="23">
        <f t="shared" si="36"/>
        <v>-3.7641393313977028E-3</v>
      </c>
      <c r="S30" s="23">
        <f t="shared" si="37"/>
        <v>0</v>
      </c>
      <c r="T30" s="321">
        <v>12704071743.85</v>
      </c>
      <c r="U30" s="310">
        <v>100</v>
      </c>
      <c r="V30" s="23">
        <f t="shared" si="38"/>
        <v>2.6264647487867374E-2</v>
      </c>
      <c r="W30" s="23">
        <f t="shared" si="39"/>
        <v>0</v>
      </c>
      <c r="X30" s="321">
        <v>12833215067.25</v>
      </c>
      <c r="Y30" s="310">
        <v>100</v>
      </c>
      <c r="Z30" s="23">
        <f t="shared" si="40"/>
        <v>1.0165506461541945E-2</v>
      </c>
      <c r="AA30" s="23">
        <f t="shared" si="41"/>
        <v>0</v>
      </c>
      <c r="AB30" s="321">
        <v>12723815789.6</v>
      </c>
      <c r="AC30" s="310">
        <v>100</v>
      </c>
      <c r="AD30" s="23">
        <f t="shared" si="42"/>
        <v>-8.5246975973451468E-3</v>
      </c>
      <c r="AE30" s="23">
        <f t="shared" si="43"/>
        <v>0</v>
      </c>
      <c r="AF30" s="321">
        <v>12501464130.220001</v>
      </c>
      <c r="AG30" s="310">
        <v>100</v>
      </c>
      <c r="AH30" s="23">
        <f t="shared" si="44"/>
        <v>-1.747523408518234E-2</v>
      </c>
      <c r="AI30" s="23">
        <f t="shared" si="45"/>
        <v>0</v>
      </c>
      <c r="AJ30" s="24">
        <f t="shared" si="14"/>
        <v>7.1610789834625054E-3</v>
      </c>
      <c r="AK30" s="24">
        <f t="shared" si="15"/>
        <v>0</v>
      </c>
      <c r="AL30" s="25">
        <f t="shared" si="16"/>
        <v>4.0939114781353335E-2</v>
      </c>
      <c r="AM30" s="25">
        <f t="shared" si="17"/>
        <v>0</v>
      </c>
      <c r="AN30" s="466">
        <f t="shared" si="18"/>
        <v>1.5273666716438927E-2</v>
      </c>
      <c r="AO30" s="467">
        <f t="shared" si="19"/>
        <v>0</v>
      </c>
      <c r="AP30" s="30"/>
      <c r="AQ30" s="38"/>
      <c r="AR30" s="35"/>
      <c r="AS30" s="29"/>
      <c r="AT30" s="29"/>
    </row>
    <row r="31" spans="1:46">
      <c r="A31" s="202" t="s">
        <v>89</v>
      </c>
      <c r="B31" s="321">
        <v>5658224894.1199999</v>
      </c>
      <c r="C31" s="310">
        <v>100</v>
      </c>
      <c r="D31" s="321">
        <v>5611898702.1599998</v>
      </c>
      <c r="E31" s="310">
        <v>100</v>
      </c>
      <c r="F31" s="23">
        <f>((D31-B31)/B31)</f>
        <v>-8.1874073277189794E-3</v>
      </c>
      <c r="G31" s="23">
        <f>((E31-C31)/C31)</f>
        <v>0</v>
      </c>
      <c r="H31" s="321">
        <v>5499227227.9899998</v>
      </c>
      <c r="I31" s="310">
        <v>100</v>
      </c>
      <c r="J31" s="23">
        <f t="shared" si="32"/>
        <v>-2.0077246605793728E-2</v>
      </c>
      <c r="K31" s="23">
        <f t="shared" si="33"/>
        <v>0</v>
      </c>
      <c r="L31" s="321">
        <v>5417917408.1400003</v>
      </c>
      <c r="M31" s="310">
        <v>100</v>
      </c>
      <c r="N31" s="23">
        <f t="shared" si="34"/>
        <v>-1.4785681056448844E-2</v>
      </c>
      <c r="O31" s="23">
        <f t="shared" si="35"/>
        <v>0</v>
      </c>
      <c r="P31" s="321">
        <v>5409244964.0900002</v>
      </c>
      <c r="Q31" s="310">
        <v>100</v>
      </c>
      <c r="R31" s="23">
        <f t="shared" si="36"/>
        <v>-1.6006969831194762E-3</v>
      </c>
      <c r="S31" s="23">
        <f t="shared" si="37"/>
        <v>0</v>
      </c>
      <c r="T31" s="321">
        <v>5529576671.3500004</v>
      </c>
      <c r="U31" s="310">
        <v>100</v>
      </c>
      <c r="V31" s="23">
        <f t="shared" si="38"/>
        <v>2.2245564410345333E-2</v>
      </c>
      <c r="W31" s="23">
        <f t="shared" si="39"/>
        <v>0</v>
      </c>
      <c r="X31" s="321">
        <v>5495920720.9399996</v>
      </c>
      <c r="Y31" s="310">
        <v>100</v>
      </c>
      <c r="Z31" s="23">
        <f t="shared" si="40"/>
        <v>-6.0865329138810875E-3</v>
      </c>
      <c r="AA31" s="23">
        <f t="shared" si="41"/>
        <v>0</v>
      </c>
      <c r="AB31" s="321">
        <v>5200927057.8500004</v>
      </c>
      <c r="AC31" s="310">
        <v>100</v>
      </c>
      <c r="AD31" s="23">
        <f t="shared" si="42"/>
        <v>-5.3675021542076519E-2</v>
      </c>
      <c r="AE31" s="23">
        <f t="shared" si="43"/>
        <v>0</v>
      </c>
      <c r="AF31" s="321">
        <v>5195263385.3100004</v>
      </c>
      <c r="AG31" s="310">
        <v>100</v>
      </c>
      <c r="AH31" s="23">
        <f t="shared" si="44"/>
        <v>-1.0889736535434618E-3</v>
      </c>
      <c r="AI31" s="23">
        <f t="shared" si="45"/>
        <v>0</v>
      </c>
      <c r="AJ31" s="24">
        <f t="shared" si="14"/>
        <v>-1.0406999459029596E-2</v>
      </c>
      <c r="AK31" s="24">
        <f t="shared" si="15"/>
        <v>0</v>
      </c>
      <c r="AL31" s="25">
        <f t="shared" si="16"/>
        <v>-7.4241417916121322E-2</v>
      </c>
      <c r="AM31" s="25">
        <f t="shared" si="17"/>
        <v>0</v>
      </c>
      <c r="AN31" s="466">
        <f t="shared" si="18"/>
        <v>2.1510687653349615E-2</v>
      </c>
      <c r="AO31" s="467">
        <f t="shared" si="19"/>
        <v>0</v>
      </c>
      <c r="AP31" s="30"/>
      <c r="AQ31" s="38"/>
      <c r="AR31" s="35"/>
      <c r="AS31" s="29"/>
      <c r="AT31" s="29"/>
    </row>
    <row r="32" spans="1:46">
      <c r="A32" s="202" t="s">
        <v>179</v>
      </c>
      <c r="B32" s="321">
        <v>44514190.369999997</v>
      </c>
      <c r="C32" s="310">
        <v>100</v>
      </c>
      <c r="D32" s="321">
        <v>44514190.369999997</v>
      </c>
      <c r="E32" s="310">
        <v>100</v>
      </c>
      <c r="F32" s="23">
        <f>((D32-B32)/B32)</f>
        <v>0</v>
      </c>
      <c r="G32" s="23">
        <f>((E32-C32)/C32)</f>
        <v>0</v>
      </c>
      <c r="H32" s="321">
        <v>44514190.369999997</v>
      </c>
      <c r="I32" s="310">
        <v>100</v>
      </c>
      <c r="J32" s="23">
        <f t="shared" si="32"/>
        <v>0</v>
      </c>
      <c r="K32" s="23">
        <f t="shared" si="33"/>
        <v>0</v>
      </c>
      <c r="L32" s="321">
        <v>44514190.369999997</v>
      </c>
      <c r="M32" s="310">
        <v>100</v>
      </c>
      <c r="N32" s="23">
        <f t="shared" si="34"/>
        <v>0</v>
      </c>
      <c r="O32" s="23">
        <f t="shared" si="35"/>
        <v>0</v>
      </c>
      <c r="P32" s="321">
        <v>44514190.369999997</v>
      </c>
      <c r="Q32" s="310">
        <v>100</v>
      </c>
      <c r="R32" s="23">
        <f t="shared" si="36"/>
        <v>0</v>
      </c>
      <c r="S32" s="23">
        <f t="shared" si="37"/>
        <v>0</v>
      </c>
      <c r="T32" s="321">
        <v>44514190.369999997</v>
      </c>
      <c r="U32" s="310">
        <v>100</v>
      </c>
      <c r="V32" s="23">
        <f t="shared" si="38"/>
        <v>0</v>
      </c>
      <c r="W32" s="23">
        <f t="shared" si="39"/>
        <v>0</v>
      </c>
      <c r="X32" s="321">
        <v>44514190.369999997</v>
      </c>
      <c r="Y32" s="310">
        <v>100</v>
      </c>
      <c r="Z32" s="23">
        <f t="shared" si="40"/>
        <v>0</v>
      </c>
      <c r="AA32" s="23">
        <f t="shared" si="41"/>
        <v>0</v>
      </c>
      <c r="AB32" s="321">
        <v>44514190.369999997</v>
      </c>
      <c r="AC32" s="310">
        <v>100</v>
      </c>
      <c r="AD32" s="23">
        <f t="shared" si="42"/>
        <v>0</v>
      </c>
      <c r="AE32" s="23">
        <f t="shared" si="43"/>
        <v>0</v>
      </c>
      <c r="AF32" s="321">
        <v>44514190.369999997</v>
      </c>
      <c r="AG32" s="310">
        <v>100</v>
      </c>
      <c r="AH32" s="23">
        <f t="shared" si="44"/>
        <v>0</v>
      </c>
      <c r="AI32" s="23">
        <f t="shared" si="45"/>
        <v>0</v>
      </c>
      <c r="AJ32" s="24">
        <f t="shared" si="14"/>
        <v>0</v>
      </c>
      <c r="AK32" s="24">
        <f t="shared" si="15"/>
        <v>0</v>
      </c>
      <c r="AL32" s="25">
        <f t="shared" si="16"/>
        <v>0</v>
      </c>
      <c r="AM32" s="25">
        <f t="shared" si="17"/>
        <v>0</v>
      </c>
      <c r="AN32" s="466">
        <f t="shared" si="18"/>
        <v>0</v>
      </c>
      <c r="AO32" s="467">
        <f t="shared" si="19"/>
        <v>0</v>
      </c>
      <c r="AP32" s="30"/>
      <c r="AQ32" s="38"/>
      <c r="AR32" s="35"/>
      <c r="AS32" s="29"/>
      <c r="AT32" s="29"/>
    </row>
    <row r="33" spans="1:47">
      <c r="A33" s="202" t="s">
        <v>108</v>
      </c>
      <c r="B33" s="321">
        <v>5790344995.2299995</v>
      </c>
      <c r="C33" s="310">
        <v>1</v>
      </c>
      <c r="D33" s="321">
        <v>5806944067.2600002</v>
      </c>
      <c r="E33" s="310">
        <v>1</v>
      </c>
      <c r="F33" s="23">
        <f>((D33-B33)/B33)</f>
        <v>2.8666810084156912E-3</v>
      </c>
      <c r="G33" s="23">
        <f>((E33-C33)/C33)</f>
        <v>0</v>
      </c>
      <c r="H33" s="321">
        <v>5849251583.5699997</v>
      </c>
      <c r="I33" s="310">
        <v>1</v>
      </c>
      <c r="J33" s="23">
        <f t="shared" si="32"/>
        <v>7.2856765658433865E-3</v>
      </c>
      <c r="K33" s="23">
        <f t="shared" si="33"/>
        <v>0</v>
      </c>
      <c r="L33" s="321">
        <v>5846850849.6999998</v>
      </c>
      <c r="M33" s="310">
        <v>1</v>
      </c>
      <c r="N33" s="23">
        <f t="shared" si="34"/>
        <v>-4.1043436680742579E-4</v>
      </c>
      <c r="O33" s="23">
        <f t="shared" si="35"/>
        <v>0</v>
      </c>
      <c r="P33" s="321">
        <v>5842896618.6499996</v>
      </c>
      <c r="Q33" s="310">
        <v>1</v>
      </c>
      <c r="R33" s="23">
        <f t="shared" si="36"/>
        <v>-6.7630099546717203E-4</v>
      </c>
      <c r="S33" s="23">
        <f t="shared" si="37"/>
        <v>0</v>
      </c>
      <c r="T33" s="321">
        <v>5582464126.7799997</v>
      </c>
      <c r="U33" s="310">
        <v>1</v>
      </c>
      <c r="V33" s="23">
        <f t="shared" si="38"/>
        <v>-4.4572496976708918E-2</v>
      </c>
      <c r="W33" s="23">
        <f t="shared" si="39"/>
        <v>0</v>
      </c>
      <c r="X33" s="321">
        <v>5527273124.6300001</v>
      </c>
      <c r="Y33" s="310">
        <v>1</v>
      </c>
      <c r="Z33" s="23">
        <f t="shared" si="40"/>
        <v>-9.886494726448718E-3</v>
      </c>
      <c r="AA33" s="23">
        <f t="shared" si="41"/>
        <v>0</v>
      </c>
      <c r="AB33" s="321">
        <v>5561480520.4099998</v>
      </c>
      <c r="AC33" s="310">
        <v>1</v>
      </c>
      <c r="AD33" s="23">
        <f t="shared" si="42"/>
        <v>6.188837607385215E-3</v>
      </c>
      <c r="AE33" s="23">
        <f t="shared" si="43"/>
        <v>0</v>
      </c>
      <c r="AF33" s="321">
        <v>5723289390.6999998</v>
      </c>
      <c r="AG33" s="310">
        <v>1</v>
      </c>
      <c r="AH33" s="23">
        <f t="shared" si="44"/>
        <v>2.9094567480040582E-2</v>
      </c>
      <c r="AI33" s="23">
        <f t="shared" si="45"/>
        <v>0</v>
      </c>
      <c r="AJ33" s="24">
        <f t="shared" si="14"/>
        <v>-1.2637455504684197E-3</v>
      </c>
      <c r="AK33" s="24">
        <f t="shared" si="15"/>
        <v>0</v>
      </c>
      <c r="AL33" s="25">
        <f t="shared" si="16"/>
        <v>-1.4405972503102269E-2</v>
      </c>
      <c r="AM33" s="25">
        <f t="shared" si="17"/>
        <v>0</v>
      </c>
      <c r="AN33" s="466">
        <f t="shared" si="18"/>
        <v>2.0765335786894712E-2</v>
      </c>
      <c r="AO33" s="467">
        <f t="shared" si="19"/>
        <v>0</v>
      </c>
      <c r="AP33" s="30"/>
      <c r="AQ33" s="38"/>
      <c r="AR33" s="35"/>
      <c r="AS33" s="29"/>
      <c r="AT33" s="29"/>
    </row>
    <row r="34" spans="1:47">
      <c r="A34" s="202" t="s">
        <v>100</v>
      </c>
      <c r="B34" s="321">
        <v>12471768934.690001</v>
      </c>
      <c r="C34" s="69">
        <v>100</v>
      </c>
      <c r="D34" s="321">
        <v>12497940144.360001</v>
      </c>
      <c r="E34" s="69">
        <v>100</v>
      </c>
      <c r="F34" s="23">
        <f>((D34-B34)/B34)</f>
        <v>2.0984360604376921E-3</v>
      </c>
      <c r="G34" s="23">
        <f>((E34-C34)/C34)</f>
        <v>0</v>
      </c>
      <c r="H34" s="321">
        <v>12859844781.469999</v>
      </c>
      <c r="I34" s="69">
        <v>100</v>
      </c>
      <c r="J34" s="23">
        <f t="shared" si="32"/>
        <v>2.895714277150839E-2</v>
      </c>
      <c r="K34" s="23">
        <f t="shared" si="33"/>
        <v>0</v>
      </c>
      <c r="L34" s="321">
        <v>12859844781.469999</v>
      </c>
      <c r="M34" s="69">
        <v>100</v>
      </c>
      <c r="N34" s="23">
        <f t="shared" si="34"/>
        <v>0</v>
      </c>
      <c r="O34" s="23">
        <f t="shared" si="35"/>
        <v>0</v>
      </c>
      <c r="P34" s="321">
        <v>12770261098.719999</v>
      </c>
      <c r="Q34" s="69">
        <v>100</v>
      </c>
      <c r="R34" s="23">
        <f t="shared" si="36"/>
        <v>-6.9661558340955148E-3</v>
      </c>
      <c r="S34" s="23">
        <f t="shared" si="37"/>
        <v>0</v>
      </c>
      <c r="T34" s="321">
        <v>12823340086.309999</v>
      </c>
      <c r="U34" s="69">
        <v>100</v>
      </c>
      <c r="V34" s="23">
        <f t="shared" si="38"/>
        <v>4.156452807008027E-3</v>
      </c>
      <c r="W34" s="23">
        <f t="shared" si="39"/>
        <v>0</v>
      </c>
      <c r="X34" s="321">
        <v>13189150636.700001</v>
      </c>
      <c r="Y34" s="69">
        <v>100</v>
      </c>
      <c r="Z34" s="23">
        <f t="shared" si="40"/>
        <v>2.852693197933158E-2</v>
      </c>
      <c r="AA34" s="23">
        <f t="shared" si="41"/>
        <v>0</v>
      </c>
      <c r="AB34" s="321">
        <v>13178552136.25</v>
      </c>
      <c r="AC34" s="69">
        <v>100</v>
      </c>
      <c r="AD34" s="23">
        <f t="shared" si="42"/>
        <v>-8.0357717808677382E-4</v>
      </c>
      <c r="AE34" s="23">
        <f t="shared" si="43"/>
        <v>0</v>
      </c>
      <c r="AF34" s="321">
        <v>13169237396.639999</v>
      </c>
      <c r="AG34" s="69">
        <v>100</v>
      </c>
      <c r="AH34" s="23">
        <f t="shared" si="44"/>
        <v>-7.068105444132006E-4</v>
      </c>
      <c r="AI34" s="23">
        <f t="shared" si="45"/>
        <v>0</v>
      </c>
      <c r="AJ34" s="24">
        <f t="shared" si="14"/>
        <v>6.9078025077112751E-3</v>
      </c>
      <c r="AK34" s="24">
        <f t="shared" si="15"/>
        <v>0</v>
      </c>
      <c r="AL34" s="25">
        <f t="shared" si="16"/>
        <v>5.3712631403738796E-2</v>
      </c>
      <c r="AM34" s="25">
        <f t="shared" si="17"/>
        <v>0</v>
      </c>
      <c r="AN34" s="466">
        <f t="shared" si="18"/>
        <v>1.384564016023488E-2</v>
      </c>
      <c r="AO34" s="467">
        <f t="shared" si="19"/>
        <v>0</v>
      </c>
      <c r="AP34" s="30"/>
      <c r="AQ34" s="38"/>
      <c r="AR34" s="35"/>
      <c r="AS34" s="29"/>
      <c r="AT34" s="29"/>
    </row>
    <row r="35" spans="1:47">
      <c r="A35" s="202" t="s">
        <v>99</v>
      </c>
      <c r="B35" s="321">
        <v>422854694.23000002</v>
      </c>
      <c r="C35" s="69">
        <v>1000000</v>
      </c>
      <c r="D35" s="321">
        <v>423733184.42000002</v>
      </c>
      <c r="E35" s="69">
        <v>1000000</v>
      </c>
      <c r="F35" s="23">
        <f>((D35-B35)/B35)</f>
        <v>2.0775226147121059E-3</v>
      </c>
      <c r="G35" s="23">
        <f>((E35-C35)/C35)</f>
        <v>0</v>
      </c>
      <c r="H35" s="321">
        <v>492195524.19999999</v>
      </c>
      <c r="I35" s="69">
        <v>1000000</v>
      </c>
      <c r="J35" s="23">
        <f t="shared" si="32"/>
        <v>0.1615694552545141</v>
      </c>
      <c r="K35" s="23">
        <f t="shared" si="33"/>
        <v>0</v>
      </c>
      <c r="L35" s="321">
        <v>492195524.19999999</v>
      </c>
      <c r="M35" s="69">
        <v>1000000</v>
      </c>
      <c r="N35" s="23">
        <f t="shared" si="34"/>
        <v>0</v>
      </c>
      <c r="O35" s="23">
        <f t="shared" si="35"/>
        <v>0</v>
      </c>
      <c r="P35" s="321">
        <v>459944679.44</v>
      </c>
      <c r="Q35" s="69">
        <v>1000000</v>
      </c>
      <c r="R35" s="23">
        <f t="shared" si="36"/>
        <v>-6.5524457607410297E-2</v>
      </c>
      <c r="S35" s="23">
        <f t="shared" si="37"/>
        <v>0</v>
      </c>
      <c r="T35" s="321">
        <v>460240597.98000002</v>
      </c>
      <c r="U35" s="69">
        <v>1000000</v>
      </c>
      <c r="V35" s="23">
        <f t="shared" si="38"/>
        <v>6.4337854795997081E-4</v>
      </c>
      <c r="W35" s="23">
        <f t="shared" si="39"/>
        <v>0</v>
      </c>
      <c r="X35" s="321">
        <v>413141799.31</v>
      </c>
      <c r="Y35" s="69">
        <v>1000000</v>
      </c>
      <c r="Z35" s="23">
        <f t="shared" si="40"/>
        <v>-0.10233516746831343</v>
      </c>
      <c r="AA35" s="23">
        <f t="shared" si="41"/>
        <v>0</v>
      </c>
      <c r="AB35" s="321">
        <v>571960540.88</v>
      </c>
      <c r="AC35" s="69">
        <v>1000000</v>
      </c>
      <c r="AD35" s="23">
        <f t="shared" si="42"/>
        <v>0.38441702542625256</v>
      </c>
      <c r="AE35" s="23">
        <f t="shared" si="43"/>
        <v>0</v>
      </c>
      <c r="AF35" s="321">
        <v>572794721.44000006</v>
      </c>
      <c r="AG35" s="69">
        <v>1000000</v>
      </c>
      <c r="AH35" s="23">
        <f t="shared" si="44"/>
        <v>1.4584582333540331E-3</v>
      </c>
      <c r="AI35" s="23">
        <f t="shared" si="45"/>
        <v>0</v>
      </c>
      <c r="AJ35" s="24">
        <f t="shared" si="14"/>
        <v>4.778827687513363E-2</v>
      </c>
      <c r="AK35" s="24">
        <f t="shared" si="15"/>
        <v>0</v>
      </c>
      <c r="AL35" s="25">
        <f t="shared" si="16"/>
        <v>0.35178159865867803</v>
      </c>
      <c r="AM35" s="25">
        <f t="shared" si="17"/>
        <v>0</v>
      </c>
      <c r="AN35" s="466">
        <f t="shared" si="18"/>
        <v>0.1560147343029567</v>
      </c>
      <c r="AO35" s="467">
        <f t="shared" si="19"/>
        <v>0</v>
      </c>
      <c r="AP35" s="30"/>
      <c r="AQ35" s="38"/>
      <c r="AR35" s="35"/>
      <c r="AS35" s="29"/>
      <c r="AT35" s="29"/>
    </row>
    <row r="36" spans="1:47">
      <c r="A36" s="202" t="s">
        <v>169</v>
      </c>
      <c r="B36" s="321">
        <v>1685773727.1099999</v>
      </c>
      <c r="C36" s="310">
        <v>1</v>
      </c>
      <c r="D36" s="321">
        <v>1789189666.3800001</v>
      </c>
      <c r="E36" s="310">
        <v>1</v>
      </c>
      <c r="F36" s="23">
        <f>((D36-B36)/B36)</f>
        <v>6.1346275367152009E-2</v>
      </c>
      <c r="G36" s="23">
        <f>((E36-C36)/C36)</f>
        <v>0</v>
      </c>
      <c r="H36" s="321">
        <v>1944347523.0699999</v>
      </c>
      <c r="I36" s="310">
        <v>1</v>
      </c>
      <c r="J36" s="23">
        <f t="shared" si="32"/>
        <v>8.671962487013736E-2</v>
      </c>
      <c r="K36" s="23">
        <f t="shared" si="33"/>
        <v>0</v>
      </c>
      <c r="L36" s="321">
        <v>2000763576.29</v>
      </c>
      <c r="M36" s="310">
        <v>1</v>
      </c>
      <c r="N36" s="23">
        <f t="shared" si="34"/>
        <v>2.9015416508939053E-2</v>
      </c>
      <c r="O36" s="23">
        <f t="shared" si="35"/>
        <v>0</v>
      </c>
      <c r="P36" s="321">
        <v>2000367073.6600001</v>
      </c>
      <c r="Q36" s="310">
        <v>1</v>
      </c>
      <c r="R36" s="23">
        <f t="shared" si="36"/>
        <v>-1.9817565388465723E-4</v>
      </c>
      <c r="S36" s="23">
        <f t="shared" si="37"/>
        <v>0</v>
      </c>
      <c r="T36" s="321">
        <v>2144985529.4100001</v>
      </c>
      <c r="U36" s="310">
        <v>1</v>
      </c>
      <c r="V36" s="23">
        <f t="shared" si="38"/>
        <v>7.2295958903880964E-2</v>
      </c>
      <c r="W36" s="23">
        <f t="shared" si="39"/>
        <v>0</v>
      </c>
      <c r="X36" s="321">
        <v>2201400009.9899998</v>
      </c>
      <c r="Y36" s="310">
        <v>1</v>
      </c>
      <c r="Z36" s="23">
        <f t="shared" si="40"/>
        <v>2.6300634576083625E-2</v>
      </c>
      <c r="AA36" s="23">
        <f t="shared" si="41"/>
        <v>0</v>
      </c>
      <c r="AB36" s="321">
        <v>2203096766.54</v>
      </c>
      <c r="AC36" s="310">
        <v>1</v>
      </c>
      <c r="AD36" s="23">
        <f t="shared" si="42"/>
        <v>7.7076248855286345E-4</v>
      </c>
      <c r="AE36" s="23">
        <f t="shared" si="43"/>
        <v>0</v>
      </c>
      <c r="AF36" s="321">
        <v>2247105838.5500002</v>
      </c>
      <c r="AG36" s="310">
        <v>1</v>
      </c>
      <c r="AH36" s="23">
        <f t="shared" si="44"/>
        <v>1.9976004993696762E-2</v>
      </c>
      <c r="AI36" s="23">
        <f t="shared" si="45"/>
        <v>0</v>
      </c>
      <c r="AJ36" s="24">
        <f t="shared" si="14"/>
        <v>3.7028312756819746E-2</v>
      </c>
      <c r="AK36" s="24">
        <f t="shared" si="15"/>
        <v>0</v>
      </c>
      <c r="AL36" s="25">
        <f t="shared" si="16"/>
        <v>0.25593495243938258</v>
      </c>
      <c r="AM36" s="25">
        <f t="shared" si="17"/>
        <v>0</v>
      </c>
      <c r="AN36" s="466">
        <f t="shared" si="18"/>
        <v>3.2677840561063931E-2</v>
      </c>
      <c r="AO36" s="467">
        <f t="shared" si="19"/>
        <v>0</v>
      </c>
      <c r="AP36" s="30"/>
      <c r="AQ36" s="38"/>
      <c r="AR36" s="35"/>
      <c r="AS36" s="29"/>
      <c r="AT36" s="29"/>
      <c r="AU36" s="88"/>
    </row>
    <row r="37" spans="1:47">
      <c r="A37" s="202" t="s">
        <v>134</v>
      </c>
      <c r="B37" s="321">
        <v>287229960.88</v>
      </c>
      <c r="C37" s="310">
        <v>1</v>
      </c>
      <c r="D37" s="321">
        <v>312532306.63</v>
      </c>
      <c r="E37" s="310">
        <v>1</v>
      </c>
      <c r="F37" s="23">
        <f>((D37-B37)/B37)</f>
        <v>8.8090899962107047E-2</v>
      </c>
      <c r="G37" s="23">
        <f>((E37-C37)/C37)</f>
        <v>0</v>
      </c>
      <c r="H37" s="321">
        <v>267748658.43000001</v>
      </c>
      <c r="I37" s="310">
        <v>1</v>
      </c>
      <c r="J37" s="23">
        <f t="shared" si="32"/>
        <v>-0.14329286044984255</v>
      </c>
      <c r="K37" s="23">
        <f t="shared" si="33"/>
        <v>0</v>
      </c>
      <c r="L37" s="321">
        <v>268120563.02000001</v>
      </c>
      <c r="M37" s="310">
        <v>1</v>
      </c>
      <c r="N37" s="23">
        <f t="shared" si="34"/>
        <v>1.3890063620887721E-3</v>
      </c>
      <c r="O37" s="23">
        <f t="shared" si="35"/>
        <v>0</v>
      </c>
      <c r="P37" s="321">
        <v>240353383.80000001</v>
      </c>
      <c r="Q37" s="310">
        <v>1</v>
      </c>
      <c r="R37" s="23">
        <f t="shared" si="36"/>
        <v>-0.10356228894659136</v>
      </c>
      <c r="S37" s="23">
        <f t="shared" si="37"/>
        <v>0</v>
      </c>
      <c r="T37" s="321">
        <v>266007303.19999999</v>
      </c>
      <c r="U37" s="310">
        <v>1</v>
      </c>
      <c r="V37" s="23">
        <f t="shared" si="38"/>
        <v>0.1067341719696645</v>
      </c>
      <c r="W37" s="23">
        <f t="shared" si="39"/>
        <v>0</v>
      </c>
      <c r="X37" s="389">
        <v>266218657.97</v>
      </c>
      <c r="Y37" s="310">
        <v>1</v>
      </c>
      <c r="Z37" s="23">
        <f t="shared" si="40"/>
        <v>7.9454498977083246E-4</v>
      </c>
      <c r="AA37" s="23">
        <f t="shared" si="41"/>
        <v>0</v>
      </c>
      <c r="AB37" s="389">
        <v>266633878.59</v>
      </c>
      <c r="AC37" s="310">
        <v>1</v>
      </c>
      <c r="AD37" s="23">
        <f t="shared" si="42"/>
        <v>1.5596976679478104E-3</v>
      </c>
      <c r="AE37" s="23">
        <f t="shared" si="43"/>
        <v>0</v>
      </c>
      <c r="AF37" s="389">
        <v>286270616.13999999</v>
      </c>
      <c r="AG37" s="310">
        <v>1</v>
      </c>
      <c r="AH37" s="23">
        <f t="shared" si="44"/>
        <v>7.3646821078559105E-2</v>
      </c>
      <c r="AI37" s="23">
        <f t="shared" si="45"/>
        <v>0</v>
      </c>
      <c r="AJ37" s="24">
        <f t="shared" si="14"/>
        <v>3.1699990792130178E-3</v>
      </c>
      <c r="AK37" s="24">
        <f t="shared" si="15"/>
        <v>0</v>
      </c>
      <c r="AL37" s="25">
        <f t="shared" si="16"/>
        <v>-8.4028722576481155E-2</v>
      </c>
      <c r="AM37" s="25">
        <f t="shared" si="17"/>
        <v>0</v>
      </c>
      <c r="AN37" s="466">
        <f t="shared" si="18"/>
        <v>8.9249760358901087E-2</v>
      </c>
      <c r="AO37" s="467">
        <f t="shared" si="19"/>
        <v>0</v>
      </c>
      <c r="AP37" s="30"/>
      <c r="AQ37" s="38"/>
      <c r="AR37" s="35"/>
      <c r="AS37" s="29"/>
      <c r="AT37" s="29"/>
    </row>
    <row r="38" spans="1:47" s="84" customFormat="1">
      <c r="A38" s="202" t="s">
        <v>14</v>
      </c>
      <c r="B38" s="321">
        <v>187253980669.20999</v>
      </c>
      <c r="C38" s="310">
        <v>100</v>
      </c>
      <c r="D38" s="321">
        <v>192496167589.39999</v>
      </c>
      <c r="E38" s="310">
        <v>100</v>
      </c>
      <c r="F38" s="23">
        <f>((D38-B38)/B38)</f>
        <v>2.799506264943168E-2</v>
      </c>
      <c r="G38" s="23">
        <f>((E38-C38)/C38)</f>
        <v>0</v>
      </c>
      <c r="H38" s="321">
        <v>191162635391.41</v>
      </c>
      <c r="I38" s="310">
        <v>100</v>
      </c>
      <c r="J38" s="23">
        <f t="shared" si="32"/>
        <v>-6.9275779081194684E-3</v>
      </c>
      <c r="K38" s="23">
        <f t="shared" si="33"/>
        <v>0</v>
      </c>
      <c r="L38" s="321">
        <v>191554928691.54001</v>
      </c>
      <c r="M38" s="310">
        <v>100</v>
      </c>
      <c r="N38" s="23">
        <f t="shared" si="34"/>
        <v>2.0521442348122847E-3</v>
      </c>
      <c r="O38" s="23">
        <f t="shared" si="35"/>
        <v>0</v>
      </c>
      <c r="P38" s="321">
        <v>187619140419.04999</v>
      </c>
      <c r="Q38" s="310">
        <v>100</v>
      </c>
      <c r="R38" s="23">
        <f t="shared" si="36"/>
        <v>-2.0546525737418126E-2</v>
      </c>
      <c r="S38" s="23">
        <f t="shared" si="37"/>
        <v>0</v>
      </c>
      <c r="T38" s="321">
        <v>189048435155.34</v>
      </c>
      <c r="U38" s="310">
        <v>100</v>
      </c>
      <c r="V38" s="23">
        <f t="shared" si="38"/>
        <v>7.6180646233516402E-3</v>
      </c>
      <c r="W38" s="23">
        <f t="shared" si="39"/>
        <v>0</v>
      </c>
      <c r="X38" s="321">
        <v>190240664187.16</v>
      </c>
      <c r="Y38" s="310">
        <v>100</v>
      </c>
      <c r="Z38" s="23">
        <f t="shared" si="40"/>
        <v>6.3064739511880102E-3</v>
      </c>
      <c r="AA38" s="23">
        <f t="shared" si="41"/>
        <v>0</v>
      </c>
      <c r="AB38" s="321">
        <v>191887392821.85001</v>
      </c>
      <c r="AC38" s="310">
        <v>100</v>
      </c>
      <c r="AD38" s="23">
        <f t="shared" si="42"/>
        <v>8.6560286241954033E-3</v>
      </c>
      <c r="AE38" s="23">
        <f t="shared" si="43"/>
        <v>0</v>
      </c>
      <c r="AF38" s="321">
        <v>191069692937.47</v>
      </c>
      <c r="AG38" s="310">
        <v>100</v>
      </c>
      <c r="AH38" s="23">
        <f t="shared" si="44"/>
        <v>-4.2613528296732081E-3</v>
      </c>
      <c r="AI38" s="23">
        <f t="shared" si="45"/>
        <v>0</v>
      </c>
      <c r="AJ38" s="24">
        <f t="shared" si="14"/>
        <v>2.6115397009710268E-3</v>
      </c>
      <c r="AK38" s="24">
        <f t="shared" si="15"/>
        <v>0</v>
      </c>
      <c r="AL38" s="25">
        <f t="shared" si="16"/>
        <v>-7.4104054630983887E-3</v>
      </c>
      <c r="AM38" s="25">
        <f t="shared" si="17"/>
        <v>0</v>
      </c>
      <c r="AN38" s="466">
        <f t="shared" si="18"/>
        <v>1.411391030743366E-2</v>
      </c>
      <c r="AO38" s="467">
        <f t="shared" si="19"/>
        <v>0</v>
      </c>
      <c r="AP38" s="30"/>
      <c r="AQ38" s="38"/>
      <c r="AR38" s="35"/>
      <c r="AS38" s="29"/>
      <c r="AT38" s="29"/>
    </row>
    <row r="39" spans="1:47" s="86" customFormat="1">
      <c r="A39" s="202" t="s">
        <v>122</v>
      </c>
      <c r="B39" s="321">
        <v>576712461.97000003</v>
      </c>
      <c r="C39" s="310">
        <v>10</v>
      </c>
      <c r="D39" s="321">
        <v>593191366.59000003</v>
      </c>
      <c r="E39" s="310">
        <v>10</v>
      </c>
      <c r="F39" s="23">
        <f>((D39-B39)/B39)</f>
        <v>2.8573866019314872E-2</v>
      </c>
      <c r="G39" s="23">
        <f>((E39-C39)/C39)</f>
        <v>0</v>
      </c>
      <c r="H39" s="321">
        <v>592894163.17999995</v>
      </c>
      <c r="I39" s="310">
        <v>10</v>
      </c>
      <c r="J39" s="23">
        <f t="shared" si="32"/>
        <v>-5.0102450362448693E-4</v>
      </c>
      <c r="K39" s="23">
        <f t="shared" si="33"/>
        <v>0</v>
      </c>
      <c r="L39" s="321">
        <v>593810224.89999998</v>
      </c>
      <c r="M39" s="310">
        <v>10</v>
      </c>
      <c r="N39" s="23">
        <f t="shared" si="34"/>
        <v>1.5450678668967035E-3</v>
      </c>
      <c r="O39" s="23">
        <f t="shared" si="35"/>
        <v>0</v>
      </c>
      <c r="P39" s="321">
        <v>560400456.76999998</v>
      </c>
      <c r="Q39" s="310">
        <v>10</v>
      </c>
      <c r="R39" s="23">
        <f t="shared" si="36"/>
        <v>-5.626337629269744E-2</v>
      </c>
      <c r="S39" s="23">
        <f t="shared" si="37"/>
        <v>0</v>
      </c>
      <c r="T39" s="321">
        <v>564427991.13999999</v>
      </c>
      <c r="U39" s="310">
        <v>10</v>
      </c>
      <c r="V39" s="23">
        <f t="shared" si="38"/>
        <v>7.1868863084331653E-3</v>
      </c>
      <c r="W39" s="23">
        <f t="shared" si="39"/>
        <v>0</v>
      </c>
      <c r="X39" s="321">
        <v>565444933.24000001</v>
      </c>
      <c r="Y39" s="310">
        <v>10</v>
      </c>
      <c r="Z39" s="23">
        <f t="shared" si="40"/>
        <v>1.801721594186109E-3</v>
      </c>
      <c r="AA39" s="23">
        <f t="shared" si="41"/>
        <v>0</v>
      </c>
      <c r="AB39" s="321">
        <v>572662387.32000005</v>
      </c>
      <c r="AC39" s="310">
        <v>10</v>
      </c>
      <c r="AD39" s="23">
        <f t="shared" si="42"/>
        <v>1.2764203294994659E-2</v>
      </c>
      <c r="AE39" s="23">
        <f t="shared" si="43"/>
        <v>0</v>
      </c>
      <c r="AF39" s="321">
        <v>587883712.46000004</v>
      </c>
      <c r="AG39" s="310">
        <v>10</v>
      </c>
      <c r="AH39" s="23">
        <f t="shared" si="44"/>
        <v>2.6579928203830868E-2</v>
      </c>
      <c r="AI39" s="23">
        <f t="shared" si="45"/>
        <v>0</v>
      </c>
      <c r="AJ39" s="24">
        <f t="shared" si="14"/>
        <v>2.7109090614168062E-3</v>
      </c>
      <c r="AK39" s="24">
        <f t="shared" si="15"/>
        <v>0</v>
      </c>
      <c r="AL39" s="25">
        <f t="shared" si="16"/>
        <v>-8.9476253852300604E-3</v>
      </c>
      <c r="AM39" s="25">
        <f t="shared" si="17"/>
        <v>0</v>
      </c>
      <c r="AN39" s="466">
        <f t="shared" si="18"/>
        <v>2.6322707124365501E-2</v>
      </c>
      <c r="AO39" s="467">
        <f t="shared" si="19"/>
        <v>0</v>
      </c>
      <c r="AP39" s="30"/>
      <c r="AQ39" s="38"/>
      <c r="AR39" s="35"/>
      <c r="AS39" s="29"/>
      <c r="AT39" s="29"/>
    </row>
    <row r="40" spans="1:47" s="86" customFormat="1">
      <c r="A40" s="202" t="s">
        <v>86</v>
      </c>
      <c r="B40" s="321">
        <v>2001244623.9100001</v>
      </c>
      <c r="C40" s="310">
        <v>100</v>
      </c>
      <c r="D40" s="321">
        <v>2005360529.7502565</v>
      </c>
      <c r="E40" s="310">
        <v>100</v>
      </c>
      <c r="F40" s="23">
        <f>((D40-B40)/B40)</f>
        <v>2.0566730279154284E-3</v>
      </c>
      <c r="G40" s="23">
        <f>((E40-C40)/C40)</f>
        <v>0</v>
      </c>
      <c r="H40" s="321">
        <v>2235671285.2163291</v>
      </c>
      <c r="I40" s="310">
        <v>100</v>
      </c>
      <c r="J40" s="23">
        <f t="shared" si="32"/>
        <v>0.11484755586306218</v>
      </c>
      <c r="K40" s="23">
        <f t="shared" si="33"/>
        <v>0</v>
      </c>
      <c r="L40" s="321">
        <v>2280515769.5008807</v>
      </c>
      <c r="M40" s="310">
        <v>100</v>
      </c>
      <c r="N40" s="23">
        <f t="shared" si="34"/>
        <v>2.0058621578714044E-2</v>
      </c>
      <c r="O40" s="23">
        <f t="shared" si="35"/>
        <v>0</v>
      </c>
      <c r="P40" s="321">
        <v>2285569159.5667915</v>
      </c>
      <c r="Q40" s="310">
        <v>100</v>
      </c>
      <c r="R40" s="23">
        <f t="shared" si="36"/>
        <v>2.2158978830551187E-3</v>
      </c>
      <c r="S40" s="23">
        <f t="shared" si="37"/>
        <v>0</v>
      </c>
      <c r="T40" s="321">
        <v>2273990063.543663</v>
      </c>
      <c r="U40" s="310">
        <v>100</v>
      </c>
      <c r="V40" s="23">
        <f t="shared" si="38"/>
        <v>-5.0661761752697166E-3</v>
      </c>
      <c r="W40" s="23">
        <f t="shared" si="39"/>
        <v>0</v>
      </c>
      <c r="X40" s="321">
        <v>2291317082.7194843</v>
      </c>
      <c r="Y40" s="310">
        <v>100</v>
      </c>
      <c r="Z40" s="23">
        <f t="shared" si="40"/>
        <v>7.6196547441459862E-3</v>
      </c>
      <c r="AA40" s="23">
        <f t="shared" si="41"/>
        <v>0</v>
      </c>
      <c r="AB40" s="321">
        <v>2297935491.6891432</v>
      </c>
      <c r="AC40" s="310">
        <v>100</v>
      </c>
      <c r="AD40" s="23">
        <f t="shared" si="42"/>
        <v>2.8884736292384698E-3</v>
      </c>
      <c r="AE40" s="23">
        <f t="shared" si="43"/>
        <v>0</v>
      </c>
      <c r="AF40" s="321">
        <v>2297191442.3656645</v>
      </c>
      <c r="AG40" s="310">
        <v>100</v>
      </c>
      <c r="AH40" s="23">
        <f t="shared" si="44"/>
        <v>-3.2379034405868829E-4</v>
      </c>
      <c r="AI40" s="23">
        <f t="shared" si="45"/>
        <v>0</v>
      </c>
      <c r="AJ40" s="24">
        <f t="shared" si="14"/>
        <v>1.8037113775850353E-2</v>
      </c>
      <c r="AK40" s="24">
        <f t="shared" si="15"/>
        <v>0</v>
      </c>
      <c r="AL40" s="25">
        <f t="shared" si="16"/>
        <v>0.14552540966374358</v>
      </c>
      <c r="AM40" s="25">
        <f t="shared" si="17"/>
        <v>0</v>
      </c>
      <c r="AN40" s="466">
        <f t="shared" si="18"/>
        <v>3.9804743269719445E-2</v>
      </c>
      <c r="AO40" s="467">
        <f t="shared" si="19"/>
        <v>0</v>
      </c>
      <c r="AP40" s="30"/>
      <c r="AQ40" s="38"/>
      <c r="AR40" s="35"/>
      <c r="AS40" s="29"/>
      <c r="AT40" s="29"/>
    </row>
    <row r="41" spans="1:47" s="370" customFormat="1">
      <c r="A41" s="202" t="s">
        <v>278</v>
      </c>
      <c r="B41" s="321">
        <v>17465062170.860001</v>
      </c>
      <c r="C41" s="310">
        <v>100</v>
      </c>
      <c r="D41" s="321">
        <v>17614943373.200001</v>
      </c>
      <c r="E41" s="310">
        <v>100</v>
      </c>
      <c r="F41" s="23">
        <f>((D41-B41)/B41)</f>
        <v>8.5817731923149409E-3</v>
      </c>
      <c r="G41" s="23">
        <f>((E41-C41)/C41)</f>
        <v>0</v>
      </c>
      <c r="H41" s="321">
        <v>17528080985.630001</v>
      </c>
      <c r="I41" s="310">
        <v>100</v>
      </c>
      <c r="J41" s="23">
        <f t="shared" ref="J41" si="46">((H41-D41)/D41)</f>
        <v>-4.9311760889424834E-3</v>
      </c>
      <c r="K41" s="23">
        <f t="shared" ref="K41" si="47">((I41-E41)/E41)</f>
        <v>0</v>
      </c>
      <c r="L41" s="321">
        <v>17590388292.700001</v>
      </c>
      <c r="M41" s="310">
        <v>100</v>
      </c>
      <c r="N41" s="23">
        <f t="shared" ref="N41" si="48">((L41-H41)/H41)</f>
        <v>3.5547135548427079E-3</v>
      </c>
      <c r="O41" s="23">
        <f t="shared" ref="O41" si="49">((M41-I41)/I41)</f>
        <v>0</v>
      </c>
      <c r="P41" s="321">
        <v>17805178071.02</v>
      </c>
      <c r="Q41" s="310">
        <v>100</v>
      </c>
      <c r="R41" s="23">
        <f t="shared" ref="R41" si="50">((P41-L41)/L41)</f>
        <v>1.2210633144985054E-2</v>
      </c>
      <c r="S41" s="23">
        <f t="shared" ref="S41" si="51">((Q41-M41)/M41)</f>
        <v>0</v>
      </c>
      <c r="T41" s="321">
        <v>18003048287.23</v>
      </c>
      <c r="U41" s="310">
        <v>100</v>
      </c>
      <c r="V41" s="23">
        <f t="shared" ref="V41" si="52">((T41-P41)/P41)</f>
        <v>1.1113071457120437E-2</v>
      </c>
      <c r="W41" s="23">
        <f t="shared" ref="W41" si="53">((U41-Q41)/Q41)</f>
        <v>0</v>
      </c>
      <c r="X41" s="321">
        <v>18399704831.07</v>
      </c>
      <c r="Y41" s="310">
        <v>100</v>
      </c>
      <c r="Z41" s="23">
        <f t="shared" ref="Z41" si="54">((X41-T41)/T41)</f>
        <v>2.2032743428309211E-2</v>
      </c>
      <c r="AA41" s="23">
        <f t="shared" ref="AA41" si="55">((Y41-U41)/U41)</f>
        <v>0</v>
      </c>
      <c r="AB41" s="321">
        <v>18624859998.630001</v>
      </c>
      <c r="AC41" s="310">
        <v>100</v>
      </c>
      <c r="AD41" s="23">
        <f t="shared" ref="AD41" si="56">((AB41-X41)/X41)</f>
        <v>1.2236890190749212E-2</v>
      </c>
      <c r="AE41" s="23">
        <f t="shared" ref="AE41" si="57">((AC41-Y41)/Y41)</f>
        <v>0</v>
      </c>
      <c r="AF41" s="321">
        <v>19027610965</v>
      </c>
      <c r="AG41" s="310">
        <v>100</v>
      </c>
      <c r="AH41" s="23">
        <f t="shared" si="44"/>
        <v>2.1624375506695045E-2</v>
      </c>
      <c r="AI41" s="23">
        <f t="shared" si="45"/>
        <v>0</v>
      </c>
      <c r="AJ41" s="24">
        <f t="shared" si="14"/>
        <v>1.0802878048259267E-2</v>
      </c>
      <c r="AK41" s="24">
        <f t="shared" si="15"/>
        <v>0</v>
      </c>
      <c r="AL41" s="25">
        <f t="shared" si="16"/>
        <v>8.0197112296669759E-2</v>
      </c>
      <c r="AM41" s="25">
        <f t="shared" si="17"/>
        <v>0</v>
      </c>
      <c r="AN41" s="466">
        <f t="shared" si="18"/>
        <v>8.8832002259655631E-3</v>
      </c>
      <c r="AO41" s="467">
        <f t="shared" si="19"/>
        <v>0</v>
      </c>
      <c r="AP41" s="30"/>
      <c r="AQ41" s="38"/>
      <c r="AR41" s="35"/>
      <c r="AS41" s="29"/>
      <c r="AT41" s="29"/>
    </row>
    <row r="42" spans="1:47" s="86" customFormat="1">
      <c r="A42" s="202" t="s">
        <v>121</v>
      </c>
      <c r="B42" s="321">
        <v>3416346956.9899998</v>
      </c>
      <c r="C42" s="310">
        <v>1</v>
      </c>
      <c r="D42" s="321">
        <v>3429760394.7600002</v>
      </c>
      <c r="E42" s="310">
        <v>1</v>
      </c>
      <c r="F42" s="23">
        <f>((D42-B42)/B42)</f>
        <v>3.9262516187227297E-3</v>
      </c>
      <c r="G42" s="23">
        <f>((E42-C42)/C42)</f>
        <v>0</v>
      </c>
      <c r="H42" s="321">
        <v>3336785148.4099998</v>
      </c>
      <c r="I42" s="310">
        <v>1</v>
      </c>
      <c r="J42" s="23">
        <f t="shared" si="32"/>
        <v>-2.710837949264569E-2</v>
      </c>
      <c r="K42" s="23">
        <f t="shared" si="33"/>
        <v>0</v>
      </c>
      <c r="L42" s="321">
        <v>3376669786.8499999</v>
      </c>
      <c r="M42" s="310">
        <v>1</v>
      </c>
      <c r="N42" s="23">
        <f t="shared" si="34"/>
        <v>1.1953013654177091E-2</v>
      </c>
      <c r="O42" s="23">
        <f t="shared" si="35"/>
        <v>0</v>
      </c>
      <c r="P42" s="321">
        <v>3399838189.9699998</v>
      </c>
      <c r="Q42" s="310">
        <v>1</v>
      </c>
      <c r="R42" s="23">
        <f t="shared" si="36"/>
        <v>6.8613173873934043E-3</v>
      </c>
      <c r="S42" s="23">
        <f t="shared" si="37"/>
        <v>0</v>
      </c>
      <c r="T42" s="321">
        <v>3390476819.2399998</v>
      </c>
      <c r="U42" s="310">
        <v>1</v>
      </c>
      <c r="V42" s="23">
        <f t="shared" si="38"/>
        <v>-2.7534753735096503E-3</v>
      </c>
      <c r="W42" s="23">
        <f t="shared" si="39"/>
        <v>0</v>
      </c>
      <c r="X42" s="321">
        <v>3309853518.3899999</v>
      </c>
      <c r="Y42" s="310">
        <v>1</v>
      </c>
      <c r="Z42" s="23">
        <f t="shared" si="40"/>
        <v>-2.3779339941947225E-2</v>
      </c>
      <c r="AA42" s="23">
        <f t="shared" si="41"/>
        <v>0</v>
      </c>
      <c r="AB42" s="321">
        <v>3303707470.5599999</v>
      </c>
      <c r="AC42" s="310">
        <v>1</v>
      </c>
      <c r="AD42" s="23">
        <f t="shared" si="42"/>
        <v>-1.8568942087169838E-3</v>
      </c>
      <c r="AE42" s="23">
        <f t="shared" si="43"/>
        <v>0</v>
      </c>
      <c r="AF42" s="321">
        <v>3223499113.8299999</v>
      </c>
      <c r="AG42" s="310">
        <v>1</v>
      </c>
      <c r="AH42" s="23">
        <f t="shared" si="44"/>
        <v>-2.4278286574932188E-2</v>
      </c>
      <c r="AI42" s="23">
        <f t="shared" si="45"/>
        <v>0</v>
      </c>
      <c r="AJ42" s="24">
        <f t="shared" si="14"/>
        <v>-7.1294741164323137E-3</v>
      </c>
      <c r="AK42" s="24">
        <f t="shared" si="15"/>
        <v>0</v>
      </c>
      <c r="AL42" s="25">
        <f t="shared" si="16"/>
        <v>-6.0138685269422031E-2</v>
      </c>
      <c r="AM42" s="25">
        <f t="shared" si="17"/>
        <v>0</v>
      </c>
      <c r="AN42" s="466">
        <f t="shared" si="18"/>
        <v>1.5581667720238196E-2</v>
      </c>
      <c r="AO42" s="467">
        <f t="shared" si="19"/>
        <v>0</v>
      </c>
      <c r="AP42" s="30"/>
      <c r="AQ42" s="38"/>
      <c r="AR42" s="35"/>
      <c r="AS42" s="29"/>
      <c r="AT42" s="29"/>
    </row>
    <row r="43" spans="1:47" s="86" customFormat="1">
      <c r="A43" s="202" t="s">
        <v>55</v>
      </c>
      <c r="B43" s="316">
        <v>2561825347.02</v>
      </c>
      <c r="C43" s="310">
        <v>10</v>
      </c>
      <c r="D43" s="316">
        <v>2679078960.8699999</v>
      </c>
      <c r="E43" s="310">
        <v>10</v>
      </c>
      <c r="F43" s="23">
        <f>((D43-B43)/B43)</f>
        <v>4.5769558017057323E-2</v>
      </c>
      <c r="G43" s="23">
        <f>((E43-C43)/C43)</f>
        <v>0</v>
      </c>
      <c r="H43" s="316">
        <v>2677023149.29</v>
      </c>
      <c r="I43" s="310">
        <v>10</v>
      </c>
      <c r="J43" s="23">
        <f t="shared" si="32"/>
        <v>-7.6735759192865397E-4</v>
      </c>
      <c r="K43" s="23">
        <f t="shared" si="33"/>
        <v>0</v>
      </c>
      <c r="L43" s="316">
        <v>2690676689.1799998</v>
      </c>
      <c r="M43" s="310">
        <v>10</v>
      </c>
      <c r="N43" s="23">
        <f t="shared" si="34"/>
        <v>5.100269638542744E-3</v>
      </c>
      <c r="O43" s="23">
        <f t="shared" si="35"/>
        <v>0</v>
      </c>
      <c r="P43" s="316">
        <v>2676146225.9000001</v>
      </c>
      <c r="Q43" s="310">
        <v>10</v>
      </c>
      <c r="R43" s="23">
        <f t="shared" si="36"/>
        <v>-5.4003007267394805E-3</v>
      </c>
      <c r="S43" s="23">
        <f t="shared" si="37"/>
        <v>0</v>
      </c>
      <c r="T43" s="316">
        <v>2768537546.7199998</v>
      </c>
      <c r="U43" s="310">
        <v>10</v>
      </c>
      <c r="V43" s="23">
        <f t="shared" si="38"/>
        <v>3.452401812943838E-2</v>
      </c>
      <c r="W43" s="23">
        <f t="shared" si="39"/>
        <v>0</v>
      </c>
      <c r="X43" s="316">
        <v>2969180321.9699998</v>
      </c>
      <c r="Y43" s="310">
        <v>10</v>
      </c>
      <c r="Z43" s="23">
        <f t="shared" si="40"/>
        <v>7.2472477567699867E-2</v>
      </c>
      <c r="AA43" s="23">
        <f t="shared" si="41"/>
        <v>0</v>
      </c>
      <c r="AB43" s="316">
        <v>3002907899.8200002</v>
      </c>
      <c r="AC43" s="310">
        <v>10</v>
      </c>
      <c r="AD43" s="23">
        <f t="shared" si="42"/>
        <v>1.1359221802878822E-2</v>
      </c>
      <c r="AE43" s="23">
        <f t="shared" si="43"/>
        <v>0</v>
      </c>
      <c r="AF43" s="316">
        <v>3071845396.8600001</v>
      </c>
      <c r="AG43" s="310">
        <v>10</v>
      </c>
      <c r="AH43" s="23">
        <f t="shared" si="44"/>
        <v>2.2956913545078155E-2</v>
      </c>
      <c r="AI43" s="23">
        <f t="shared" si="45"/>
        <v>0</v>
      </c>
      <c r="AJ43" s="24">
        <f t="shared" si="14"/>
        <v>2.3251850047753393E-2</v>
      </c>
      <c r="AK43" s="24">
        <f t="shared" si="15"/>
        <v>0</v>
      </c>
      <c r="AL43" s="25">
        <f t="shared" si="16"/>
        <v>0.1466050242365585</v>
      </c>
      <c r="AM43" s="25">
        <f t="shared" si="17"/>
        <v>0</v>
      </c>
      <c r="AN43" s="466">
        <f t="shared" si="18"/>
        <v>2.6526667616935971E-2</v>
      </c>
      <c r="AO43" s="467">
        <f t="shared" si="19"/>
        <v>0</v>
      </c>
      <c r="AP43" s="30"/>
      <c r="AQ43" s="38"/>
      <c r="AR43" s="35"/>
      <c r="AS43" s="29"/>
      <c r="AT43" s="29"/>
    </row>
    <row r="44" spans="1:47" s="86" customFormat="1">
      <c r="A44" s="202" t="s">
        <v>188</v>
      </c>
      <c r="B44" s="321">
        <v>3429573284.3099999</v>
      </c>
      <c r="C44" s="310">
        <v>100</v>
      </c>
      <c r="D44" s="321">
        <v>3495845153.1100001</v>
      </c>
      <c r="E44" s="310">
        <v>100</v>
      </c>
      <c r="F44" s="23">
        <f>((D44-B44)/B44)</f>
        <v>1.9323648543446568E-2</v>
      </c>
      <c r="G44" s="23">
        <f>((E44-C44)/C44)</f>
        <v>0</v>
      </c>
      <c r="H44" s="321">
        <v>3615054648.0999999</v>
      </c>
      <c r="I44" s="310">
        <v>100</v>
      </c>
      <c r="J44" s="23">
        <f t="shared" si="32"/>
        <v>3.4100336190219328E-2</v>
      </c>
      <c r="K44" s="23">
        <f t="shared" si="33"/>
        <v>0</v>
      </c>
      <c r="L44" s="321">
        <v>3621727581.6700001</v>
      </c>
      <c r="M44" s="310">
        <v>100</v>
      </c>
      <c r="N44" s="23">
        <f t="shared" si="34"/>
        <v>1.8458734983459605E-3</v>
      </c>
      <c r="O44" s="23">
        <f t="shared" si="35"/>
        <v>0</v>
      </c>
      <c r="P44" s="321">
        <v>3644873317.54</v>
      </c>
      <c r="Q44" s="310">
        <v>100</v>
      </c>
      <c r="R44" s="23">
        <f t="shared" si="36"/>
        <v>6.3907997904489684E-3</v>
      </c>
      <c r="S44" s="23">
        <f t="shared" si="37"/>
        <v>0</v>
      </c>
      <c r="T44" s="321">
        <v>3657500971.8700004</v>
      </c>
      <c r="U44" s="310">
        <v>100</v>
      </c>
      <c r="V44" s="23">
        <f t="shared" si="38"/>
        <v>3.4644974543376074E-3</v>
      </c>
      <c r="W44" s="23">
        <f t="shared" si="39"/>
        <v>0</v>
      </c>
      <c r="X44" s="321">
        <v>3614399783.6399999</v>
      </c>
      <c r="Y44" s="310">
        <v>100</v>
      </c>
      <c r="Z44" s="23">
        <f t="shared" si="40"/>
        <v>-1.1784327211802162E-2</v>
      </c>
      <c r="AA44" s="23">
        <f t="shared" si="41"/>
        <v>0</v>
      </c>
      <c r="AB44" s="321">
        <v>3610394554.9899998</v>
      </c>
      <c r="AC44" s="310">
        <v>100</v>
      </c>
      <c r="AD44" s="23">
        <f t="shared" si="42"/>
        <v>-1.1081310562625418E-3</v>
      </c>
      <c r="AE44" s="23">
        <f t="shared" si="43"/>
        <v>0</v>
      </c>
      <c r="AF44" s="321">
        <v>3715299710.0300002</v>
      </c>
      <c r="AG44" s="310">
        <v>100</v>
      </c>
      <c r="AH44" s="23">
        <f t="shared" si="44"/>
        <v>2.9056424011887811E-2</v>
      </c>
      <c r="AI44" s="23">
        <f t="shared" si="45"/>
        <v>0</v>
      </c>
      <c r="AJ44" s="24">
        <f t="shared" si="14"/>
        <v>1.0161140152577693E-2</v>
      </c>
      <c r="AK44" s="24">
        <f t="shared" si="15"/>
        <v>0</v>
      </c>
      <c r="AL44" s="25">
        <f t="shared" si="16"/>
        <v>6.2775823100965231E-2</v>
      </c>
      <c r="AM44" s="25">
        <f t="shared" si="17"/>
        <v>0</v>
      </c>
      <c r="AN44" s="466">
        <f t="shared" si="18"/>
        <v>1.5815329723720181E-2</v>
      </c>
      <c r="AO44" s="467">
        <f t="shared" si="19"/>
        <v>0</v>
      </c>
      <c r="AP44" s="30"/>
      <c r="AQ44" s="38"/>
      <c r="AR44" s="35"/>
      <c r="AS44" s="29"/>
      <c r="AT44" s="29"/>
    </row>
    <row r="45" spans="1:47" s="86" customFormat="1">
      <c r="A45" s="202" t="s">
        <v>162</v>
      </c>
      <c r="B45" s="321">
        <v>138164735.56</v>
      </c>
      <c r="C45" s="310">
        <v>1</v>
      </c>
      <c r="D45" s="321">
        <v>140973409.09999999</v>
      </c>
      <c r="E45" s="310">
        <v>1</v>
      </c>
      <c r="F45" s="23">
        <f>((D45-B45)/B45)</f>
        <v>2.0328440022094389E-2</v>
      </c>
      <c r="G45" s="23">
        <f>((E45-C45)/C45)</f>
        <v>0</v>
      </c>
      <c r="H45" s="321">
        <v>140315263.97</v>
      </c>
      <c r="I45" s="310">
        <v>1</v>
      </c>
      <c r="J45" s="23">
        <f t="shared" si="32"/>
        <v>-4.6685763946670089E-3</v>
      </c>
      <c r="K45" s="23">
        <f t="shared" si="33"/>
        <v>0</v>
      </c>
      <c r="L45" s="321">
        <v>140315263.97</v>
      </c>
      <c r="M45" s="310">
        <v>1</v>
      </c>
      <c r="N45" s="23">
        <f t="shared" si="34"/>
        <v>0</v>
      </c>
      <c r="O45" s="23">
        <f t="shared" si="35"/>
        <v>0</v>
      </c>
      <c r="P45" s="321">
        <v>141105257.72</v>
      </c>
      <c r="Q45" s="310">
        <v>1</v>
      </c>
      <c r="R45" s="23">
        <f t="shared" si="36"/>
        <v>5.630134082696121E-3</v>
      </c>
      <c r="S45" s="23">
        <f t="shared" si="37"/>
        <v>0</v>
      </c>
      <c r="T45" s="321">
        <v>140805259.80000001</v>
      </c>
      <c r="U45" s="310">
        <v>1</v>
      </c>
      <c r="V45" s="23">
        <f t="shared" si="38"/>
        <v>-2.1260577022245552E-3</v>
      </c>
      <c r="W45" s="23">
        <f t="shared" si="39"/>
        <v>0</v>
      </c>
      <c r="X45" s="321">
        <v>140805259.68000001</v>
      </c>
      <c r="Y45" s="310">
        <v>1</v>
      </c>
      <c r="Z45" s="23">
        <f t="shared" si="40"/>
        <v>-8.5224092437185769E-10</v>
      </c>
      <c r="AA45" s="23">
        <f t="shared" si="41"/>
        <v>0</v>
      </c>
      <c r="AB45" s="321">
        <v>140805259.56</v>
      </c>
      <c r="AC45" s="310">
        <v>1</v>
      </c>
      <c r="AD45" s="23">
        <f t="shared" si="42"/>
        <v>-8.5224092509817231E-10</v>
      </c>
      <c r="AE45" s="23">
        <f t="shared" si="43"/>
        <v>0</v>
      </c>
      <c r="AF45" s="321">
        <v>140745259.96000001</v>
      </c>
      <c r="AG45" s="310">
        <v>1</v>
      </c>
      <c r="AH45" s="23">
        <f t="shared" si="44"/>
        <v>-4.261176051767227E-4</v>
      </c>
      <c r="AI45" s="23">
        <f t="shared" si="45"/>
        <v>0</v>
      </c>
      <c r="AJ45" s="24">
        <f t="shared" si="14"/>
        <v>2.3422275872800468E-3</v>
      </c>
      <c r="AK45" s="24">
        <f t="shared" si="15"/>
        <v>0</v>
      </c>
      <c r="AL45" s="25">
        <f t="shared" si="16"/>
        <v>-1.6183842148425828E-3</v>
      </c>
      <c r="AM45" s="25">
        <f t="shared" si="17"/>
        <v>0</v>
      </c>
      <c r="AN45" s="466">
        <f t="shared" si="18"/>
        <v>7.815305003421839E-3</v>
      </c>
      <c r="AO45" s="467">
        <f t="shared" si="19"/>
        <v>0</v>
      </c>
      <c r="AP45" s="30"/>
      <c r="AQ45" s="38"/>
      <c r="AR45" s="35"/>
      <c r="AS45" s="29"/>
      <c r="AT45" s="29"/>
    </row>
    <row r="46" spans="1:47" s="86" customFormat="1">
      <c r="A46" s="202" t="s">
        <v>95</v>
      </c>
      <c r="B46" s="316">
        <v>647523127.77999997</v>
      </c>
      <c r="C46" s="310">
        <v>10</v>
      </c>
      <c r="D46" s="316">
        <v>649816957.09000003</v>
      </c>
      <c r="E46" s="310">
        <v>10</v>
      </c>
      <c r="F46" s="23">
        <f>((D46-B46)/B46)</f>
        <v>3.5424669970698019E-3</v>
      </c>
      <c r="G46" s="23">
        <f>((E46-C46)/C46)</f>
        <v>0</v>
      </c>
      <c r="H46" s="316">
        <v>658939973.36000001</v>
      </c>
      <c r="I46" s="310">
        <v>10</v>
      </c>
      <c r="J46" s="23">
        <f t="shared" si="32"/>
        <v>1.4039363193682305E-2</v>
      </c>
      <c r="K46" s="23">
        <f t="shared" si="33"/>
        <v>0</v>
      </c>
      <c r="L46" s="316">
        <v>650289130.97000003</v>
      </c>
      <c r="M46" s="310">
        <v>10</v>
      </c>
      <c r="N46" s="23">
        <f t="shared" si="34"/>
        <v>-1.3128422526696151E-2</v>
      </c>
      <c r="O46" s="23">
        <f t="shared" si="35"/>
        <v>0</v>
      </c>
      <c r="P46" s="316">
        <v>649377694.04999995</v>
      </c>
      <c r="Q46" s="310">
        <v>10</v>
      </c>
      <c r="R46" s="23">
        <f t="shared" si="36"/>
        <v>-1.4015871965144745E-3</v>
      </c>
      <c r="S46" s="23">
        <f t="shared" si="37"/>
        <v>0</v>
      </c>
      <c r="T46" s="316">
        <v>630430013.75</v>
      </c>
      <c r="U46" s="310">
        <v>10</v>
      </c>
      <c r="V46" s="23">
        <f t="shared" si="38"/>
        <v>-2.9178212423386755E-2</v>
      </c>
      <c r="W46" s="23">
        <f t="shared" si="39"/>
        <v>0</v>
      </c>
      <c r="X46" s="316">
        <v>637722694.30999994</v>
      </c>
      <c r="Y46" s="310">
        <v>10</v>
      </c>
      <c r="Z46" s="23">
        <f t="shared" si="40"/>
        <v>1.1567787701954003E-2</v>
      </c>
      <c r="AA46" s="23">
        <f t="shared" si="41"/>
        <v>0</v>
      </c>
      <c r="AB46" s="316">
        <v>659737414.15999997</v>
      </c>
      <c r="AC46" s="310">
        <v>10</v>
      </c>
      <c r="AD46" s="23">
        <f t="shared" si="42"/>
        <v>3.4520834912139045E-2</v>
      </c>
      <c r="AE46" s="23">
        <f t="shared" si="43"/>
        <v>0</v>
      </c>
      <c r="AF46" s="316">
        <v>669207531.46000004</v>
      </c>
      <c r="AG46" s="310">
        <v>10</v>
      </c>
      <c r="AH46" s="23">
        <f t="shared" si="44"/>
        <v>1.4354373568547338E-2</v>
      </c>
      <c r="AI46" s="23">
        <f t="shared" si="45"/>
        <v>0</v>
      </c>
      <c r="AJ46" s="24">
        <f t="shared" si="14"/>
        <v>4.2895755283493889E-3</v>
      </c>
      <c r="AK46" s="24">
        <f t="shared" si="15"/>
        <v>0</v>
      </c>
      <c r="AL46" s="25">
        <f t="shared" si="16"/>
        <v>2.9840055970275947E-2</v>
      </c>
      <c r="AM46" s="25">
        <f t="shared" si="17"/>
        <v>0</v>
      </c>
      <c r="AN46" s="466">
        <f t="shared" si="18"/>
        <v>1.9345309237381265E-2</v>
      </c>
      <c r="AO46" s="467">
        <f t="shared" si="19"/>
        <v>0</v>
      </c>
      <c r="AP46" s="30"/>
      <c r="AQ46" s="38"/>
      <c r="AR46" s="35"/>
      <c r="AS46" s="29"/>
      <c r="AT46" s="29"/>
    </row>
    <row r="47" spans="1:47" s="93" customFormat="1">
      <c r="A47" s="202" t="s">
        <v>34</v>
      </c>
      <c r="B47" s="321">
        <v>343681468858.88</v>
      </c>
      <c r="C47" s="310">
        <v>100</v>
      </c>
      <c r="D47" s="321">
        <v>346941578575.98999</v>
      </c>
      <c r="E47" s="310">
        <v>100</v>
      </c>
      <c r="F47" s="23">
        <f>((D47-B47)/B47)</f>
        <v>9.4858466705652605E-3</v>
      </c>
      <c r="G47" s="23">
        <f>((E47-C47)/C47)</f>
        <v>0</v>
      </c>
      <c r="H47" s="321">
        <v>350499771127.26001</v>
      </c>
      <c r="I47" s="310">
        <v>100</v>
      </c>
      <c r="J47" s="23">
        <f t="shared" si="32"/>
        <v>1.0255883903781441E-2</v>
      </c>
      <c r="K47" s="23">
        <f t="shared" si="33"/>
        <v>0</v>
      </c>
      <c r="L47" s="321">
        <v>340341399775.10999</v>
      </c>
      <c r="M47" s="310">
        <v>100</v>
      </c>
      <c r="N47" s="23">
        <f t="shared" si="34"/>
        <v>-2.8982533482059557E-2</v>
      </c>
      <c r="O47" s="23">
        <f t="shared" si="35"/>
        <v>0</v>
      </c>
      <c r="P47" s="321">
        <v>337020215840.06</v>
      </c>
      <c r="Q47" s="310">
        <v>100</v>
      </c>
      <c r="R47" s="23">
        <f t="shared" si="36"/>
        <v>-9.7583894796358962E-3</v>
      </c>
      <c r="S47" s="23">
        <f t="shared" si="37"/>
        <v>0</v>
      </c>
      <c r="T47" s="321">
        <v>341685230744.69</v>
      </c>
      <c r="U47" s="310">
        <v>100</v>
      </c>
      <c r="V47" s="23">
        <f t="shared" si="38"/>
        <v>1.3841943851949479E-2</v>
      </c>
      <c r="W47" s="23">
        <f t="shared" si="39"/>
        <v>0</v>
      </c>
      <c r="X47" s="321">
        <v>343799646939.75</v>
      </c>
      <c r="Y47" s="310">
        <v>100</v>
      </c>
      <c r="Z47" s="23">
        <f t="shared" si="40"/>
        <v>6.1881989761503817E-3</v>
      </c>
      <c r="AA47" s="23">
        <f t="shared" si="41"/>
        <v>0</v>
      </c>
      <c r="AB47" s="321">
        <v>347912159703.41998</v>
      </c>
      <c r="AC47" s="310">
        <v>100</v>
      </c>
      <c r="AD47" s="23">
        <f t="shared" si="42"/>
        <v>1.196194586084229E-2</v>
      </c>
      <c r="AE47" s="23">
        <f t="shared" si="43"/>
        <v>0</v>
      </c>
      <c r="AF47" s="321">
        <v>347302845839.95001</v>
      </c>
      <c r="AG47" s="310">
        <v>100</v>
      </c>
      <c r="AH47" s="23">
        <f t="shared" si="44"/>
        <v>-1.7513439713903198E-3</v>
      </c>
      <c r="AI47" s="23">
        <f t="shared" si="45"/>
        <v>0</v>
      </c>
      <c r="AJ47" s="24">
        <f t="shared" si="14"/>
        <v>1.4051940412753848E-3</v>
      </c>
      <c r="AK47" s="24">
        <f t="shared" si="15"/>
        <v>0</v>
      </c>
      <c r="AL47" s="25">
        <f t="shared" si="16"/>
        <v>1.0412913477906894E-3</v>
      </c>
      <c r="AM47" s="25">
        <f t="shared" si="17"/>
        <v>0</v>
      </c>
      <c r="AN47" s="466">
        <f t="shared" si="18"/>
        <v>1.4592707876998996E-2</v>
      </c>
      <c r="AO47" s="467">
        <f t="shared" si="19"/>
        <v>0</v>
      </c>
      <c r="AP47" s="30"/>
      <c r="AQ47" s="38"/>
      <c r="AR47" s="35"/>
      <c r="AS47" s="29"/>
      <c r="AT47" s="29"/>
    </row>
    <row r="48" spans="1:47" s="93" customFormat="1">
      <c r="A48" s="202" t="s">
        <v>151</v>
      </c>
      <c r="B48" s="321">
        <v>1278171502.02</v>
      </c>
      <c r="C48" s="310">
        <v>1</v>
      </c>
      <c r="D48" s="321">
        <v>1419447567.9300001</v>
      </c>
      <c r="E48" s="310">
        <v>1</v>
      </c>
      <c r="F48" s="23">
        <f>((D48-B48)/B48)</f>
        <v>0.11052981989250257</v>
      </c>
      <c r="G48" s="23">
        <f>((E48-C48)/C48)</f>
        <v>0</v>
      </c>
      <c r="H48" s="321">
        <v>1469597745.29</v>
      </c>
      <c r="I48" s="310">
        <v>1</v>
      </c>
      <c r="J48" s="23">
        <f t="shared" si="32"/>
        <v>3.5330771275429773E-2</v>
      </c>
      <c r="K48" s="23">
        <f t="shared" si="33"/>
        <v>0</v>
      </c>
      <c r="L48" s="321">
        <v>1492772659.6099999</v>
      </c>
      <c r="M48" s="310">
        <v>1</v>
      </c>
      <c r="N48" s="23">
        <f t="shared" si="34"/>
        <v>1.5769563061915803E-2</v>
      </c>
      <c r="O48" s="23">
        <f t="shared" si="35"/>
        <v>0</v>
      </c>
      <c r="P48" s="321">
        <v>1544544174.45</v>
      </c>
      <c r="Q48" s="310">
        <v>1</v>
      </c>
      <c r="R48" s="23">
        <f t="shared" si="36"/>
        <v>3.4681446305109796E-2</v>
      </c>
      <c r="S48" s="23">
        <f t="shared" si="37"/>
        <v>0</v>
      </c>
      <c r="T48" s="321">
        <v>1614754146.3699999</v>
      </c>
      <c r="U48" s="310">
        <v>1</v>
      </c>
      <c r="V48" s="23">
        <f t="shared" si="38"/>
        <v>4.5456758752141911E-2</v>
      </c>
      <c r="W48" s="23">
        <f t="shared" si="39"/>
        <v>0</v>
      </c>
      <c r="X48" s="321">
        <v>1858104842.04</v>
      </c>
      <c r="Y48" s="310">
        <v>1</v>
      </c>
      <c r="Z48" s="23">
        <f t="shared" si="40"/>
        <v>0.15070448725402402</v>
      </c>
      <c r="AA48" s="23">
        <f t="shared" si="41"/>
        <v>0</v>
      </c>
      <c r="AB48" s="321">
        <v>1955331148.1600001</v>
      </c>
      <c r="AC48" s="310">
        <v>1</v>
      </c>
      <c r="AD48" s="23">
        <f t="shared" si="42"/>
        <v>5.2325522177347143E-2</v>
      </c>
      <c r="AE48" s="23">
        <f t="shared" si="43"/>
        <v>0</v>
      </c>
      <c r="AF48" s="321">
        <v>1871697039.27</v>
      </c>
      <c r="AG48" s="310">
        <v>1</v>
      </c>
      <c r="AH48" s="23">
        <f t="shared" si="44"/>
        <v>-4.2772350334980967E-2</v>
      </c>
      <c r="AI48" s="23">
        <f t="shared" si="45"/>
        <v>0</v>
      </c>
      <c r="AJ48" s="24">
        <f t="shared" si="14"/>
        <v>5.0253252297936264E-2</v>
      </c>
      <c r="AK48" s="24">
        <f t="shared" si="15"/>
        <v>0</v>
      </c>
      <c r="AL48" s="25">
        <f t="shared" si="16"/>
        <v>0.31860949397343469</v>
      </c>
      <c r="AM48" s="25">
        <f t="shared" si="17"/>
        <v>0</v>
      </c>
      <c r="AN48" s="466">
        <f t="shared" si="18"/>
        <v>5.8626012033010162E-2</v>
      </c>
      <c r="AO48" s="467">
        <f t="shared" si="19"/>
        <v>0</v>
      </c>
      <c r="AP48" s="30"/>
      <c r="AQ48" s="38"/>
      <c r="AR48" s="35"/>
      <c r="AS48" s="29"/>
      <c r="AT48" s="29"/>
    </row>
    <row r="49" spans="1:48" s="103" customFormat="1">
      <c r="A49" s="202" t="s">
        <v>76</v>
      </c>
      <c r="B49" s="321">
        <v>42361939050.220001</v>
      </c>
      <c r="C49" s="310">
        <v>1</v>
      </c>
      <c r="D49" s="321">
        <v>44507670041.57</v>
      </c>
      <c r="E49" s="310">
        <v>1</v>
      </c>
      <c r="F49" s="23">
        <f>((D49-B49)/B49)</f>
        <v>5.0652331773723538E-2</v>
      </c>
      <c r="G49" s="23">
        <f>((E49-C49)/C49)</f>
        <v>0</v>
      </c>
      <c r="H49" s="321">
        <v>47601196591.650002</v>
      </c>
      <c r="I49" s="310">
        <v>1</v>
      </c>
      <c r="J49" s="23">
        <f t="shared" si="32"/>
        <v>6.950547056699799E-2</v>
      </c>
      <c r="K49" s="23">
        <f t="shared" si="33"/>
        <v>0</v>
      </c>
      <c r="L49" s="321">
        <v>48551316517.480003</v>
      </c>
      <c r="M49" s="310">
        <v>1</v>
      </c>
      <c r="N49" s="23">
        <f t="shared" si="34"/>
        <v>1.9960000879403687E-2</v>
      </c>
      <c r="O49" s="23">
        <f t="shared" si="35"/>
        <v>0</v>
      </c>
      <c r="P49" s="321">
        <v>47624281523.449997</v>
      </c>
      <c r="Q49" s="310">
        <v>1</v>
      </c>
      <c r="R49" s="23">
        <f t="shared" si="36"/>
        <v>-1.9093920835210401E-2</v>
      </c>
      <c r="S49" s="23">
        <f t="shared" si="37"/>
        <v>0</v>
      </c>
      <c r="T49" s="321">
        <v>47992325555.459999</v>
      </c>
      <c r="U49" s="310">
        <v>1</v>
      </c>
      <c r="V49" s="23">
        <f t="shared" si="38"/>
        <v>7.7280752640599693E-3</v>
      </c>
      <c r="W49" s="23">
        <f t="shared" si="39"/>
        <v>0</v>
      </c>
      <c r="X49" s="321">
        <v>46871670231.099998</v>
      </c>
      <c r="Y49" s="310">
        <v>1</v>
      </c>
      <c r="Z49" s="23">
        <f t="shared" si="40"/>
        <v>-2.335071933667748E-2</v>
      </c>
      <c r="AA49" s="23">
        <f t="shared" si="41"/>
        <v>0</v>
      </c>
      <c r="AB49" s="321">
        <v>47016801670.660004</v>
      </c>
      <c r="AC49" s="310">
        <v>1</v>
      </c>
      <c r="AD49" s="23">
        <f t="shared" si="42"/>
        <v>3.0963573272391833E-3</v>
      </c>
      <c r="AE49" s="23">
        <f t="shared" si="43"/>
        <v>0</v>
      </c>
      <c r="AF49" s="321">
        <v>47758737757.550003</v>
      </c>
      <c r="AG49" s="310">
        <v>1</v>
      </c>
      <c r="AH49" s="23">
        <f t="shared" si="44"/>
        <v>1.578023303428977E-2</v>
      </c>
      <c r="AI49" s="23">
        <f t="shared" si="45"/>
        <v>0</v>
      </c>
      <c r="AJ49" s="24">
        <f t="shared" si="14"/>
        <v>1.5534728584228283E-2</v>
      </c>
      <c r="AK49" s="24">
        <f t="shared" si="15"/>
        <v>0</v>
      </c>
      <c r="AL49" s="25">
        <f t="shared" si="16"/>
        <v>7.3045111391890835E-2</v>
      </c>
      <c r="AM49" s="25">
        <f t="shared" si="17"/>
        <v>0</v>
      </c>
      <c r="AN49" s="466">
        <f t="shared" si="18"/>
        <v>3.1831270984630476E-2</v>
      </c>
      <c r="AO49" s="467">
        <f t="shared" si="19"/>
        <v>0</v>
      </c>
      <c r="AP49" s="30"/>
      <c r="AQ49" s="38"/>
      <c r="AR49" s="35"/>
      <c r="AS49" s="29"/>
      <c r="AT49" s="29"/>
    </row>
    <row r="50" spans="1:48" s="103" customFormat="1">
      <c r="A50" s="202" t="s">
        <v>159</v>
      </c>
      <c r="B50" s="321">
        <v>1191736841.5999999</v>
      </c>
      <c r="C50" s="310">
        <v>1</v>
      </c>
      <c r="D50" s="321">
        <v>1224875447.25</v>
      </c>
      <c r="E50" s="310">
        <v>1</v>
      </c>
      <c r="F50" s="23">
        <f>((D50-B50)/B50)</f>
        <v>2.7806982626725651E-2</v>
      </c>
      <c r="G50" s="23">
        <f>((E50-C50)/C50)</f>
        <v>0</v>
      </c>
      <c r="H50" s="321">
        <v>1226542907.54</v>
      </c>
      <c r="I50" s="310">
        <v>1</v>
      </c>
      <c r="J50" s="23">
        <f t="shared" si="32"/>
        <v>1.3613304877190743E-3</v>
      </c>
      <c r="K50" s="23">
        <f t="shared" si="33"/>
        <v>0</v>
      </c>
      <c r="L50" s="321">
        <v>1213657641.04</v>
      </c>
      <c r="M50" s="310">
        <v>1</v>
      </c>
      <c r="N50" s="23">
        <f t="shared" si="34"/>
        <v>-1.0505353233702332E-2</v>
      </c>
      <c r="O50" s="23">
        <f t="shared" si="35"/>
        <v>0</v>
      </c>
      <c r="P50" s="321">
        <v>1240211706.1500001</v>
      </c>
      <c r="Q50" s="310">
        <v>1</v>
      </c>
      <c r="R50" s="23">
        <f t="shared" si="36"/>
        <v>2.187937043534418E-2</v>
      </c>
      <c r="S50" s="23">
        <f t="shared" si="37"/>
        <v>0</v>
      </c>
      <c r="T50" s="321">
        <v>1251653301.97</v>
      </c>
      <c r="U50" s="310">
        <v>1</v>
      </c>
      <c r="V50" s="23">
        <f t="shared" si="38"/>
        <v>9.2255183234144587E-3</v>
      </c>
      <c r="W50" s="23">
        <f t="shared" si="39"/>
        <v>0</v>
      </c>
      <c r="X50" s="321">
        <v>1743422992.8201618</v>
      </c>
      <c r="Y50" s="310">
        <v>1</v>
      </c>
      <c r="Z50" s="23">
        <f t="shared" si="40"/>
        <v>0.3928960919738369</v>
      </c>
      <c r="AA50" s="23">
        <f t="shared" si="41"/>
        <v>0</v>
      </c>
      <c r="AB50" s="321">
        <v>1746093745.9000001</v>
      </c>
      <c r="AC50" s="310">
        <v>1</v>
      </c>
      <c r="AD50" s="23">
        <f t="shared" si="42"/>
        <v>1.5319019485443774E-3</v>
      </c>
      <c r="AE50" s="23">
        <f t="shared" si="43"/>
        <v>0</v>
      </c>
      <c r="AF50" s="321">
        <v>1747483379.8699999</v>
      </c>
      <c r="AG50" s="310">
        <v>1</v>
      </c>
      <c r="AH50" s="23">
        <f t="shared" si="44"/>
        <v>7.9585301377018704E-4</v>
      </c>
      <c r="AI50" s="23">
        <f t="shared" si="45"/>
        <v>0</v>
      </c>
      <c r="AJ50" s="24">
        <f t="shared" si="14"/>
        <v>5.5623961946956554E-2</v>
      </c>
      <c r="AK50" s="24">
        <f t="shared" si="15"/>
        <v>0</v>
      </c>
      <c r="AL50" s="25">
        <f t="shared" si="16"/>
        <v>0.42666210168006929</v>
      </c>
      <c r="AM50" s="25">
        <f t="shared" si="17"/>
        <v>0</v>
      </c>
      <c r="AN50" s="466">
        <f t="shared" si="18"/>
        <v>0.1368353437224821</v>
      </c>
      <c r="AO50" s="467">
        <f t="shared" si="19"/>
        <v>0</v>
      </c>
      <c r="AP50" s="30"/>
      <c r="AQ50" s="38"/>
      <c r="AR50" s="35"/>
      <c r="AS50" s="29"/>
      <c r="AT50" s="29"/>
    </row>
    <row r="51" spans="1:48" s="108" customFormat="1">
      <c r="A51" s="202" t="s">
        <v>131</v>
      </c>
      <c r="B51" s="321">
        <v>847503621.70000005</v>
      </c>
      <c r="C51" s="310">
        <v>1</v>
      </c>
      <c r="D51" s="321">
        <v>1326413539.1800001</v>
      </c>
      <c r="E51" s="310">
        <v>1</v>
      </c>
      <c r="F51" s="23">
        <f>((D51-B51)/B51)</f>
        <v>0.56508303353248079</v>
      </c>
      <c r="G51" s="23">
        <f>((E51-C51)/C51)</f>
        <v>0</v>
      </c>
      <c r="H51" s="321">
        <v>1357634841.6800001</v>
      </c>
      <c r="I51" s="310">
        <v>1</v>
      </c>
      <c r="J51" s="23">
        <f t="shared" si="32"/>
        <v>2.3538136167775604E-2</v>
      </c>
      <c r="K51" s="23">
        <f t="shared" si="33"/>
        <v>0</v>
      </c>
      <c r="L51" s="321">
        <v>1381089055.55</v>
      </c>
      <c r="M51" s="310">
        <v>1</v>
      </c>
      <c r="N51" s="23">
        <f t="shared" si="34"/>
        <v>1.7275789593744189E-2</v>
      </c>
      <c r="O51" s="23">
        <f t="shared" si="35"/>
        <v>0</v>
      </c>
      <c r="P51" s="321">
        <v>1378201669.3599999</v>
      </c>
      <c r="Q51" s="310">
        <v>1</v>
      </c>
      <c r="R51" s="23">
        <f t="shared" si="36"/>
        <v>-2.0906589465732859E-3</v>
      </c>
      <c r="S51" s="23">
        <f t="shared" si="37"/>
        <v>0</v>
      </c>
      <c r="T51" s="321">
        <v>1395274933.54</v>
      </c>
      <c r="U51" s="310">
        <v>1</v>
      </c>
      <c r="V51" s="23">
        <f t="shared" si="38"/>
        <v>1.2388073936906807E-2</v>
      </c>
      <c r="W51" s="23">
        <f t="shared" si="39"/>
        <v>0</v>
      </c>
      <c r="X51" s="321">
        <v>1459418551.0699999</v>
      </c>
      <c r="Y51" s="310">
        <v>1</v>
      </c>
      <c r="Z51" s="23">
        <f t="shared" si="40"/>
        <v>4.5972027439250981E-2</v>
      </c>
      <c r="AA51" s="23">
        <f t="shared" si="41"/>
        <v>0</v>
      </c>
      <c r="AB51" s="321">
        <v>1455997321.7</v>
      </c>
      <c r="AC51" s="310">
        <v>1</v>
      </c>
      <c r="AD51" s="23">
        <f t="shared" si="42"/>
        <v>-2.3442413881141549E-3</v>
      </c>
      <c r="AE51" s="23">
        <f t="shared" si="43"/>
        <v>0</v>
      </c>
      <c r="AF51" s="321">
        <v>1502214044.52</v>
      </c>
      <c r="AG51" s="310">
        <v>1</v>
      </c>
      <c r="AH51" s="23">
        <f t="shared" si="44"/>
        <v>3.1742313073789177E-2</v>
      </c>
      <c r="AI51" s="23">
        <f t="shared" si="45"/>
        <v>0</v>
      </c>
      <c r="AJ51" s="24">
        <f t="shared" si="14"/>
        <v>8.644555917615751E-2</v>
      </c>
      <c r="AK51" s="24">
        <f t="shared" si="15"/>
        <v>0</v>
      </c>
      <c r="AL51" s="25">
        <f t="shared" si="16"/>
        <v>0.13253823196699369</v>
      </c>
      <c r="AM51" s="25">
        <f t="shared" si="17"/>
        <v>0</v>
      </c>
      <c r="AN51" s="466">
        <f t="shared" si="18"/>
        <v>0.19408134759164228</v>
      </c>
      <c r="AO51" s="467">
        <f t="shared" si="19"/>
        <v>0</v>
      </c>
      <c r="AP51" s="30"/>
      <c r="AQ51" s="38"/>
      <c r="AR51" s="35"/>
      <c r="AS51" s="29"/>
      <c r="AT51" s="29"/>
    </row>
    <row r="52" spans="1:48">
      <c r="A52" s="202" t="s">
        <v>112</v>
      </c>
      <c r="B52" s="321">
        <v>21723290909.91</v>
      </c>
      <c r="C52" s="310">
        <v>1</v>
      </c>
      <c r="D52" s="321">
        <v>22329450046.02</v>
      </c>
      <c r="E52" s="310">
        <v>1</v>
      </c>
      <c r="F52" s="23">
        <f>((D52-B52)/B52)</f>
        <v>2.7903651367734317E-2</v>
      </c>
      <c r="G52" s="23">
        <f>((E52-C52)/C52)</f>
        <v>0</v>
      </c>
      <c r="H52" s="321">
        <v>22909668463.209999</v>
      </c>
      <c r="I52" s="310">
        <v>1</v>
      </c>
      <c r="J52" s="23">
        <f t="shared" si="32"/>
        <v>2.5984447265570552E-2</v>
      </c>
      <c r="K52" s="23">
        <f t="shared" si="33"/>
        <v>0</v>
      </c>
      <c r="L52" s="321">
        <v>22261834259.299999</v>
      </c>
      <c r="M52" s="310">
        <v>1</v>
      </c>
      <c r="N52" s="23">
        <f t="shared" si="34"/>
        <v>-2.8277764252692648E-2</v>
      </c>
      <c r="O52" s="23">
        <f t="shared" si="35"/>
        <v>0</v>
      </c>
      <c r="P52" s="321">
        <v>22581417729.529999</v>
      </c>
      <c r="Q52" s="310">
        <v>1</v>
      </c>
      <c r="R52" s="23">
        <f t="shared" si="36"/>
        <v>1.4355666586480485E-2</v>
      </c>
      <c r="S52" s="23">
        <f t="shared" si="37"/>
        <v>0</v>
      </c>
      <c r="T52" s="321">
        <v>23003112017.23</v>
      </c>
      <c r="U52" s="310">
        <v>1</v>
      </c>
      <c r="V52" s="23">
        <f t="shared" si="38"/>
        <v>1.8674393820213773E-2</v>
      </c>
      <c r="W52" s="23">
        <f t="shared" si="39"/>
        <v>0</v>
      </c>
      <c r="X52" s="321">
        <v>23187442008.939999</v>
      </c>
      <c r="Y52" s="310">
        <v>1</v>
      </c>
      <c r="Z52" s="23">
        <f t="shared" si="40"/>
        <v>8.0132632302938218E-3</v>
      </c>
      <c r="AA52" s="23">
        <f t="shared" si="41"/>
        <v>0</v>
      </c>
      <c r="AB52" s="321">
        <v>23671739562.240002</v>
      </c>
      <c r="AC52" s="310">
        <v>1</v>
      </c>
      <c r="AD52" s="23">
        <f t="shared" si="42"/>
        <v>2.0886200086809078E-2</v>
      </c>
      <c r="AE52" s="23">
        <f t="shared" si="43"/>
        <v>0</v>
      </c>
      <c r="AF52" s="321">
        <v>24313594778.380001</v>
      </c>
      <c r="AG52" s="310">
        <v>1</v>
      </c>
      <c r="AH52" s="23">
        <f t="shared" si="44"/>
        <v>2.7114830933838735E-2</v>
      </c>
      <c r="AI52" s="23">
        <f t="shared" si="45"/>
        <v>0</v>
      </c>
      <c r="AJ52" s="24">
        <f t="shared" si="14"/>
        <v>1.4331836129781015E-2</v>
      </c>
      <c r="AK52" s="24">
        <f t="shared" si="15"/>
        <v>0</v>
      </c>
      <c r="AL52" s="25">
        <f t="shared" si="16"/>
        <v>8.885775190480584E-2</v>
      </c>
      <c r="AM52" s="25">
        <f t="shared" si="17"/>
        <v>0</v>
      </c>
      <c r="AN52" s="466">
        <f t="shared" si="18"/>
        <v>1.8519113453026464E-2</v>
      </c>
      <c r="AO52" s="467">
        <f t="shared" si="19"/>
        <v>0</v>
      </c>
      <c r="AP52" s="30"/>
      <c r="AQ52" s="39">
        <v>2266908745.4000001</v>
      </c>
      <c r="AR52" s="35">
        <v>1</v>
      </c>
      <c r="AS52" s="29" t="e">
        <f>(#REF!/AQ52)-1</f>
        <v>#REF!</v>
      </c>
      <c r="AT52" s="29" t="e">
        <f>(#REF!/AR52)-1</f>
        <v>#REF!</v>
      </c>
    </row>
    <row r="53" spans="1:48">
      <c r="A53" s="204" t="s">
        <v>42</v>
      </c>
      <c r="B53" s="76">
        <f>SUM(B24:B52)</f>
        <v>792540018978.42993</v>
      </c>
      <c r="C53" s="85"/>
      <c r="D53" s="76">
        <f>SUM(D24:D52)</f>
        <v>806100368208.14038</v>
      </c>
      <c r="E53" s="85"/>
      <c r="F53" s="23">
        <f>((D53-B53)/B53)</f>
        <v>1.7109986757753253E-2</v>
      </c>
      <c r="G53" s="23"/>
      <c r="H53" s="76">
        <f>SUM(H24:H52)</f>
        <v>813613346034.13623</v>
      </c>
      <c r="I53" s="85"/>
      <c r="J53" s="23">
        <f>((H53-D53)/D53)</f>
        <v>9.3201518350577769E-3</v>
      </c>
      <c r="K53" s="23"/>
      <c r="L53" s="76">
        <f>SUM(L24:L52)</f>
        <v>806087341383.99084</v>
      </c>
      <c r="M53" s="85"/>
      <c r="N53" s="23">
        <f>((L53-H53)/H53)</f>
        <v>-9.2500998008821032E-3</v>
      </c>
      <c r="O53" s="23"/>
      <c r="P53" s="76">
        <f>SUM(P24:P52)</f>
        <v>798748175531.57666</v>
      </c>
      <c r="Q53" s="85"/>
      <c r="R53" s="23">
        <f>((P53-L53)/L53)</f>
        <v>-9.1046782099485565E-3</v>
      </c>
      <c r="S53" s="23"/>
      <c r="T53" s="76">
        <f>SUM(T24:T52)</f>
        <v>807261945859.45349</v>
      </c>
      <c r="U53" s="85"/>
      <c r="V53" s="23">
        <f>((T53-P53)/P53)</f>
        <v>1.0658891736698883E-2</v>
      </c>
      <c r="W53" s="23"/>
      <c r="X53" s="76">
        <f>SUM(X24:X52)</f>
        <v>810860786783.24963</v>
      </c>
      <c r="Y53" s="85"/>
      <c r="Z53" s="23">
        <f>((X53-T53)/T53)</f>
        <v>4.4580832061452214E-3</v>
      </c>
      <c r="AA53" s="23"/>
      <c r="AB53" s="76">
        <f>SUM(AB24:AB52)</f>
        <v>816758455712.61926</v>
      </c>
      <c r="AC53" s="85"/>
      <c r="AD53" s="23">
        <f>((AB53-X53)/X53)</f>
        <v>7.2733433722527866E-3</v>
      </c>
      <c r="AE53" s="23"/>
      <c r="AF53" s="76">
        <f>SUM(AF24:AF52)</f>
        <v>817523630430.57593</v>
      </c>
      <c r="AG53" s="85"/>
      <c r="AH53" s="23">
        <f>((AF53-AB53)/AB53)</f>
        <v>9.3684333795975515E-4</v>
      </c>
      <c r="AI53" s="23"/>
      <c r="AJ53" s="24">
        <f t="shared" si="14"/>
        <v>3.9253152793796266E-3</v>
      </c>
      <c r="AK53" s="24"/>
      <c r="AL53" s="25">
        <f t="shared" si="16"/>
        <v>1.4171017249164667E-2</v>
      </c>
      <c r="AM53" s="25"/>
      <c r="AN53" s="466">
        <f t="shared" si="18"/>
        <v>9.3509149021436047E-3</v>
      </c>
      <c r="AO53" s="467"/>
      <c r="AP53" s="30"/>
      <c r="AQ53" s="43">
        <f>SUM(AQ24:AQ52)</f>
        <v>74083068068.144089</v>
      </c>
      <c r="AR53" s="44"/>
      <c r="AS53" s="29" t="e">
        <f>(#REF!/AQ53)-1</f>
        <v>#REF!</v>
      </c>
      <c r="AT53" s="29" t="e">
        <f>(#REF!/AR53)-1</f>
        <v>#REF!</v>
      </c>
    </row>
    <row r="54" spans="1:48" s="108" customFormat="1" ht="8.25" customHeight="1">
      <c r="A54" s="204"/>
      <c r="B54" s="85"/>
      <c r="C54" s="85"/>
      <c r="D54" s="85"/>
      <c r="E54" s="85"/>
      <c r="F54" s="23"/>
      <c r="G54" s="23"/>
      <c r="H54" s="85"/>
      <c r="I54" s="85"/>
      <c r="J54" s="23"/>
      <c r="K54" s="23"/>
      <c r="L54" s="85"/>
      <c r="M54" s="85"/>
      <c r="N54" s="23"/>
      <c r="O54" s="23"/>
      <c r="P54" s="85"/>
      <c r="Q54" s="85"/>
      <c r="R54" s="23"/>
      <c r="S54" s="23"/>
      <c r="T54" s="85"/>
      <c r="U54" s="85"/>
      <c r="V54" s="23"/>
      <c r="W54" s="23"/>
      <c r="X54" s="85"/>
      <c r="Y54" s="85"/>
      <c r="Z54" s="23"/>
      <c r="AA54" s="23"/>
      <c r="AB54" s="85"/>
      <c r="AC54" s="85"/>
      <c r="AD54" s="23"/>
      <c r="AE54" s="23"/>
      <c r="AF54" s="85"/>
      <c r="AG54" s="85"/>
      <c r="AH54" s="23"/>
      <c r="AI54" s="23"/>
      <c r="AJ54" s="24"/>
      <c r="AK54" s="24"/>
      <c r="AL54" s="25"/>
      <c r="AM54" s="25"/>
      <c r="AN54" s="466"/>
      <c r="AO54" s="467"/>
      <c r="AP54" s="30"/>
      <c r="AQ54" s="43"/>
      <c r="AR54" s="44"/>
      <c r="AS54" s="29"/>
      <c r="AT54" s="29"/>
    </row>
    <row r="55" spans="1:48">
      <c r="A55" s="205" t="s">
        <v>193</v>
      </c>
      <c r="B55" s="85"/>
      <c r="C55" s="85"/>
      <c r="D55" s="85"/>
      <c r="E55" s="85"/>
      <c r="F55" s="23"/>
      <c r="G55" s="23"/>
      <c r="H55" s="85"/>
      <c r="I55" s="85"/>
      <c r="J55" s="23"/>
      <c r="K55" s="23"/>
      <c r="L55" s="85"/>
      <c r="M55" s="85"/>
      <c r="N55" s="23"/>
      <c r="O55" s="23"/>
      <c r="P55" s="85"/>
      <c r="Q55" s="85"/>
      <c r="R55" s="23"/>
      <c r="S55" s="23"/>
      <c r="T55" s="85"/>
      <c r="U55" s="85"/>
      <c r="V55" s="23"/>
      <c r="W55" s="23"/>
      <c r="X55" s="85"/>
      <c r="Y55" s="85"/>
      <c r="Z55" s="23"/>
      <c r="AA55" s="23"/>
      <c r="AB55" s="85"/>
      <c r="AC55" s="85"/>
      <c r="AD55" s="23"/>
      <c r="AE55" s="23"/>
      <c r="AF55" s="85"/>
      <c r="AG55" s="85"/>
      <c r="AH55" s="23"/>
      <c r="AI55" s="23"/>
      <c r="AJ55" s="24"/>
      <c r="AK55" s="24"/>
      <c r="AL55" s="25"/>
      <c r="AM55" s="25"/>
      <c r="AN55" s="466"/>
      <c r="AO55" s="467"/>
      <c r="AP55" s="30"/>
      <c r="AQ55" s="40"/>
      <c r="AR55" s="13"/>
      <c r="AS55" s="29" t="e">
        <f>(#REF!/AQ55)-1</f>
        <v>#REF!</v>
      </c>
      <c r="AT55" s="29" t="e">
        <f>(#REF!/AR55)-1</f>
        <v>#REF!</v>
      </c>
    </row>
    <row r="56" spans="1:48">
      <c r="A56" s="202" t="s">
        <v>138</v>
      </c>
      <c r="B56" s="326">
        <v>439586726.64999998</v>
      </c>
      <c r="C56" s="327">
        <v>1.2643</v>
      </c>
      <c r="D56" s="326">
        <v>441287934.61000001</v>
      </c>
      <c r="E56" s="327">
        <v>1.2697000000000001</v>
      </c>
      <c r="F56" s="23">
        <f>((D56-B56)/B56)</f>
        <v>3.8700166698949125E-3</v>
      </c>
      <c r="G56" s="23">
        <f>((E56-C56)/C56)</f>
        <v>4.27113817922967E-3</v>
      </c>
      <c r="H56" s="326">
        <v>441073490.06999999</v>
      </c>
      <c r="I56" s="327">
        <v>1.2733000000000001</v>
      </c>
      <c r="J56" s="23">
        <f t="shared" ref="J56:J82" si="58">((H56-D56)/D56)</f>
        <v>-4.8595151415037563E-4</v>
      </c>
      <c r="K56" s="23">
        <f t="shared" ref="K56:K81" si="59">((I56-E56)/E56)</f>
        <v>2.8353154288414959E-3</v>
      </c>
      <c r="L56" s="326">
        <v>430159762.5</v>
      </c>
      <c r="M56" s="327">
        <v>1.2707999999999999</v>
      </c>
      <c r="N56" s="23">
        <f t="shared" ref="N56:N82" si="60">((L56-H56)/H56)</f>
        <v>-2.4743558195410801E-2</v>
      </c>
      <c r="O56" s="23">
        <f t="shared" ref="O56:O81" si="61">((M56-I56)/I56)</f>
        <v>-1.9634021833033603E-3</v>
      </c>
      <c r="P56" s="326">
        <v>431843654.76999998</v>
      </c>
      <c r="Q56" s="327">
        <v>1.2755000000000001</v>
      </c>
      <c r="R56" s="23">
        <f t="shared" ref="R56:R82" si="62">((P56-L56)/L56)</f>
        <v>3.9145741112872707E-3</v>
      </c>
      <c r="S56" s="23">
        <f t="shared" ref="S56:S81" si="63">((Q56-M56)/M56)</f>
        <v>3.6984576644634474E-3</v>
      </c>
      <c r="T56" s="326">
        <v>435782729.64999998</v>
      </c>
      <c r="U56" s="327">
        <v>1.2842</v>
      </c>
      <c r="V56" s="23">
        <f t="shared" ref="V56:V82" si="64">((T56-P56)/P56)</f>
        <v>9.1215300641570088E-3</v>
      </c>
      <c r="W56" s="23">
        <f t="shared" ref="W56:W81" si="65">((U56-Q56)/Q56)</f>
        <v>6.8208545668364791E-3</v>
      </c>
      <c r="X56" s="326">
        <v>437991462.02999997</v>
      </c>
      <c r="Y56" s="327">
        <v>1.2892999999999999</v>
      </c>
      <c r="Z56" s="23">
        <f t="shared" ref="Z56:Z82" si="66">((X56-T56)/T56)</f>
        <v>5.0684256849140037E-3</v>
      </c>
      <c r="AA56" s="23">
        <f t="shared" ref="AA56:AA81" si="67">((Y56-U56)/U56)</f>
        <v>3.9713440274099692E-3</v>
      </c>
      <c r="AB56" s="326">
        <v>438176583.14999998</v>
      </c>
      <c r="AC56" s="327">
        <v>1.2897000000000001</v>
      </c>
      <c r="AD56" s="23">
        <f t="shared" ref="AD56:AD82" si="68">((AB56-X56)/X56)</f>
        <v>4.2265919783460301E-4</v>
      </c>
      <c r="AE56" s="23">
        <f t="shared" ref="AE56:AE81" si="69">((AC56-Y56)/Y56)</f>
        <v>3.1024586985199567E-4</v>
      </c>
      <c r="AF56" s="326">
        <v>441747390.16000003</v>
      </c>
      <c r="AG56" s="327">
        <v>1.2982</v>
      </c>
      <c r="AH56" s="23">
        <f t="shared" ref="AH56:AH82" si="70">((AF56-AB56)/AB56)</f>
        <v>8.1492419889943411E-3</v>
      </c>
      <c r="AI56" s="23">
        <f t="shared" ref="AI56:AI81" si="71">((AG56-AC56)/AC56)</f>
        <v>6.590680003101459E-3</v>
      </c>
      <c r="AJ56" s="24">
        <f t="shared" si="14"/>
        <v>6.6461725094012062E-4</v>
      </c>
      <c r="AK56" s="24">
        <f t="shared" si="15"/>
        <v>3.3168291945538941E-3</v>
      </c>
      <c r="AL56" s="25">
        <f t="shared" si="16"/>
        <v>1.0411695266630573E-3</v>
      </c>
      <c r="AM56" s="25">
        <f t="shared" si="17"/>
        <v>2.2446247144994855E-2</v>
      </c>
      <c r="AN56" s="466">
        <f t="shared" si="18"/>
        <v>1.0788400167689052E-2</v>
      </c>
      <c r="AO56" s="467">
        <f t="shared" si="19"/>
        <v>2.9672803979062102E-3</v>
      </c>
      <c r="AP56" s="30"/>
      <c r="AQ56" s="28">
        <v>1092437778.4100001</v>
      </c>
      <c r="AR56" s="32">
        <v>143.21</v>
      </c>
      <c r="AS56" s="29" t="e">
        <f>(#REF!/AQ56)-1</f>
        <v>#REF!</v>
      </c>
      <c r="AT56" s="29" t="e">
        <f>(#REF!/AR56)-1</f>
        <v>#REF!</v>
      </c>
    </row>
    <row r="57" spans="1:48">
      <c r="A57" s="202" t="s">
        <v>144</v>
      </c>
      <c r="B57" s="326">
        <v>1017930921</v>
      </c>
      <c r="C57" s="327">
        <v>1.1301000000000001</v>
      </c>
      <c r="D57" s="326">
        <v>1019832818.21</v>
      </c>
      <c r="E57" s="327">
        <v>1.1321000000000001</v>
      </c>
      <c r="F57" s="23">
        <f>((D57-B57)/B57)</f>
        <v>1.8683951639190241E-3</v>
      </c>
      <c r="G57" s="23">
        <f>((E57-C57)/C57)</f>
        <v>1.7697548889478822E-3</v>
      </c>
      <c r="H57" s="326">
        <v>1022492186.75</v>
      </c>
      <c r="I57" s="327">
        <v>1.1339999999999999</v>
      </c>
      <c r="J57" s="23">
        <f t="shared" si="58"/>
        <v>2.6076514625874249E-3</v>
      </c>
      <c r="K57" s="23">
        <f t="shared" si="59"/>
        <v>1.6782969702321265E-3</v>
      </c>
      <c r="L57" s="326">
        <v>1024529602.21</v>
      </c>
      <c r="M57" s="327">
        <v>1.1362000000000001</v>
      </c>
      <c r="N57" s="23">
        <f t="shared" si="60"/>
        <v>1.9925975830446005E-3</v>
      </c>
      <c r="O57" s="23">
        <f t="shared" si="61"/>
        <v>1.9400352733687848E-3</v>
      </c>
      <c r="P57" s="326">
        <v>1027984084.27</v>
      </c>
      <c r="Q57" s="327">
        <v>1.1376999999999999</v>
      </c>
      <c r="R57" s="23">
        <f t="shared" si="62"/>
        <v>3.3717737901846102E-3</v>
      </c>
      <c r="S57" s="23">
        <f t="shared" si="63"/>
        <v>1.3201901073753165E-3</v>
      </c>
      <c r="T57" s="326">
        <v>1033854678.0599999</v>
      </c>
      <c r="U57" s="327">
        <v>1.1383000000000001</v>
      </c>
      <c r="V57" s="23">
        <f t="shared" si="64"/>
        <v>5.710782763887666E-3</v>
      </c>
      <c r="W57" s="23">
        <f t="shared" si="65"/>
        <v>5.2737980135374532E-4</v>
      </c>
      <c r="X57" s="326">
        <v>1016752779.01</v>
      </c>
      <c r="Y57" s="327">
        <v>1.1389</v>
      </c>
      <c r="Z57" s="23">
        <f t="shared" si="66"/>
        <v>-1.6541879059918944E-2</v>
      </c>
      <c r="AA57" s="23">
        <f t="shared" si="67"/>
        <v>5.2710181850121579E-4</v>
      </c>
      <c r="AB57" s="326">
        <v>993025846.11000001</v>
      </c>
      <c r="AC57" s="327">
        <v>1.1324000000000001</v>
      </c>
      <c r="AD57" s="23">
        <f t="shared" si="68"/>
        <v>-2.3335990212982358E-2</v>
      </c>
      <c r="AE57" s="23">
        <f t="shared" si="69"/>
        <v>-5.7072613925717363E-3</v>
      </c>
      <c r="AF57" s="326">
        <v>572772340.07000005</v>
      </c>
      <c r="AG57" s="327">
        <v>1.1323000000000001</v>
      </c>
      <c r="AH57" s="23">
        <f t="shared" si="70"/>
        <v>-0.42320500285694218</v>
      </c>
      <c r="AI57" s="23">
        <f t="shared" si="71"/>
        <v>-8.8308018368058087E-5</v>
      </c>
      <c r="AJ57" s="24">
        <f t="shared" si="14"/>
        <v>-5.5941458920777523E-2</v>
      </c>
      <c r="AK57" s="24">
        <f t="shared" si="15"/>
        <v>2.4589868110490965E-4</v>
      </c>
      <c r="AL57" s="25">
        <f t="shared" si="16"/>
        <v>-0.43836643629950633</v>
      </c>
      <c r="AM57" s="25">
        <f t="shared" si="17"/>
        <v>1.7666283897180279E-4</v>
      </c>
      <c r="AN57" s="466">
        <f t="shared" si="18"/>
        <v>0.14877756413314899</v>
      </c>
      <c r="AO57" s="467">
        <f t="shared" si="19"/>
        <v>2.510213971215832E-3</v>
      </c>
      <c r="AP57" s="30"/>
      <c r="AQ57" s="31">
        <v>1186217562.8099999</v>
      </c>
      <c r="AR57" s="35">
        <v>212.98</v>
      </c>
      <c r="AS57" s="29" t="e">
        <f>(#REF!/AQ57)-1</f>
        <v>#REF!</v>
      </c>
      <c r="AT57" s="29" t="e">
        <f>(#REF!/AR57)-1</f>
        <v>#REF!</v>
      </c>
      <c r="AU57" s="83"/>
      <c r="AV57" s="83"/>
    </row>
    <row r="58" spans="1:48">
      <c r="A58" s="202" t="s">
        <v>226</v>
      </c>
      <c r="B58" s="326">
        <v>860909915.36000001</v>
      </c>
      <c r="C58" s="327">
        <v>1.0551999999999999</v>
      </c>
      <c r="D58" s="326">
        <v>862357715.15999997</v>
      </c>
      <c r="E58" s="327">
        <v>1.0564</v>
      </c>
      <c r="F58" s="23">
        <f>((D58-B58)/B58)</f>
        <v>1.6817088224550616E-3</v>
      </c>
      <c r="G58" s="23">
        <f>((E58-C58)/C58)</f>
        <v>1.1372251705838608E-3</v>
      </c>
      <c r="H58" s="326">
        <v>861426535.37</v>
      </c>
      <c r="I58" s="327">
        <v>1.0579000000000001</v>
      </c>
      <c r="J58" s="23">
        <f t="shared" si="58"/>
        <v>-1.0798068755344674E-3</v>
      </c>
      <c r="K58" s="23">
        <f t="shared" si="59"/>
        <v>1.4199166982204249E-3</v>
      </c>
      <c r="L58" s="326">
        <v>861288344.36000001</v>
      </c>
      <c r="M58" s="327">
        <v>1.0593999999999999</v>
      </c>
      <c r="N58" s="23">
        <f t="shared" si="60"/>
        <v>-1.6042112046227441E-4</v>
      </c>
      <c r="O58" s="23">
        <f t="shared" si="61"/>
        <v>1.417903393515299E-3</v>
      </c>
      <c r="P58" s="326">
        <v>862100586.23000002</v>
      </c>
      <c r="Q58" s="327">
        <v>1.0608</v>
      </c>
      <c r="R58" s="23">
        <f t="shared" si="62"/>
        <v>9.4305452444449329E-4</v>
      </c>
      <c r="S58" s="23">
        <f t="shared" si="63"/>
        <v>1.3215027373985916E-3</v>
      </c>
      <c r="T58" s="326">
        <v>863308414.51999998</v>
      </c>
      <c r="U58" s="327">
        <v>1.0623</v>
      </c>
      <c r="V58" s="23">
        <f t="shared" si="64"/>
        <v>1.4010294266030403E-3</v>
      </c>
      <c r="W58" s="23">
        <f t="shared" si="65"/>
        <v>1.4140271493213207E-3</v>
      </c>
      <c r="X58" s="326">
        <v>840002418.75</v>
      </c>
      <c r="Y58" s="327">
        <v>1.0637000000000001</v>
      </c>
      <c r="Z58" s="23">
        <f t="shared" si="66"/>
        <v>-2.6996141098610895E-2</v>
      </c>
      <c r="AA58" s="23">
        <f t="shared" si="67"/>
        <v>1.3178951332016076E-3</v>
      </c>
      <c r="AB58" s="326">
        <v>840701547.28999996</v>
      </c>
      <c r="AC58" s="327">
        <v>1.0261</v>
      </c>
      <c r="AD58" s="23">
        <f t="shared" si="68"/>
        <v>8.3229348439297203E-4</v>
      </c>
      <c r="AE58" s="23">
        <f t="shared" si="69"/>
        <v>-3.5348312494124352E-2</v>
      </c>
      <c r="AF58" s="326">
        <v>591074536.51999998</v>
      </c>
      <c r="AG58" s="327">
        <v>1.0271999999999999</v>
      </c>
      <c r="AH58" s="23">
        <f t="shared" si="70"/>
        <v>-0.29692702668940274</v>
      </c>
      <c r="AI58" s="23">
        <f t="shared" si="71"/>
        <v>1.0720202709286412E-3</v>
      </c>
      <c r="AJ58" s="24">
        <f t="shared" si="14"/>
        <v>-4.003816369076435E-2</v>
      </c>
      <c r="AK58" s="24">
        <f t="shared" si="15"/>
        <v>-3.2809777426193259E-3</v>
      </c>
      <c r="AL58" s="25">
        <f t="shared" si="16"/>
        <v>-0.31458311773747705</v>
      </c>
      <c r="AM58" s="25">
        <f t="shared" si="17"/>
        <v>-2.764104505869E-2</v>
      </c>
      <c r="AN58" s="466">
        <f t="shared" si="18"/>
        <v>0.10425078225751058</v>
      </c>
      <c r="AO58" s="467">
        <f t="shared" si="19"/>
        <v>1.2957824379010574E-2</v>
      </c>
      <c r="AP58" s="30"/>
      <c r="AQ58" s="31">
        <v>4662655514.79</v>
      </c>
      <c r="AR58" s="35">
        <v>1067.58</v>
      </c>
      <c r="AS58" s="29" t="e">
        <f>(#REF!/AQ58)-1</f>
        <v>#REF!</v>
      </c>
      <c r="AT58" s="29" t="e">
        <f>(#REF!/AR58)-1</f>
        <v>#REF!</v>
      </c>
    </row>
    <row r="59" spans="1:48" s="103" customFormat="1">
      <c r="A59" s="202" t="s">
        <v>167</v>
      </c>
      <c r="B59" s="326">
        <v>259095700.47</v>
      </c>
      <c r="C59" s="74">
        <v>1130.58</v>
      </c>
      <c r="D59" s="326">
        <v>259095700.47</v>
      </c>
      <c r="E59" s="74">
        <v>1130.58</v>
      </c>
      <c r="F59" s="23">
        <f>((D59-B59)/B59)</f>
        <v>0</v>
      </c>
      <c r="G59" s="23">
        <f>((E59-C59)/C59)</f>
        <v>0</v>
      </c>
      <c r="H59" s="326">
        <v>259095700.47</v>
      </c>
      <c r="I59" s="74">
        <v>1130.58</v>
      </c>
      <c r="J59" s="23">
        <f t="shared" si="58"/>
        <v>0</v>
      </c>
      <c r="K59" s="23">
        <f t="shared" si="59"/>
        <v>0</v>
      </c>
      <c r="L59" s="326">
        <v>259897315.68000001</v>
      </c>
      <c r="M59" s="74">
        <v>1135.9100000000001</v>
      </c>
      <c r="N59" s="23">
        <f t="shared" si="60"/>
        <v>3.0938962265521083E-3</v>
      </c>
      <c r="O59" s="23">
        <f t="shared" si="61"/>
        <v>4.7143943816449563E-3</v>
      </c>
      <c r="P59" s="326">
        <v>259372182.41</v>
      </c>
      <c r="Q59" s="74">
        <v>1138.0999999999999</v>
      </c>
      <c r="R59" s="23">
        <f t="shared" si="62"/>
        <v>-2.0205413381282626E-3</v>
      </c>
      <c r="S59" s="23">
        <f t="shared" si="63"/>
        <v>1.9279696454823244E-3</v>
      </c>
      <c r="T59" s="326">
        <v>247396258.00999999</v>
      </c>
      <c r="U59" s="74">
        <v>1086.21</v>
      </c>
      <c r="V59" s="23">
        <f t="shared" si="64"/>
        <v>-4.6172740224968235E-2</v>
      </c>
      <c r="W59" s="23">
        <f t="shared" si="65"/>
        <v>-4.5593533081451434E-2</v>
      </c>
      <c r="X59" s="326">
        <v>250284868.36000001</v>
      </c>
      <c r="Y59" s="74">
        <v>1091.99</v>
      </c>
      <c r="Z59" s="23">
        <f t="shared" si="66"/>
        <v>1.1676047055987659E-2</v>
      </c>
      <c r="AA59" s="23">
        <f t="shared" si="67"/>
        <v>5.3212546376851366E-3</v>
      </c>
      <c r="AB59" s="326">
        <v>250569426.77000001</v>
      </c>
      <c r="AC59" s="74">
        <v>1094.24</v>
      </c>
      <c r="AD59" s="23">
        <f t="shared" si="68"/>
        <v>1.1369381291988403E-3</v>
      </c>
      <c r="AE59" s="23">
        <f t="shared" si="69"/>
        <v>2.0604584291064936E-3</v>
      </c>
      <c r="AF59" s="326">
        <v>252584086.44</v>
      </c>
      <c r="AG59" s="74">
        <v>1104.05</v>
      </c>
      <c r="AH59" s="23">
        <f t="shared" si="70"/>
        <v>8.040325174424658E-3</v>
      </c>
      <c r="AI59" s="23">
        <f t="shared" si="71"/>
        <v>8.9651264804795523E-3</v>
      </c>
      <c r="AJ59" s="24">
        <f t="shared" si="14"/>
        <v>-3.0307593721166535E-3</v>
      </c>
      <c r="AK59" s="24">
        <f t="shared" si="15"/>
        <v>-2.8255411883816206E-3</v>
      </c>
      <c r="AL59" s="25">
        <f t="shared" si="16"/>
        <v>-2.5132080610322453E-2</v>
      </c>
      <c r="AM59" s="25">
        <f t="shared" si="17"/>
        <v>-2.3465831697005054E-2</v>
      </c>
      <c r="AN59" s="466">
        <f t="shared" si="18"/>
        <v>1.8025229279867411E-2</v>
      </c>
      <c r="AO59" s="467">
        <f t="shared" si="19"/>
        <v>1.7540883300772442E-2</v>
      </c>
      <c r="AP59" s="30"/>
      <c r="AQ59" s="31"/>
      <c r="AR59" s="31"/>
      <c r="AS59" s="29"/>
      <c r="AT59" s="29"/>
    </row>
    <row r="60" spans="1:48">
      <c r="A60" s="202" t="s">
        <v>176</v>
      </c>
      <c r="B60" s="326">
        <v>1388454430.21</v>
      </c>
      <c r="C60" s="327">
        <v>1.0286999999999999</v>
      </c>
      <c r="D60" s="326">
        <v>1376899333.3199999</v>
      </c>
      <c r="E60" s="327">
        <v>1.0303</v>
      </c>
      <c r="F60" s="23">
        <f>((D60-B60)/B60)</f>
        <v>-8.3222730531043992E-3</v>
      </c>
      <c r="G60" s="23">
        <f>((E60-C60)/C60)</f>
        <v>1.5553611354136734E-3</v>
      </c>
      <c r="H60" s="326">
        <v>1379199832.27</v>
      </c>
      <c r="I60" s="327">
        <v>1.0319</v>
      </c>
      <c r="J60" s="23">
        <f t="shared" si="58"/>
        <v>1.6707822382723149E-3</v>
      </c>
      <c r="K60" s="23">
        <f t="shared" si="59"/>
        <v>1.552945743958115E-3</v>
      </c>
      <c r="L60" s="326">
        <v>1376638453.21</v>
      </c>
      <c r="M60" s="327">
        <v>1.0334000000000001</v>
      </c>
      <c r="N60" s="23">
        <f t="shared" si="60"/>
        <v>-1.8571486162264213E-3</v>
      </c>
      <c r="O60" s="23">
        <f t="shared" si="61"/>
        <v>1.453629227638392E-3</v>
      </c>
      <c r="P60" s="326">
        <v>1378772797.47</v>
      </c>
      <c r="Q60" s="327">
        <v>1.0347</v>
      </c>
      <c r="R60" s="23">
        <f t="shared" si="62"/>
        <v>1.5504029071853958E-3</v>
      </c>
      <c r="S60" s="23">
        <f t="shared" si="63"/>
        <v>1.2579833559123832E-3</v>
      </c>
      <c r="T60" s="326">
        <v>1390523983.53</v>
      </c>
      <c r="U60" s="327">
        <v>1.0358000000000001</v>
      </c>
      <c r="V60" s="23">
        <f t="shared" si="64"/>
        <v>8.5229314659840683E-3</v>
      </c>
      <c r="W60" s="23">
        <f t="shared" si="65"/>
        <v>1.0631100802165855E-3</v>
      </c>
      <c r="X60" s="326">
        <v>1402292232.3599999</v>
      </c>
      <c r="Y60" s="74">
        <v>1.0358000000000001</v>
      </c>
      <c r="Z60" s="23">
        <f t="shared" si="66"/>
        <v>8.4631757304357413E-3</v>
      </c>
      <c r="AA60" s="23">
        <f t="shared" si="67"/>
        <v>0</v>
      </c>
      <c r="AB60" s="326">
        <v>1380876684.46</v>
      </c>
      <c r="AC60" s="74">
        <v>1.0422</v>
      </c>
      <c r="AD60" s="23">
        <f t="shared" si="68"/>
        <v>-1.5271815250633154E-2</v>
      </c>
      <c r="AE60" s="23">
        <f t="shared" si="69"/>
        <v>6.1787989959451251E-3</v>
      </c>
      <c r="AF60" s="326">
        <v>1375989298.0699999</v>
      </c>
      <c r="AG60" s="74">
        <v>1.044</v>
      </c>
      <c r="AH60" s="23">
        <f t="shared" si="70"/>
        <v>-3.5393358762599038E-3</v>
      </c>
      <c r="AI60" s="23">
        <f t="shared" si="71"/>
        <v>1.7271157167530454E-3</v>
      </c>
      <c r="AJ60" s="24">
        <f t="shared" si="14"/>
        <v>-1.0979100567932948E-3</v>
      </c>
      <c r="AK60" s="24">
        <f t="shared" si="15"/>
        <v>1.848618031979665E-3</v>
      </c>
      <c r="AL60" s="25">
        <f t="shared" si="16"/>
        <v>-6.60930852370819E-4</v>
      </c>
      <c r="AM60" s="25">
        <f t="shared" si="17"/>
        <v>1.3297097932641022E-2</v>
      </c>
      <c r="AN60" s="466">
        <f t="shared" si="18"/>
        <v>8.0912844114216179E-3</v>
      </c>
      <c r="AO60" s="467">
        <f t="shared" si="19"/>
        <v>1.8313901257613469E-3</v>
      </c>
      <c r="AP60" s="30"/>
      <c r="AQ60" s="45">
        <v>1198249163.9190199</v>
      </c>
      <c r="AR60" s="45">
        <v>1987.7461478934799</v>
      </c>
      <c r="AS60" s="29" t="e">
        <f>(#REF!/AQ60)-1</f>
        <v>#REF!</v>
      </c>
      <c r="AT60" s="29" t="e">
        <f>(#REF!/AR60)-1</f>
        <v>#REF!</v>
      </c>
    </row>
    <row r="61" spans="1:48">
      <c r="A61" s="202" t="s">
        <v>105</v>
      </c>
      <c r="B61" s="326">
        <v>420675691.13</v>
      </c>
      <c r="C61" s="327">
        <v>2.1722999999999999</v>
      </c>
      <c r="D61" s="326">
        <v>422419220.49000001</v>
      </c>
      <c r="E61" s="327">
        <v>2.1812999999999998</v>
      </c>
      <c r="F61" s="23">
        <f>((D61-B61)/B61)</f>
        <v>4.1445926084215249E-3</v>
      </c>
      <c r="G61" s="23">
        <f>((E61-C61)/C61)</f>
        <v>4.1430741610274354E-3</v>
      </c>
      <c r="H61" s="326">
        <v>423265978.16000003</v>
      </c>
      <c r="I61" s="327">
        <v>2.1854</v>
      </c>
      <c r="J61" s="23">
        <f t="shared" si="58"/>
        <v>2.0045434225691491E-3</v>
      </c>
      <c r="K61" s="23">
        <f t="shared" si="59"/>
        <v>1.8796130747720235E-3</v>
      </c>
      <c r="L61" s="326">
        <v>424193315.27999997</v>
      </c>
      <c r="M61" s="327">
        <v>2.1901999999999999</v>
      </c>
      <c r="N61" s="23">
        <f t="shared" si="60"/>
        <v>2.1909087142586254E-3</v>
      </c>
      <c r="O61" s="23">
        <f t="shared" si="61"/>
        <v>2.1963942527683331E-3</v>
      </c>
      <c r="P61" s="326">
        <v>425068746.30000001</v>
      </c>
      <c r="Q61" s="327">
        <v>2.1947000000000001</v>
      </c>
      <c r="R61" s="23">
        <f t="shared" si="62"/>
        <v>2.0637548694566045E-3</v>
      </c>
      <c r="S61" s="23">
        <f t="shared" si="63"/>
        <v>2.0546068852160398E-3</v>
      </c>
      <c r="T61" s="326">
        <v>425928273.67000002</v>
      </c>
      <c r="U61" s="327">
        <v>2.1989000000000001</v>
      </c>
      <c r="V61" s="23">
        <f t="shared" si="64"/>
        <v>2.022090255945041E-3</v>
      </c>
      <c r="W61" s="23">
        <f t="shared" si="65"/>
        <v>1.9137011892285877E-3</v>
      </c>
      <c r="X61" s="326">
        <v>426817161.36000001</v>
      </c>
      <c r="Y61" s="327">
        <v>2.2035</v>
      </c>
      <c r="Z61" s="23">
        <f t="shared" si="66"/>
        <v>2.0869422035332845E-3</v>
      </c>
      <c r="AA61" s="23">
        <f t="shared" si="67"/>
        <v>2.091955068443284E-3</v>
      </c>
      <c r="AB61" s="326">
        <v>427641327.52999997</v>
      </c>
      <c r="AC61" s="74">
        <v>2.2075999999999998</v>
      </c>
      <c r="AD61" s="23">
        <f t="shared" si="68"/>
        <v>1.9309583695600564E-3</v>
      </c>
      <c r="AE61" s="23">
        <f t="shared" si="69"/>
        <v>1.8606761969592787E-3</v>
      </c>
      <c r="AF61" s="326">
        <v>426641143.81999999</v>
      </c>
      <c r="AG61" s="74">
        <v>2.2023999999999999</v>
      </c>
      <c r="AH61" s="23">
        <f t="shared" si="70"/>
        <v>-2.3388378194804231E-3</v>
      </c>
      <c r="AI61" s="23">
        <f t="shared" si="71"/>
        <v>-2.3554991846348396E-3</v>
      </c>
      <c r="AJ61" s="24">
        <f t="shared" si="14"/>
        <v>1.7631190780329831E-3</v>
      </c>
      <c r="AK61" s="24">
        <f t="shared" si="15"/>
        <v>1.7230652054725177E-3</v>
      </c>
      <c r="AL61" s="25">
        <f t="shared" si="16"/>
        <v>9.9946288549621742E-3</v>
      </c>
      <c r="AM61" s="25">
        <f t="shared" si="17"/>
        <v>9.6731307018750844E-3</v>
      </c>
      <c r="AN61" s="466">
        <f t="shared" si="18"/>
        <v>1.813805614347084E-3</v>
      </c>
      <c r="AO61" s="467">
        <f t="shared" si="19"/>
        <v>1.8142671456818648E-3</v>
      </c>
      <c r="AP61" s="30"/>
      <c r="AQ61" s="28">
        <v>609639394.97000003</v>
      </c>
      <c r="AR61" s="32">
        <v>1.1629</v>
      </c>
      <c r="AS61" s="29" t="e">
        <f>(#REF!/AQ61)-1</f>
        <v>#REF!</v>
      </c>
      <c r="AT61" s="29" t="e">
        <f>(#REF!/AR61)-1</f>
        <v>#REF!</v>
      </c>
    </row>
    <row r="62" spans="1:48">
      <c r="A62" s="203" t="s">
        <v>18</v>
      </c>
      <c r="B62" s="326">
        <v>3335410204.8826299</v>
      </c>
      <c r="C62" s="326">
        <v>3803.6214734905898</v>
      </c>
      <c r="D62" s="326">
        <v>3340289973.44666</v>
      </c>
      <c r="E62" s="326">
        <v>3809.01802943763</v>
      </c>
      <c r="F62" s="23">
        <f>((D62-B62)/B62)</f>
        <v>1.46301901843641E-3</v>
      </c>
      <c r="G62" s="23">
        <f>((E62-C62)/C62)</f>
        <v>1.4187941635758622E-3</v>
      </c>
      <c r="H62" s="326">
        <v>3341682810.9524202</v>
      </c>
      <c r="I62" s="326">
        <v>3814.4232717916202</v>
      </c>
      <c r="J62" s="23">
        <f t="shared" si="58"/>
        <v>4.1698101567002612E-4</v>
      </c>
      <c r="K62" s="23">
        <f t="shared" si="59"/>
        <v>1.4190645232488438E-3</v>
      </c>
      <c r="L62" s="326">
        <v>3342075495.10537</v>
      </c>
      <c r="M62" s="326">
        <v>3819.8758769675501</v>
      </c>
      <c r="N62" s="23">
        <f t="shared" si="60"/>
        <v>1.1751089949733747E-4</v>
      </c>
      <c r="O62" s="23">
        <f t="shared" si="61"/>
        <v>1.4294704041507189E-3</v>
      </c>
      <c r="P62" s="326">
        <v>3344790402.9352102</v>
      </c>
      <c r="Q62" s="326">
        <v>3825.32820687699</v>
      </c>
      <c r="R62" s="23">
        <f t="shared" si="62"/>
        <v>8.1234186176114092E-4</v>
      </c>
      <c r="S62" s="23">
        <f t="shared" si="63"/>
        <v>1.4273578736721307E-3</v>
      </c>
      <c r="T62" s="326">
        <v>3342183904.2787499</v>
      </c>
      <c r="U62" s="326">
        <v>3830.741920294</v>
      </c>
      <c r="V62" s="23">
        <f t="shared" si="64"/>
        <v>-7.7927114780434689E-4</v>
      </c>
      <c r="W62" s="23">
        <f t="shared" si="65"/>
        <v>1.4152284782460093E-3</v>
      </c>
      <c r="X62" s="326">
        <v>3349479690.7715502</v>
      </c>
      <c r="Y62" s="326">
        <v>3836.1960200561998</v>
      </c>
      <c r="Z62" s="23">
        <f t="shared" si="66"/>
        <v>2.1829398685871181E-3</v>
      </c>
      <c r="AA62" s="23">
        <f t="shared" si="67"/>
        <v>1.4237711325072022E-3</v>
      </c>
      <c r="AB62" s="326">
        <v>3349492057.9685998</v>
      </c>
      <c r="AC62" s="326">
        <v>3841.8106843473502</v>
      </c>
      <c r="AD62" s="23">
        <f t="shared" si="68"/>
        <v>3.6922740817601414E-6</v>
      </c>
      <c r="AE62" s="23">
        <f t="shared" si="69"/>
        <v>1.4636020322726089E-3</v>
      </c>
      <c r="AF62" s="326">
        <v>3355160303.19665</v>
      </c>
      <c r="AG62" s="326">
        <v>3847.2670315517398</v>
      </c>
      <c r="AH62" s="23">
        <f t="shared" si="70"/>
        <v>1.6922700904948285E-3</v>
      </c>
      <c r="AI62" s="23">
        <f t="shared" si="71"/>
        <v>1.4202540553651948E-3</v>
      </c>
      <c r="AJ62" s="24">
        <f t="shared" si="14"/>
        <v>7.3868548509053436E-4</v>
      </c>
      <c r="AK62" s="24">
        <f t="shared" si="15"/>
        <v>1.4271928328798214E-3</v>
      </c>
      <c r="AL62" s="25">
        <f t="shared" si="16"/>
        <v>4.4518080370867076E-3</v>
      </c>
      <c r="AM62" s="25">
        <f t="shared" si="17"/>
        <v>1.0041696263579231E-2</v>
      </c>
      <c r="AN62" s="466">
        <f t="shared" si="18"/>
        <v>9.8988005364844143E-4</v>
      </c>
      <c r="AO62" s="467">
        <f t="shared" si="19"/>
        <v>1.5447847200714232E-5</v>
      </c>
      <c r="AP62" s="30"/>
      <c r="AQ62" s="28">
        <v>4056683843.0900002</v>
      </c>
      <c r="AR62" s="35">
        <v>1</v>
      </c>
      <c r="AS62" s="29" t="e">
        <f>(#REF!/AQ62)-1</f>
        <v>#REF!</v>
      </c>
      <c r="AT62" s="29" t="e">
        <f>(#REF!/AR62)-1</f>
        <v>#REF!</v>
      </c>
    </row>
    <row r="63" spans="1:48" ht="15" customHeight="1">
      <c r="A63" s="202" t="s">
        <v>222</v>
      </c>
      <c r="B63" s="326">
        <v>374111792.54000002</v>
      </c>
      <c r="C63" s="327">
        <v>108.92</v>
      </c>
      <c r="D63" s="326">
        <v>375569073.83999997</v>
      </c>
      <c r="E63" s="327">
        <v>109.19</v>
      </c>
      <c r="F63" s="23">
        <f>((D63-B63)/B63)</f>
        <v>3.895309715061013E-3</v>
      </c>
      <c r="G63" s="23">
        <f>((E63-C63)/C63)</f>
        <v>2.4788835842820055E-3</v>
      </c>
      <c r="H63" s="326">
        <v>376692688.17000002</v>
      </c>
      <c r="I63" s="327">
        <v>109.34</v>
      </c>
      <c r="J63" s="23">
        <f t="shared" si="58"/>
        <v>2.991764786465686E-3</v>
      </c>
      <c r="K63" s="23">
        <f t="shared" si="59"/>
        <v>1.3737521751076627E-3</v>
      </c>
      <c r="L63" s="326">
        <v>362121819.01999998</v>
      </c>
      <c r="M63" s="327">
        <v>105.2</v>
      </c>
      <c r="N63" s="23">
        <f t="shared" si="60"/>
        <v>-3.868105117937478E-2</v>
      </c>
      <c r="O63" s="23">
        <f t="shared" si="61"/>
        <v>-3.7863544905798428E-2</v>
      </c>
      <c r="P63" s="326">
        <v>332691911.61000001</v>
      </c>
      <c r="Q63" s="327">
        <v>105.39</v>
      </c>
      <c r="R63" s="23">
        <f t="shared" si="62"/>
        <v>-8.1270737813162686E-2</v>
      </c>
      <c r="S63" s="23">
        <f t="shared" si="63"/>
        <v>1.8060836501900923E-3</v>
      </c>
      <c r="T63" s="326">
        <v>333551556.69</v>
      </c>
      <c r="U63" s="327">
        <v>105.59</v>
      </c>
      <c r="V63" s="23">
        <f t="shared" si="64"/>
        <v>2.5839073629409636E-3</v>
      </c>
      <c r="W63" s="23">
        <f t="shared" si="65"/>
        <v>1.8977132555271169E-3</v>
      </c>
      <c r="X63" s="326">
        <v>333742498.25</v>
      </c>
      <c r="Y63" s="327">
        <v>105.8</v>
      </c>
      <c r="Z63" s="23">
        <f t="shared" si="66"/>
        <v>5.7244991417462299E-4</v>
      </c>
      <c r="AA63" s="23">
        <f t="shared" si="67"/>
        <v>1.9888246993085873E-3</v>
      </c>
      <c r="AB63" s="326">
        <v>334531774.12</v>
      </c>
      <c r="AC63" s="327">
        <v>106</v>
      </c>
      <c r="AD63" s="23">
        <f t="shared" si="68"/>
        <v>2.3649246773743918E-3</v>
      </c>
      <c r="AE63" s="23">
        <f t="shared" si="69"/>
        <v>1.8903591682419929E-3</v>
      </c>
      <c r="AF63" s="326">
        <v>325338460.38999999</v>
      </c>
      <c r="AG63" s="327">
        <v>106.19</v>
      </c>
      <c r="AH63" s="23">
        <f t="shared" si="70"/>
        <v>-2.7481137641359839E-2</v>
      </c>
      <c r="AI63" s="23">
        <f t="shared" si="71"/>
        <v>1.7924528301886578E-3</v>
      </c>
      <c r="AJ63" s="24">
        <f t="shared" si="14"/>
        <v>-1.6878071272235076E-2</v>
      </c>
      <c r="AK63" s="24">
        <f t="shared" si="15"/>
        <v>-3.0794344428690394E-3</v>
      </c>
      <c r="AL63" s="25">
        <f t="shared" si="16"/>
        <v>-0.13374533993552207</v>
      </c>
      <c r="AM63" s="25">
        <f t="shared" si="17"/>
        <v>-2.7475043502152213E-2</v>
      </c>
      <c r="AN63" s="466">
        <f t="shared" si="18"/>
        <v>3.073884557583071E-2</v>
      </c>
      <c r="AO63" s="467">
        <f t="shared" si="19"/>
        <v>1.4058153618669132E-2</v>
      </c>
      <c r="AP63" s="30"/>
      <c r="AQ63" s="28">
        <v>739078842.02999997</v>
      </c>
      <c r="AR63" s="32">
        <v>16.871500000000001</v>
      </c>
      <c r="AS63" s="29" t="e">
        <f>(#REF!/AQ63)-1</f>
        <v>#REF!</v>
      </c>
      <c r="AT63" s="29" t="e">
        <f>(#REF!/AR63)-1</f>
        <v>#REF!</v>
      </c>
    </row>
    <row r="64" spans="1:48">
      <c r="A64" s="202" t="s">
        <v>110</v>
      </c>
      <c r="B64" s="326">
        <v>340787570.67000002</v>
      </c>
      <c r="C64" s="327">
        <v>1.3917999999999999</v>
      </c>
      <c r="D64" s="326">
        <v>341383129.22000003</v>
      </c>
      <c r="E64" s="327">
        <v>1.3942000000000001</v>
      </c>
      <c r="F64" s="23">
        <f>((D64-B64)/B64)</f>
        <v>1.7475946931665479E-3</v>
      </c>
      <c r="G64" s="23">
        <f>((E64-C64)/C64)</f>
        <v>1.7243856875989222E-3</v>
      </c>
      <c r="H64" s="326">
        <v>342481464.06</v>
      </c>
      <c r="I64" s="327">
        <v>1.3987000000000001</v>
      </c>
      <c r="J64" s="23">
        <f t="shared" si="58"/>
        <v>3.2173084900518497E-3</v>
      </c>
      <c r="K64" s="23">
        <f t="shared" si="59"/>
        <v>3.2276574379572144E-3</v>
      </c>
      <c r="L64" s="326">
        <v>343261374.44</v>
      </c>
      <c r="M64" s="327">
        <v>1.4018999999999999</v>
      </c>
      <c r="N64" s="23">
        <f t="shared" si="60"/>
        <v>2.2772338413718099E-3</v>
      </c>
      <c r="O64" s="23">
        <f t="shared" si="61"/>
        <v>2.2878387073710371E-3</v>
      </c>
      <c r="P64" s="326">
        <v>344514187.93000001</v>
      </c>
      <c r="Q64" s="327">
        <v>1.407</v>
      </c>
      <c r="R64" s="23">
        <f t="shared" si="62"/>
        <v>3.6497362747086293E-3</v>
      </c>
      <c r="S64" s="23">
        <f t="shared" si="63"/>
        <v>3.637919965760828E-3</v>
      </c>
      <c r="T64" s="326">
        <v>345660860.52999997</v>
      </c>
      <c r="U64" s="327">
        <v>1.4116</v>
      </c>
      <c r="V64" s="23">
        <f t="shared" si="64"/>
        <v>3.3283755507710774E-3</v>
      </c>
      <c r="W64" s="23">
        <f t="shared" si="65"/>
        <v>3.2693674484718816E-3</v>
      </c>
      <c r="X64" s="326">
        <v>348318948.70999998</v>
      </c>
      <c r="Y64" s="327">
        <v>1.4225000000000001</v>
      </c>
      <c r="Z64" s="23">
        <f t="shared" si="66"/>
        <v>7.6898731777858059E-3</v>
      </c>
      <c r="AA64" s="23">
        <f t="shared" si="67"/>
        <v>7.7217342023236978E-3</v>
      </c>
      <c r="AB64" s="326">
        <v>348172202.95999998</v>
      </c>
      <c r="AC64" s="327">
        <v>1.4218999999999999</v>
      </c>
      <c r="AD64" s="23">
        <f t="shared" si="68"/>
        <v>-4.2129706277385486E-4</v>
      </c>
      <c r="AE64" s="23">
        <f t="shared" si="69"/>
        <v>-4.2179261862928359E-4</v>
      </c>
      <c r="AF64" s="326">
        <v>352998746.98000002</v>
      </c>
      <c r="AG64" s="327">
        <v>1.4416</v>
      </c>
      <c r="AH64" s="23">
        <f t="shared" si="70"/>
        <v>1.3862519692746815E-2</v>
      </c>
      <c r="AI64" s="23">
        <f t="shared" si="71"/>
        <v>1.3854701455798616E-2</v>
      </c>
      <c r="AJ64" s="24">
        <f t="shared" si="14"/>
        <v>4.418918082228585E-3</v>
      </c>
      <c r="AK64" s="24">
        <f t="shared" si="15"/>
        <v>4.4127265358316139E-3</v>
      </c>
      <c r="AL64" s="25">
        <f t="shared" si="16"/>
        <v>3.4025166347674003E-2</v>
      </c>
      <c r="AM64" s="25">
        <f t="shared" si="17"/>
        <v>3.3997991679816299E-2</v>
      </c>
      <c r="AN64" s="466">
        <f t="shared" si="18"/>
        <v>4.4441938137574181E-3</v>
      </c>
      <c r="AO64" s="467">
        <f t="shared" si="19"/>
        <v>4.4485520336279049E-3</v>
      </c>
      <c r="AP64" s="30"/>
      <c r="AQ64" s="36">
        <v>0</v>
      </c>
      <c r="AR64" s="37">
        <v>0</v>
      </c>
      <c r="AS64" s="29" t="e">
        <f>(#REF!/AQ64)-1</f>
        <v>#REF!</v>
      </c>
      <c r="AT64" s="29" t="e">
        <f>(#REF!/AR64)-1</f>
        <v>#REF!</v>
      </c>
    </row>
    <row r="65" spans="1:46">
      <c r="A65" s="202" t="s">
        <v>238</v>
      </c>
      <c r="B65" s="326">
        <v>532482007.37000006</v>
      </c>
      <c r="C65" s="74">
        <v>1000</v>
      </c>
      <c r="D65" s="326">
        <v>531561966.30000001</v>
      </c>
      <c r="E65" s="74">
        <v>1000</v>
      </c>
      <c r="F65" s="23">
        <f>((D65-B65)/B65)</f>
        <v>-1.7278350390546686E-3</v>
      </c>
      <c r="G65" s="23">
        <f>((E65-C65)/C65)</f>
        <v>0</v>
      </c>
      <c r="H65" s="326">
        <v>538228101.69000006</v>
      </c>
      <c r="I65" s="74">
        <v>1000</v>
      </c>
      <c r="J65" s="23">
        <f t="shared" si="58"/>
        <v>1.2540655300078125E-2</v>
      </c>
      <c r="K65" s="23">
        <f t="shared" si="59"/>
        <v>0</v>
      </c>
      <c r="L65" s="326">
        <v>538882249.6500001</v>
      </c>
      <c r="M65" s="74">
        <v>1000</v>
      </c>
      <c r="N65" s="23">
        <f t="shared" si="60"/>
        <v>1.2153731065807556E-3</v>
      </c>
      <c r="O65" s="23">
        <f t="shared" si="61"/>
        <v>0</v>
      </c>
      <c r="P65" s="326">
        <v>544459590.16000009</v>
      </c>
      <c r="Q65" s="74">
        <v>1000</v>
      </c>
      <c r="R65" s="23">
        <f t="shared" si="62"/>
        <v>1.0349831551554037E-2</v>
      </c>
      <c r="S65" s="23">
        <f t="shared" si="63"/>
        <v>0</v>
      </c>
      <c r="T65" s="326">
        <v>767024906.98000002</v>
      </c>
      <c r="U65" s="74">
        <v>1000</v>
      </c>
      <c r="V65" s="23">
        <f t="shared" si="64"/>
        <v>0.40878206728729816</v>
      </c>
      <c r="W65" s="23">
        <f t="shared" si="65"/>
        <v>0</v>
      </c>
      <c r="X65" s="326">
        <v>766811976.88999999</v>
      </c>
      <c r="Y65" s="74">
        <v>1000</v>
      </c>
      <c r="Z65" s="23">
        <f t="shared" si="66"/>
        <v>-2.7760518343322255E-4</v>
      </c>
      <c r="AA65" s="23">
        <f t="shared" si="67"/>
        <v>0</v>
      </c>
      <c r="AB65" s="326">
        <v>766103183.28000009</v>
      </c>
      <c r="AC65" s="74">
        <v>1000</v>
      </c>
      <c r="AD65" s="23">
        <f t="shared" si="68"/>
        <v>-9.2433820983676724E-4</v>
      </c>
      <c r="AE65" s="23">
        <f t="shared" si="69"/>
        <v>0</v>
      </c>
      <c r="AF65" s="326">
        <v>819285447.79000008</v>
      </c>
      <c r="AG65" s="74">
        <v>1000</v>
      </c>
      <c r="AH65" s="23">
        <f t="shared" si="70"/>
        <v>6.9419192702352486E-2</v>
      </c>
      <c r="AI65" s="23">
        <f t="shared" si="71"/>
        <v>0</v>
      </c>
      <c r="AJ65" s="24">
        <f t="shared" si="14"/>
        <v>6.2422167689442358E-2</v>
      </c>
      <c r="AK65" s="24">
        <f t="shared" si="15"/>
        <v>0</v>
      </c>
      <c r="AL65" s="25">
        <f t="shared" si="16"/>
        <v>0.54127928582387752</v>
      </c>
      <c r="AM65" s="25">
        <f t="shared" si="17"/>
        <v>0</v>
      </c>
      <c r="AN65" s="466">
        <f t="shared" si="18"/>
        <v>0.14193528090481841</v>
      </c>
      <c r="AO65" s="467">
        <f t="shared" si="19"/>
        <v>0</v>
      </c>
      <c r="AP65" s="30"/>
      <c r="AQ65" s="28">
        <v>3320655667.8400002</v>
      </c>
      <c r="AR65" s="32">
        <v>177.09</v>
      </c>
      <c r="AS65" s="29" t="e">
        <f>(#REF!/AQ65)-1</f>
        <v>#REF!</v>
      </c>
      <c r="AT65" s="29" t="e">
        <f>(#REF!/AR65)-1</f>
        <v>#REF!</v>
      </c>
    </row>
    <row r="66" spans="1:46">
      <c r="A66" s="202" t="s">
        <v>101</v>
      </c>
      <c r="B66" s="326">
        <v>313935607.06999999</v>
      </c>
      <c r="C66" s="74">
        <v>1148.69</v>
      </c>
      <c r="D66" s="326">
        <v>314541731.98000002</v>
      </c>
      <c r="E66" s="74">
        <v>1151.0999999999999</v>
      </c>
      <c r="F66" s="23">
        <f>((D66-B66)/B66)</f>
        <v>1.9307300489328537E-3</v>
      </c>
      <c r="G66" s="23">
        <f>((E66-C66)/C66)</f>
        <v>2.0980421175424654E-3</v>
      </c>
      <c r="H66" s="326">
        <v>312162311.66000003</v>
      </c>
      <c r="I66" s="74">
        <v>1153.1600000000001</v>
      </c>
      <c r="J66" s="23">
        <f t="shared" si="58"/>
        <v>-7.5647206016888312E-3</v>
      </c>
      <c r="K66" s="23">
        <f t="shared" si="59"/>
        <v>1.7895925636349343E-3</v>
      </c>
      <c r="L66" s="326">
        <v>312162311.66000003</v>
      </c>
      <c r="M66" s="74">
        <v>1157.52</v>
      </c>
      <c r="N66" s="23">
        <f t="shared" si="60"/>
        <v>0</v>
      </c>
      <c r="O66" s="23">
        <f t="shared" si="61"/>
        <v>3.7809150508167988E-3</v>
      </c>
      <c r="P66" s="326">
        <v>283455163.86000001</v>
      </c>
      <c r="Q66" s="74">
        <v>1157.52</v>
      </c>
      <c r="R66" s="23">
        <f t="shared" si="62"/>
        <v>-9.1962247611964046E-2</v>
      </c>
      <c r="S66" s="23">
        <f t="shared" si="63"/>
        <v>0</v>
      </c>
      <c r="T66" s="326">
        <v>283455163.86000001</v>
      </c>
      <c r="U66" s="74">
        <v>1159.02</v>
      </c>
      <c r="V66" s="23">
        <f t="shared" si="64"/>
        <v>0</v>
      </c>
      <c r="W66" s="23">
        <f t="shared" si="65"/>
        <v>1.2958739373833713E-3</v>
      </c>
      <c r="X66" s="326">
        <v>279531751.57999998</v>
      </c>
      <c r="Y66" s="74">
        <v>1163.6099999999999</v>
      </c>
      <c r="Z66" s="23">
        <f t="shared" si="66"/>
        <v>-1.3841385800040761E-2</v>
      </c>
      <c r="AA66" s="23">
        <f t="shared" si="67"/>
        <v>3.9602422736449054E-3</v>
      </c>
      <c r="AB66" s="326">
        <v>279255206.41000003</v>
      </c>
      <c r="AC66" s="74">
        <v>1166.33</v>
      </c>
      <c r="AD66" s="23">
        <f t="shared" si="68"/>
        <v>-9.8931576980732308E-4</v>
      </c>
      <c r="AE66" s="23">
        <f t="shared" si="69"/>
        <v>2.3375529601842777E-3</v>
      </c>
      <c r="AF66" s="326">
        <v>280455552.80000001</v>
      </c>
      <c r="AG66" s="74">
        <v>1171.9000000000001</v>
      </c>
      <c r="AH66" s="23">
        <f t="shared" si="70"/>
        <v>4.2983849985509231E-3</v>
      </c>
      <c r="AI66" s="23">
        <f t="shared" si="71"/>
        <v>4.7756638344209311E-3</v>
      </c>
      <c r="AJ66" s="24">
        <f t="shared" si="14"/>
        <v>-1.3516069342002147E-2</v>
      </c>
      <c r="AK66" s="24">
        <f t="shared" si="15"/>
        <v>2.5047353422034601E-3</v>
      </c>
      <c r="AL66" s="25">
        <f t="shared" si="16"/>
        <v>-0.10836774810589318</v>
      </c>
      <c r="AM66" s="25">
        <f t="shared" si="17"/>
        <v>1.8069672487186328E-2</v>
      </c>
      <c r="AN66" s="466">
        <f t="shared" si="18"/>
        <v>3.222149566147884E-2</v>
      </c>
      <c r="AO66" s="467">
        <f t="shared" si="19"/>
        <v>1.5740790888209523E-3</v>
      </c>
      <c r="AP66" s="30"/>
      <c r="AQ66" s="46">
        <v>1300500308</v>
      </c>
      <c r="AR66" s="32">
        <v>1.19</v>
      </c>
      <c r="AS66" s="29" t="e">
        <f>(#REF!/AQ66)-1</f>
        <v>#REF!</v>
      </c>
      <c r="AT66" s="29" t="e">
        <f>(#REF!/AR66)-1</f>
        <v>#REF!</v>
      </c>
    </row>
    <row r="67" spans="1:46">
      <c r="A67" s="202" t="s">
        <v>170</v>
      </c>
      <c r="B67" s="326">
        <v>701085602.53999996</v>
      </c>
      <c r="C67" s="311">
        <v>1.1026</v>
      </c>
      <c r="D67" s="326">
        <v>703767099.83000004</v>
      </c>
      <c r="E67" s="311">
        <v>1.1048</v>
      </c>
      <c r="F67" s="23">
        <f>((D67-B67)/B67)</f>
        <v>3.8247787150173149E-3</v>
      </c>
      <c r="G67" s="23">
        <f>((E67-C67)/C67)</f>
        <v>1.9952838744784871E-3</v>
      </c>
      <c r="H67" s="326">
        <v>705652857.17999995</v>
      </c>
      <c r="I67" s="311">
        <v>1.0418000000000001</v>
      </c>
      <c r="J67" s="23">
        <f t="shared" si="58"/>
        <v>2.6795190489231776E-3</v>
      </c>
      <c r="K67" s="23">
        <f t="shared" si="59"/>
        <v>-5.7023895727733476E-2</v>
      </c>
      <c r="L67" s="326">
        <v>707276606.19000006</v>
      </c>
      <c r="M67" s="311">
        <v>1.0438000000000001</v>
      </c>
      <c r="N67" s="23">
        <f t="shared" si="60"/>
        <v>2.3010592155597539E-3</v>
      </c>
      <c r="O67" s="23">
        <f t="shared" si="61"/>
        <v>1.9197542714532556E-3</v>
      </c>
      <c r="P67" s="326">
        <v>710216995.62</v>
      </c>
      <c r="Q67" s="311">
        <v>1.0475000000000001</v>
      </c>
      <c r="R67" s="23">
        <f t="shared" si="62"/>
        <v>4.1573401470740186E-3</v>
      </c>
      <c r="S67" s="23">
        <f t="shared" si="63"/>
        <v>3.544740371718755E-3</v>
      </c>
      <c r="T67" s="326">
        <v>711641333.46000004</v>
      </c>
      <c r="U67" s="311">
        <v>1.0494000000000001</v>
      </c>
      <c r="V67" s="23">
        <f t="shared" si="64"/>
        <v>2.0054966985922737E-3</v>
      </c>
      <c r="W67" s="23">
        <f t="shared" si="65"/>
        <v>1.8138424821002508E-3</v>
      </c>
      <c r="X67" s="326">
        <v>712878368.46000004</v>
      </c>
      <c r="Y67" s="311">
        <v>1.0510999999999999</v>
      </c>
      <c r="Z67" s="23">
        <f t="shared" si="66"/>
        <v>1.7382843601643206E-3</v>
      </c>
      <c r="AA67" s="23">
        <f t="shared" si="67"/>
        <v>1.619973318086347E-3</v>
      </c>
      <c r="AB67" s="326">
        <v>714449304</v>
      </c>
      <c r="AC67" s="311">
        <v>1.0529999999999999</v>
      </c>
      <c r="AD67" s="23">
        <f t="shared" si="68"/>
        <v>2.2036515757850603E-3</v>
      </c>
      <c r="AE67" s="23">
        <f t="shared" si="69"/>
        <v>1.8076301017981285E-3</v>
      </c>
      <c r="AF67" s="326">
        <v>716982747.07000005</v>
      </c>
      <c r="AG67" s="311">
        <v>1.0568</v>
      </c>
      <c r="AH67" s="23">
        <f t="shared" si="70"/>
        <v>3.5460081713510247E-3</v>
      </c>
      <c r="AI67" s="23">
        <f t="shared" si="71"/>
        <v>3.6087369420702998E-3</v>
      </c>
      <c r="AJ67" s="24">
        <f t="shared" si="14"/>
        <v>2.8070172415583677E-3</v>
      </c>
      <c r="AK67" s="24">
        <f t="shared" si="15"/>
        <v>-5.089241795753493E-3</v>
      </c>
      <c r="AL67" s="25">
        <f t="shared" si="16"/>
        <v>1.8778438553311662E-2</v>
      </c>
      <c r="AM67" s="25">
        <f t="shared" si="17"/>
        <v>-4.3446777697320818E-2</v>
      </c>
      <c r="AN67" s="466">
        <f t="shared" si="18"/>
        <v>9.1231593468291898E-4</v>
      </c>
      <c r="AO67" s="467">
        <f t="shared" si="19"/>
        <v>2.0999858071053885E-2</v>
      </c>
      <c r="AP67" s="30"/>
      <c r="AQ67" s="31">
        <v>776682398.99000001</v>
      </c>
      <c r="AR67" s="35">
        <v>2.4700000000000002</v>
      </c>
      <c r="AS67" s="29" t="e">
        <f>(#REF!/AQ67)-1</f>
        <v>#REF!</v>
      </c>
      <c r="AT67" s="29" t="e">
        <f>(#REF!/AR67)-1</f>
        <v>#REF!</v>
      </c>
    </row>
    <row r="68" spans="1:46">
      <c r="A68" s="202" t="s">
        <v>210</v>
      </c>
      <c r="B68" s="326">
        <v>65135460613.57</v>
      </c>
      <c r="C68" s="326">
        <v>1526.63</v>
      </c>
      <c r="D68" s="326">
        <v>65196292622.389999</v>
      </c>
      <c r="E68" s="326">
        <v>1529.95</v>
      </c>
      <c r="F68" s="23">
        <f>((D68-B68)/B68)</f>
        <v>9.339307382947447E-4</v>
      </c>
      <c r="G68" s="23">
        <f>((E68-C68)/C68)</f>
        <v>2.1747247204626768E-3</v>
      </c>
      <c r="H68" s="326">
        <v>66292805221.339996</v>
      </c>
      <c r="I68" s="326">
        <v>1533.3</v>
      </c>
      <c r="J68" s="23">
        <f t="shared" si="58"/>
        <v>1.681863423279114E-2</v>
      </c>
      <c r="K68" s="23">
        <f t="shared" si="59"/>
        <v>2.1896140396744398E-3</v>
      </c>
      <c r="L68" s="326">
        <v>66728090200.639999</v>
      </c>
      <c r="M68" s="326">
        <v>1536.72</v>
      </c>
      <c r="N68" s="23">
        <f t="shared" si="60"/>
        <v>6.5660968463570552E-3</v>
      </c>
      <c r="O68" s="23">
        <f t="shared" si="61"/>
        <v>2.230483271375512E-3</v>
      </c>
      <c r="P68" s="326">
        <v>67040704989.099998</v>
      </c>
      <c r="Q68" s="326">
        <v>1540.08</v>
      </c>
      <c r="R68" s="23">
        <f t="shared" si="62"/>
        <v>4.6849053752328245E-3</v>
      </c>
      <c r="S68" s="23">
        <f t="shared" si="63"/>
        <v>2.1864750898015904E-3</v>
      </c>
      <c r="T68" s="326">
        <v>67119433047.849998</v>
      </c>
      <c r="U68" s="326">
        <v>1543.44</v>
      </c>
      <c r="V68" s="23">
        <f t="shared" si="64"/>
        <v>1.174332202544711E-3</v>
      </c>
      <c r="W68" s="23">
        <f t="shared" si="65"/>
        <v>2.1817048465015633E-3</v>
      </c>
      <c r="X68" s="326">
        <v>66573844982.93</v>
      </c>
      <c r="Y68" s="326">
        <v>1546.83</v>
      </c>
      <c r="Z68" s="23">
        <f t="shared" si="66"/>
        <v>-8.1286155163295837E-3</v>
      </c>
      <c r="AA68" s="23">
        <f t="shared" si="67"/>
        <v>2.1963924739542015E-3</v>
      </c>
      <c r="AB68" s="326">
        <v>66586071668.029999</v>
      </c>
      <c r="AC68" s="326">
        <v>1550.28</v>
      </c>
      <c r="AD68" s="23">
        <f t="shared" si="68"/>
        <v>1.8365598536682811E-4</v>
      </c>
      <c r="AE68" s="23">
        <f t="shared" si="69"/>
        <v>2.2303679137332774E-3</v>
      </c>
      <c r="AF68" s="326">
        <v>67249605090.529999</v>
      </c>
      <c r="AG68" s="326">
        <v>1553.62</v>
      </c>
      <c r="AH68" s="23">
        <f t="shared" si="70"/>
        <v>9.9650483333526135E-3</v>
      </c>
      <c r="AI68" s="23">
        <f t="shared" si="71"/>
        <v>2.1544495187965518E-3</v>
      </c>
      <c r="AJ68" s="24">
        <f t="shared" si="14"/>
        <v>4.024748524701291E-3</v>
      </c>
      <c r="AK68" s="24">
        <f t="shared" si="15"/>
        <v>2.1930264842874763E-3</v>
      </c>
      <c r="AL68" s="25">
        <f t="shared" si="16"/>
        <v>3.1494313335154914E-2</v>
      </c>
      <c r="AM68" s="25">
        <f t="shared" si="17"/>
        <v>1.5471093826595539E-2</v>
      </c>
      <c r="AN68" s="466">
        <f t="shared" si="18"/>
        <v>7.4258352959260879E-3</v>
      </c>
      <c r="AO68" s="467">
        <f t="shared" si="19"/>
        <v>2.6225954957799107E-5</v>
      </c>
      <c r="AP68" s="30"/>
      <c r="AQ68" s="28">
        <v>8144502990.9799995</v>
      </c>
      <c r="AR68" s="28">
        <v>2263.5700000000002</v>
      </c>
      <c r="AS68" s="29" t="e">
        <f>(#REF!/AQ68)-1</f>
        <v>#REF!</v>
      </c>
      <c r="AT68" s="29" t="e">
        <f>(#REF!/AR68)-1</f>
        <v>#REF!</v>
      </c>
    </row>
    <row r="69" spans="1:46">
      <c r="A69" s="202" t="s">
        <v>174</v>
      </c>
      <c r="B69" s="326">
        <v>21256349.329999998</v>
      </c>
      <c r="C69" s="326">
        <v>0.63970000000000005</v>
      </c>
      <c r="D69" s="326">
        <v>21256349.329999998</v>
      </c>
      <c r="E69" s="326">
        <v>0.63560000000000005</v>
      </c>
      <c r="F69" s="23">
        <f>((D69-B69)/B69)</f>
        <v>0</v>
      </c>
      <c r="G69" s="23">
        <f>((E69-C69)/C69)</f>
        <v>-6.4092543379709113E-3</v>
      </c>
      <c r="H69" s="326">
        <v>21343973.510000002</v>
      </c>
      <c r="I69" s="326">
        <v>0.63670000000000004</v>
      </c>
      <c r="J69" s="23">
        <f t="shared" si="58"/>
        <v>4.1222591254809525E-3</v>
      </c>
      <c r="K69" s="23">
        <f t="shared" si="59"/>
        <v>1.7306482064191155E-3</v>
      </c>
      <c r="L69" s="326">
        <v>21385156.890000001</v>
      </c>
      <c r="M69" s="326">
        <v>0.63800000000000001</v>
      </c>
      <c r="N69" s="23">
        <f t="shared" si="60"/>
        <v>1.9295085791173733E-3</v>
      </c>
      <c r="O69" s="23">
        <f t="shared" si="61"/>
        <v>2.0417779173864735E-3</v>
      </c>
      <c r="P69" s="326">
        <v>21525033.219999999</v>
      </c>
      <c r="Q69" s="326">
        <v>0.6421</v>
      </c>
      <c r="R69" s="23">
        <f t="shared" si="62"/>
        <v>6.5408138326731825E-3</v>
      </c>
      <c r="S69" s="23">
        <f t="shared" si="63"/>
        <v>6.426332288401242E-3</v>
      </c>
      <c r="T69" s="326">
        <v>21606986.210000001</v>
      </c>
      <c r="U69" s="326">
        <v>0.64459999999999995</v>
      </c>
      <c r="V69" s="23">
        <f t="shared" si="64"/>
        <v>3.8073339614572771E-3</v>
      </c>
      <c r="W69" s="23">
        <f t="shared" si="65"/>
        <v>3.8934745366764473E-3</v>
      </c>
      <c r="X69" s="326">
        <v>21647941.760000002</v>
      </c>
      <c r="Y69" s="326">
        <v>0.64580000000000004</v>
      </c>
      <c r="Z69" s="23">
        <f t="shared" si="66"/>
        <v>1.8954772128769153E-3</v>
      </c>
      <c r="AA69" s="23">
        <f t="shared" si="67"/>
        <v>1.8616196090600217E-3</v>
      </c>
      <c r="AB69" s="326">
        <v>21711622.109999999</v>
      </c>
      <c r="AC69" s="326">
        <v>0.64770000000000005</v>
      </c>
      <c r="AD69" s="23">
        <f t="shared" si="68"/>
        <v>2.9416353160032598E-3</v>
      </c>
      <c r="AE69" s="23">
        <f t="shared" si="69"/>
        <v>2.942087333539815E-3</v>
      </c>
      <c r="AF69" s="326">
        <v>21761622.530000001</v>
      </c>
      <c r="AG69" s="326">
        <v>0.6492</v>
      </c>
      <c r="AH69" s="23">
        <f t="shared" si="70"/>
        <v>2.3029334126524088E-3</v>
      </c>
      <c r="AI69" s="23">
        <f t="shared" si="71"/>
        <v>2.3158869847150622E-3</v>
      </c>
      <c r="AJ69" s="24">
        <f t="shared" si="14"/>
        <v>2.9424951800326709E-3</v>
      </c>
      <c r="AK69" s="24">
        <f t="shared" si="15"/>
        <v>1.8503215672784083E-3</v>
      </c>
      <c r="AL69" s="25">
        <f t="shared" si="16"/>
        <v>2.3770459929678009E-2</v>
      </c>
      <c r="AM69" s="25">
        <f t="shared" si="17"/>
        <v>2.1397105097545537E-2</v>
      </c>
      <c r="AN69" s="466">
        <f t="shared" si="18"/>
        <v>1.937501799672287E-3</v>
      </c>
      <c r="AO69" s="467">
        <f t="shared" si="19"/>
        <v>3.6799602259128474E-3</v>
      </c>
      <c r="AP69" s="30"/>
      <c r="AQ69" s="28"/>
      <c r="AR69" s="28"/>
      <c r="AS69" s="29"/>
      <c r="AT69" s="29"/>
    </row>
    <row r="70" spans="1:46">
      <c r="A70" s="202" t="s">
        <v>104</v>
      </c>
      <c r="B70" s="326">
        <v>794419420.58000004</v>
      </c>
      <c r="C70" s="327">
        <v>202.07501300000001</v>
      </c>
      <c r="D70" s="326">
        <v>757080412.45000005</v>
      </c>
      <c r="E70" s="327">
        <v>200.50473099999999</v>
      </c>
      <c r="F70" s="23">
        <f>((D70-B70)/B70)</f>
        <v>-4.7001630577886741E-2</v>
      </c>
      <c r="G70" s="23">
        <f>((E70-C70)/C70)</f>
        <v>-7.7707875738205201E-3</v>
      </c>
      <c r="H70" s="326">
        <v>742098925.64999998</v>
      </c>
      <c r="I70" s="327">
        <v>202.98336800000001</v>
      </c>
      <c r="J70" s="23">
        <f t="shared" si="58"/>
        <v>-1.9788501397781832E-2</v>
      </c>
      <c r="K70" s="23">
        <f t="shared" si="59"/>
        <v>1.2361987608162824E-2</v>
      </c>
      <c r="L70" s="326">
        <v>745411120.92999995</v>
      </c>
      <c r="M70" s="327">
        <v>204.46580700000001</v>
      </c>
      <c r="N70" s="23">
        <f t="shared" si="60"/>
        <v>4.4632799826503445E-3</v>
      </c>
      <c r="O70" s="23">
        <f t="shared" si="61"/>
        <v>7.3032535355310457E-3</v>
      </c>
      <c r="P70" s="326">
        <v>740491563.21000004</v>
      </c>
      <c r="Q70" s="327">
        <v>203.61999900000001</v>
      </c>
      <c r="R70" s="23">
        <f t="shared" si="62"/>
        <v>-6.5997911513073536E-3</v>
      </c>
      <c r="S70" s="23">
        <f t="shared" si="63"/>
        <v>-4.1366721038105176E-3</v>
      </c>
      <c r="T70" s="326">
        <v>732213641.27999997</v>
      </c>
      <c r="U70" s="327">
        <v>204.84912299999999</v>
      </c>
      <c r="V70" s="23">
        <f t="shared" si="64"/>
        <v>-1.1178955090474793E-2</v>
      </c>
      <c r="W70" s="23">
        <f t="shared" si="65"/>
        <v>6.0363618801509986E-3</v>
      </c>
      <c r="X70" s="326">
        <v>756899028.12</v>
      </c>
      <c r="Y70" s="327">
        <v>204.426231</v>
      </c>
      <c r="Z70" s="23">
        <f t="shared" si="66"/>
        <v>3.371336649348259E-2</v>
      </c>
      <c r="AA70" s="23">
        <f t="shared" si="67"/>
        <v>-2.0644071783504307E-3</v>
      </c>
      <c r="AB70" s="326">
        <v>905766915.50999999</v>
      </c>
      <c r="AC70" s="326">
        <v>204.76953</v>
      </c>
      <c r="AD70" s="23">
        <f t="shared" si="68"/>
        <v>0.19668130339625464</v>
      </c>
      <c r="AE70" s="23">
        <f t="shared" si="69"/>
        <v>1.6793294985710605E-3</v>
      </c>
      <c r="AF70" s="326">
        <v>974655774.58000004</v>
      </c>
      <c r="AG70" s="326">
        <v>205.39851899999999</v>
      </c>
      <c r="AH70" s="23">
        <f t="shared" si="70"/>
        <v>7.6055834995045687E-2</v>
      </c>
      <c r="AI70" s="23">
        <f t="shared" si="71"/>
        <v>3.0716923557913621E-3</v>
      </c>
      <c r="AJ70" s="24">
        <f t="shared" ref="AJ70:AJ133" si="72">AVERAGE(F70,J70,N70,R70,V70,Z70,AD70,AH70)</f>
        <v>2.8293113331247816E-2</v>
      </c>
      <c r="AK70" s="24">
        <f t="shared" ref="AK70:AK133" si="73">AVERAGE(G70,K70,O70,S70,W70,AA70,AE70,AI70)</f>
        <v>2.0600947527782279E-3</v>
      </c>
      <c r="AL70" s="25">
        <f t="shared" ref="AL70:AL133" si="74">((AF70-D70)/D70)</f>
        <v>0.28738738785474699</v>
      </c>
      <c r="AM70" s="25">
        <f t="shared" ref="AM70:AM133" si="75">((AG70-E70)/E70)</f>
        <v>2.4407344283562071E-2</v>
      </c>
      <c r="AN70" s="466">
        <f t="shared" ref="AN70:AN133" si="76">STDEV(F70,J70,N70,R70,V70,Z70,AD70,AH70)</f>
        <v>7.7450259927515322E-2</v>
      </c>
      <c r="AO70" s="467">
        <f t="shared" ref="AO70:AO133" si="77">STDEV(G70,K70,O70,S70,W70,AA70,AE70,AI70)</f>
        <v>6.5754565898680402E-3</v>
      </c>
      <c r="AP70" s="30"/>
      <c r="AQ70" s="28">
        <v>421796041.39999998</v>
      </c>
      <c r="AR70" s="28">
        <v>2004.5</v>
      </c>
      <c r="AS70" s="29" t="e">
        <f>(#REF!/AQ70)-1</f>
        <v>#REF!</v>
      </c>
      <c r="AT70" s="29" t="e">
        <f>(#REF!/AR70)-1</f>
        <v>#REF!</v>
      </c>
    </row>
    <row r="71" spans="1:46">
      <c r="A71" s="202" t="s">
        <v>111</v>
      </c>
      <c r="B71" s="326">
        <v>1353876211.78</v>
      </c>
      <c r="C71" s="327">
        <v>3.55</v>
      </c>
      <c r="D71" s="326">
        <v>1355220008.55</v>
      </c>
      <c r="E71" s="327">
        <v>3.55</v>
      </c>
      <c r="F71" s="23">
        <f>((D71-B71)/B71)</f>
        <v>9.9255512306640863E-4</v>
      </c>
      <c r="G71" s="23">
        <f>((E71-C71)/C71)</f>
        <v>0</v>
      </c>
      <c r="H71" s="326">
        <v>1355564768.8499999</v>
      </c>
      <c r="I71" s="327">
        <v>3.56</v>
      </c>
      <c r="J71" s="23">
        <f t="shared" si="58"/>
        <v>2.5439434027307796E-4</v>
      </c>
      <c r="K71" s="23">
        <f t="shared" si="59"/>
        <v>2.8169014084507694E-3</v>
      </c>
      <c r="L71" s="326">
        <v>1356912544.1400001</v>
      </c>
      <c r="M71" s="327">
        <v>3.56</v>
      </c>
      <c r="N71" s="23">
        <f t="shared" si="60"/>
        <v>9.9425370219941023E-4</v>
      </c>
      <c r="O71" s="23">
        <f t="shared" si="61"/>
        <v>0</v>
      </c>
      <c r="P71" s="326">
        <v>1242357846.8699999</v>
      </c>
      <c r="Q71" s="327">
        <v>3.49</v>
      </c>
      <c r="R71" s="23">
        <f t="shared" si="62"/>
        <v>-8.442305126053945E-2</v>
      </c>
      <c r="S71" s="23">
        <f t="shared" si="63"/>
        <v>-1.9662921348314561E-2</v>
      </c>
      <c r="T71" s="326">
        <v>1243441877.8900001</v>
      </c>
      <c r="U71" s="327">
        <v>3.49</v>
      </c>
      <c r="V71" s="23">
        <f t="shared" si="64"/>
        <v>8.7255940205258119E-4</v>
      </c>
      <c r="W71" s="23">
        <f t="shared" si="65"/>
        <v>0</v>
      </c>
      <c r="X71" s="326">
        <v>1244741221.6400001</v>
      </c>
      <c r="Y71" s="327">
        <v>3.5</v>
      </c>
      <c r="Z71" s="23">
        <f t="shared" si="66"/>
        <v>1.0449573664069124E-3</v>
      </c>
      <c r="AA71" s="23">
        <f t="shared" si="67"/>
        <v>2.8653295128939216E-3</v>
      </c>
      <c r="AB71" s="326">
        <v>1245630004.48</v>
      </c>
      <c r="AC71" s="327">
        <v>3.5</v>
      </c>
      <c r="AD71" s="23">
        <f t="shared" si="68"/>
        <v>7.1403021330723228E-4</v>
      </c>
      <c r="AE71" s="23">
        <f t="shared" si="69"/>
        <v>0</v>
      </c>
      <c r="AF71" s="326">
        <v>1245948704.3099999</v>
      </c>
      <c r="AG71" s="327">
        <v>3.5</v>
      </c>
      <c r="AH71" s="23">
        <f t="shared" si="70"/>
        <v>2.5585432982000781E-4</v>
      </c>
      <c r="AI71" s="23">
        <f t="shared" si="71"/>
        <v>0</v>
      </c>
      <c r="AJ71" s="24">
        <f t="shared" si="72"/>
        <v>-9.9118058479267263E-3</v>
      </c>
      <c r="AK71" s="24">
        <f t="shared" si="73"/>
        <v>-1.7475863033712337E-3</v>
      </c>
      <c r="AL71" s="25">
        <f t="shared" si="74"/>
        <v>-8.0629937243114805E-2</v>
      </c>
      <c r="AM71" s="25">
        <f t="shared" si="75"/>
        <v>-1.4084507042253471E-2</v>
      </c>
      <c r="AN71" s="466">
        <f t="shared" si="76"/>
        <v>3.0108772907035546E-2</v>
      </c>
      <c r="AO71" s="467">
        <f t="shared" si="77"/>
        <v>7.3518030792311803E-3</v>
      </c>
      <c r="AP71" s="30"/>
      <c r="AQ71" s="28"/>
      <c r="AR71" s="28"/>
      <c r="AS71" s="29"/>
      <c r="AT71" s="29"/>
    </row>
    <row r="72" spans="1:46">
      <c r="A72" s="202" t="s">
        <v>85</v>
      </c>
      <c r="B72" s="326">
        <v>15891519879.780001</v>
      </c>
      <c r="C72" s="326">
        <v>1170.21</v>
      </c>
      <c r="D72" s="326">
        <v>15911278976.85</v>
      </c>
      <c r="E72" s="326">
        <v>1175.8</v>
      </c>
      <c r="F72" s="23">
        <f>((D72-B72)/B72)</f>
        <v>1.2433736495614061E-3</v>
      </c>
      <c r="G72" s="23">
        <f>((E72-C72)/C72)</f>
        <v>4.7769203818117415E-3</v>
      </c>
      <c r="H72" s="326">
        <v>15915159275.120001</v>
      </c>
      <c r="I72" s="326">
        <v>1177.8599999999999</v>
      </c>
      <c r="J72" s="23">
        <f t="shared" si="58"/>
        <v>2.4387092173080928E-4</v>
      </c>
      <c r="K72" s="23">
        <f t="shared" si="59"/>
        <v>1.7519986392243116E-3</v>
      </c>
      <c r="L72" s="326">
        <v>16286957930.43</v>
      </c>
      <c r="M72" s="326">
        <v>1179.81</v>
      </c>
      <c r="N72" s="23">
        <f t="shared" si="60"/>
        <v>2.3361290256845142E-2</v>
      </c>
      <c r="O72" s="23">
        <f t="shared" si="61"/>
        <v>1.6555448015893618E-3</v>
      </c>
      <c r="P72" s="326">
        <v>16337580274.32</v>
      </c>
      <c r="Q72" s="326">
        <v>1181.3599999999999</v>
      </c>
      <c r="R72" s="23">
        <f t="shared" si="62"/>
        <v>3.1081521857079472E-3</v>
      </c>
      <c r="S72" s="23">
        <f t="shared" si="63"/>
        <v>1.3137708614098496E-3</v>
      </c>
      <c r="T72" s="326">
        <v>15929112292.889999</v>
      </c>
      <c r="U72" s="326">
        <v>1183.05</v>
      </c>
      <c r="V72" s="23">
        <f t="shared" si="64"/>
        <v>-2.5001742887962735E-2</v>
      </c>
      <c r="W72" s="23">
        <f t="shared" si="65"/>
        <v>1.4305546150200233E-3</v>
      </c>
      <c r="X72" s="326">
        <v>15988388198.799999</v>
      </c>
      <c r="Y72" s="326">
        <v>1191.53</v>
      </c>
      <c r="Z72" s="23">
        <f t="shared" si="66"/>
        <v>3.7212309650461691E-3</v>
      </c>
      <c r="AA72" s="23">
        <f t="shared" si="67"/>
        <v>7.1679134440640873E-3</v>
      </c>
      <c r="AB72" s="326">
        <v>16074541304.75</v>
      </c>
      <c r="AC72" s="326">
        <v>1193.5</v>
      </c>
      <c r="AD72" s="23">
        <f t="shared" si="68"/>
        <v>5.3884797440974658E-3</v>
      </c>
      <c r="AE72" s="23">
        <f t="shared" si="69"/>
        <v>1.6533364665598242E-3</v>
      </c>
      <c r="AF72" s="326">
        <v>16256989084.93</v>
      </c>
      <c r="AG72" s="326">
        <v>1195.07</v>
      </c>
      <c r="AH72" s="23">
        <f t="shared" si="70"/>
        <v>1.1350108019946254E-2</v>
      </c>
      <c r="AI72" s="23">
        <f t="shared" si="71"/>
        <v>1.3154587348135202E-3</v>
      </c>
      <c r="AJ72" s="24">
        <f t="shared" si="72"/>
        <v>2.9268453568715574E-3</v>
      </c>
      <c r="AK72" s="24">
        <f t="shared" si="73"/>
        <v>2.6331872430615903E-3</v>
      </c>
      <c r="AL72" s="25">
        <f t="shared" si="74"/>
        <v>2.1727361363155555E-2</v>
      </c>
      <c r="AM72" s="25">
        <f t="shared" si="75"/>
        <v>1.6388841639734635E-2</v>
      </c>
      <c r="AN72" s="466">
        <f t="shared" si="76"/>
        <v>1.3550329078432347E-2</v>
      </c>
      <c r="AO72" s="467">
        <f t="shared" si="77"/>
        <v>2.1638362883346298E-3</v>
      </c>
      <c r="AP72" s="30"/>
      <c r="AQ72" s="28"/>
      <c r="AR72" s="28"/>
      <c r="AS72" s="29"/>
      <c r="AT72" s="29"/>
    </row>
    <row r="73" spans="1:46">
      <c r="A73" s="202" t="s">
        <v>17</v>
      </c>
      <c r="B73" s="326">
        <v>2014224540.49</v>
      </c>
      <c r="C73" s="327">
        <v>102.98</v>
      </c>
      <c r="D73" s="326">
        <v>2080171735.4400001</v>
      </c>
      <c r="E73" s="327">
        <v>103.17</v>
      </c>
      <c r="F73" s="23">
        <f>((D73-B73)/B73)</f>
        <v>3.2740736508928191E-2</v>
      </c>
      <c r="G73" s="23">
        <f>((E73-C73)/C73)</f>
        <v>1.8450184501844797E-3</v>
      </c>
      <c r="H73" s="326">
        <v>2180810306</v>
      </c>
      <c r="I73" s="327">
        <v>103.36</v>
      </c>
      <c r="J73" s="23">
        <f t="shared" si="58"/>
        <v>4.8379933659041266E-2</v>
      </c>
      <c r="K73" s="23">
        <f t="shared" si="59"/>
        <v>1.8416206261509908E-3</v>
      </c>
      <c r="L73" s="326">
        <v>2185516775</v>
      </c>
      <c r="M73" s="327">
        <v>103.56</v>
      </c>
      <c r="N73" s="23">
        <f t="shared" si="60"/>
        <v>2.1581285575601092E-3</v>
      </c>
      <c r="O73" s="23">
        <f t="shared" si="61"/>
        <v>1.9349845201238666E-3</v>
      </c>
      <c r="P73" s="326">
        <v>1928845437</v>
      </c>
      <c r="Q73" s="327">
        <v>103.76</v>
      </c>
      <c r="R73" s="23">
        <f t="shared" si="62"/>
        <v>-0.11744194367943024</v>
      </c>
      <c r="S73" s="23">
        <f t="shared" si="63"/>
        <v>1.9312475859405451E-3</v>
      </c>
      <c r="T73" s="326">
        <v>1996672494</v>
      </c>
      <c r="U73" s="327">
        <v>103.95</v>
      </c>
      <c r="V73" s="23">
        <f t="shared" si="64"/>
        <v>3.5164588981009159E-2</v>
      </c>
      <c r="W73" s="23">
        <f t="shared" si="65"/>
        <v>1.8311488049344421E-3</v>
      </c>
      <c r="X73" s="326">
        <v>1752480340</v>
      </c>
      <c r="Y73" s="327">
        <v>104.15</v>
      </c>
      <c r="Z73" s="23">
        <f t="shared" si="66"/>
        <v>-0.12229955324861605</v>
      </c>
      <c r="AA73" s="23">
        <f t="shared" si="67"/>
        <v>1.9240019240019514E-3</v>
      </c>
      <c r="AB73" s="326">
        <v>1752480340</v>
      </c>
      <c r="AC73" s="327">
        <v>104.31</v>
      </c>
      <c r="AD73" s="23">
        <f t="shared" si="68"/>
        <v>0</v>
      </c>
      <c r="AE73" s="23">
        <f t="shared" si="69"/>
        <v>1.5362457993278596E-3</v>
      </c>
      <c r="AF73" s="326">
        <v>1226133454</v>
      </c>
      <c r="AG73" s="327">
        <v>103.45</v>
      </c>
      <c r="AH73" s="23">
        <f t="shared" si="70"/>
        <v>-0.300343960492019</v>
      </c>
      <c r="AI73" s="23">
        <f t="shared" si="71"/>
        <v>-8.2446553542325704E-3</v>
      </c>
      <c r="AJ73" s="24">
        <f t="shared" si="72"/>
        <v>-5.2705258714190822E-2</v>
      </c>
      <c r="AK73" s="24">
        <f t="shared" si="73"/>
        <v>5.7495154455394553E-4</v>
      </c>
      <c r="AL73" s="25">
        <f t="shared" si="74"/>
        <v>-0.41056142956358022</v>
      </c>
      <c r="AM73" s="25">
        <f t="shared" si="75"/>
        <v>2.7139672385383456E-3</v>
      </c>
      <c r="AN73" s="466">
        <f t="shared" si="76"/>
        <v>0.12034908198360852</v>
      </c>
      <c r="AO73" s="467">
        <f t="shared" si="77"/>
        <v>3.5659955558467356E-3</v>
      </c>
      <c r="AP73" s="30"/>
      <c r="AQ73" s="28"/>
      <c r="AR73" s="28"/>
      <c r="AS73" s="29"/>
      <c r="AT73" s="29"/>
    </row>
    <row r="74" spans="1:46">
      <c r="A74" s="202" t="s">
        <v>220</v>
      </c>
      <c r="B74" s="326">
        <v>1549372595.52</v>
      </c>
      <c r="C74" s="327">
        <v>334.55900000000003</v>
      </c>
      <c r="D74" s="326">
        <v>1552767234.51</v>
      </c>
      <c r="E74" s="327">
        <v>335.15839999999997</v>
      </c>
      <c r="F74" s="23">
        <f>((D74-B74)/B74)</f>
        <v>2.1909765280576049E-3</v>
      </c>
      <c r="G74" s="23">
        <f>((E74-C74)/C74)</f>
        <v>1.7916122417867878E-3</v>
      </c>
      <c r="H74" s="326">
        <v>1555885335.6700001</v>
      </c>
      <c r="I74" s="327">
        <v>335.8014</v>
      </c>
      <c r="J74" s="23">
        <f t="shared" si="58"/>
        <v>2.0080930938654509E-3</v>
      </c>
      <c r="K74" s="23">
        <f t="shared" si="59"/>
        <v>1.9184958515138786E-3</v>
      </c>
      <c r="L74" s="326">
        <v>1559022409.8199999</v>
      </c>
      <c r="M74" s="327">
        <v>336.4341</v>
      </c>
      <c r="N74" s="23">
        <f t="shared" si="60"/>
        <v>2.0162630741994625E-3</v>
      </c>
      <c r="O74" s="23">
        <f t="shared" si="61"/>
        <v>1.8841493811520733E-3</v>
      </c>
      <c r="P74" s="326">
        <v>1561516246.0999999</v>
      </c>
      <c r="Q74" s="327">
        <v>336.9554</v>
      </c>
      <c r="R74" s="23">
        <f t="shared" si="62"/>
        <v>1.5996154155910448E-3</v>
      </c>
      <c r="S74" s="23">
        <f t="shared" si="63"/>
        <v>1.5494862143878893E-3</v>
      </c>
      <c r="T74" s="326">
        <v>1565314267.6199999</v>
      </c>
      <c r="U74" s="327">
        <v>337.70100000000002</v>
      </c>
      <c r="V74" s="23">
        <f t="shared" si="64"/>
        <v>2.4322651329986575E-3</v>
      </c>
      <c r="W74" s="23">
        <f t="shared" si="65"/>
        <v>2.212755753432129E-3</v>
      </c>
      <c r="X74" s="326">
        <v>1568546174.75</v>
      </c>
      <c r="Y74" s="327">
        <v>338.38470000000001</v>
      </c>
      <c r="Z74" s="23">
        <f t="shared" si="66"/>
        <v>2.064701764275173E-3</v>
      </c>
      <c r="AA74" s="23">
        <f t="shared" si="67"/>
        <v>2.0245720326560702E-3</v>
      </c>
      <c r="AB74" s="326">
        <v>1571852032.3800001</v>
      </c>
      <c r="AC74" s="327">
        <v>339.07859999999999</v>
      </c>
      <c r="AD74" s="23">
        <f t="shared" si="68"/>
        <v>2.1075934411220075E-3</v>
      </c>
      <c r="AE74" s="23">
        <f t="shared" si="69"/>
        <v>2.0506246293050044E-3</v>
      </c>
      <c r="AF74" s="326">
        <v>1575703570.24</v>
      </c>
      <c r="AG74" s="327">
        <v>339.79730000000001</v>
      </c>
      <c r="AH74" s="23">
        <f t="shared" si="70"/>
        <v>2.4503183382777686E-3</v>
      </c>
      <c r="AI74" s="23">
        <f t="shared" si="71"/>
        <v>2.1195675574926065E-3</v>
      </c>
      <c r="AJ74" s="24">
        <f t="shared" si="72"/>
        <v>2.1087283485483966E-3</v>
      </c>
      <c r="AK74" s="24">
        <f t="shared" si="73"/>
        <v>1.943907957715805E-3</v>
      </c>
      <c r="AL74" s="25">
        <f t="shared" si="74"/>
        <v>1.4771264630167147E-2</v>
      </c>
      <c r="AM74" s="25">
        <f t="shared" si="75"/>
        <v>1.3840918204646028E-2</v>
      </c>
      <c r="AN74" s="466">
        <f t="shared" si="76"/>
        <v>2.6937425454876018E-4</v>
      </c>
      <c r="AO74" s="467">
        <f t="shared" si="77"/>
        <v>2.0839863330749544E-4</v>
      </c>
      <c r="AP74" s="30"/>
      <c r="AQ74" s="28"/>
      <c r="AR74" s="28"/>
      <c r="AS74" s="29"/>
      <c r="AT74" s="29"/>
    </row>
    <row r="75" spans="1:46" s="86" customFormat="1">
      <c r="A75" s="203" t="s">
        <v>91</v>
      </c>
      <c r="B75" s="326">
        <v>68232218.510000005</v>
      </c>
      <c r="C75" s="326">
        <v>15.14</v>
      </c>
      <c r="D75" s="326">
        <v>53101176.450000003</v>
      </c>
      <c r="E75" s="326">
        <v>11.818387</v>
      </c>
      <c r="F75" s="23">
        <f>((D75-B75)/B75)</f>
        <v>-0.22175802561340463</v>
      </c>
      <c r="G75" s="23">
        <f>((E75-C75)/C75)</f>
        <v>-0.21939319682959055</v>
      </c>
      <c r="H75" s="326">
        <v>96156931.060000002</v>
      </c>
      <c r="I75" s="326">
        <v>21.393173000000001</v>
      </c>
      <c r="J75" s="23">
        <f t="shared" si="58"/>
        <v>0.81082487222371125</v>
      </c>
      <c r="K75" s="23">
        <f t="shared" si="59"/>
        <v>0.81016013437366718</v>
      </c>
      <c r="L75" s="326">
        <v>96115700.5</v>
      </c>
      <c r="M75" s="326">
        <v>21.398900000000001</v>
      </c>
      <c r="N75" s="23">
        <f t="shared" si="60"/>
        <v>-4.2878406731050242E-4</v>
      </c>
      <c r="O75" s="23">
        <f t="shared" si="61"/>
        <v>2.6770222444329596E-4</v>
      </c>
      <c r="P75" s="326">
        <v>52716343.340000004</v>
      </c>
      <c r="Q75" s="326">
        <v>11.873955</v>
      </c>
      <c r="R75" s="23">
        <f t="shared" si="62"/>
        <v>-0.45153244406724163</v>
      </c>
      <c r="S75" s="23">
        <f t="shared" si="63"/>
        <v>-0.44511376753010667</v>
      </c>
      <c r="T75" s="326">
        <v>52783144.090000004</v>
      </c>
      <c r="U75" s="326">
        <v>11.89617</v>
      </c>
      <c r="V75" s="23">
        <f t="shared" si="64"/>
        <v>1.2671734374510961E-3</v>
      </c>
      <c r="W75" s="23">
        <f t="shared" si="65"/>
        <v>1.8709014814355628E-3</v>
      </c>
      <c r="X75" s="326">
        <v>52850900.829999998</v>
      </c>
      <c r="Y75" s="326">
        <v>11.917521000000001</v>
      </c>
      <c r="Z75" s="23">
        <f t="shared" si="66"/>
        <v>1.2836813942811612E-3</v>
      </c>
      <c r="AA75" s="23">
        <f t="shared" si="67"/>
        <v>1.7947793281367875E-3</v>
      </c>
      <c r="AB75" s="326">
        <v>52941217.170000002</v>
      </c>
      <c r="AC75" s="326">
        <v>11.94599</v>
      </c>
      <c r="AD75" s="23">
        <f t="shared" si="68"/>
        <v>1.7088893203639946E-3</v>
      </c>
      <c r="AE75" s="23">
        <f t="shared" si="69"/>
        <v>2.3888357318606287E-3</v>
      </c>
      <c r="AF75" s="326">
        <v>53346346.43</v>
      </c>
      <c r="AG75" s="326">
        <v>11.938226999999999</v>
      </c>
      <c r="AH75" s="23">
        <f t="shared" si="70"/>
        <v>7.6524356948402573E-3</v>
      </c>
      <c r="AI75" s="23">
        <f t="shared" si="71"/>
        <v>-6.4984149492847642E-4</v>
      </c>
      <c r="AJ75" s="24">
        <f t="shared" si="72"/>
        <v>1.8627224790336374E-2</v>
      </c>
      <c r="AK75" s="24">
        <f t="shared" si="73"/>
        <v>1.8915693410614717E-2</v>
      </c>
      <c r="AL75" s="25">
        <f t="shared" si="74"/>
        <v>4.6170348077099283E-3</v>
      </c>
      <c r="AM75" s="25">
        <f t="shared" si="75"/>
        <v>1.0140131644022145E-2</v>
      </c>
      <c r="AN75" s="466">
        <f t="shared" si="76"/>
        <v>0.36011590849450603</v>
      </c>
      <c r="AO75" s="467">
        <f t="shared" si="77"/>
        <v>0.35852267880656952</v>
      </c>
      <c r="AP75" s="30"/>
      <c r="AQ75" s="28"/>
      <c r="AR75" s="28"/>
      <c r="AS75" s="29"/>
      <c r="AT75" s="29"/>
    </row>
    <row r="76" spans="1:46" s="86" customFormat="1">
      <c r="A76" s="202" t="s">
        <v>35</v>
      </c>
      <c r="B76" s="326">
        <v>6660003986.04</v>
      </c>
      <c r="C76" s="327">
        <v>1.04</v>
      </c>
      <c r="D76" s="326">
        <v>6755116533.3999996</v>
      </c>
      <c r="E76" s="327">
        <v>1.04</v>
      </c>
      <c r="F76" s="23">
        <f>((D76-B76)/B76)</f>
        <v>1.4281154719931787E-2</v>
      </c>
      <c r="G76" s="23">
        <f>((E76-C76)/C76)</f>
        <v>0</v>
      </c>
      <c r="H76" s="326">
        <v>6821437756.9899998</v>
      </c>
      <c r="I76" s="327">
        <v>1.04</v>
      </c>
      <c r="J76" s="23">
        <f t="shared" si="58"/>
        <v>9.8179244224850127E-3</v>
      </c>
      <c r="K76" s="23">
        <f t="shared" si="59"/>
        <v>0</v>
      </c>
      <c r="L76" s="326">
        <v>6816381535.5600004</v>
      </c>
      <c r="M76" s="327">
        <v>1.04</v>
      </c>
      <c r="N76" s="23">
        <f t="shared" si="60"/>
        <v>-7.4122518010491078E-4</v>
      </c>
      <c r="O76" s="23">
        <f t="shared" si="61"/>
        <v>0</v>
      </c>
      <c r="P76" s="326">
        <v>6806397092.5</v>
      </c>
      <c r="Q76" s="327">
        <v>1.04</v>
      </c>
      <c r="R76" s="23">
        <f t="shared" si="62"/>
        <v>-1.4647717425899851E-3</v>
      </c>
      <c r="S76" s="23">
        <f t="shared" si="63"/>
        <v>0</v>
      </c>
      <c r="T76" s="326">
        <v>6721544185.1700001</v>
      </c>
      <c r="U76" s="327">
        <v>1.05</v>
      </c>
      <c r="V76" s="23">
        <f t="shared" si="64"/>
        <v>-1.246664074646772E-2</v>
      </c>
      <c r="W76" s="23">
        <f t="shared" si="65"/>
        <v>9.6153846153846229E-3</v>
      </c>
      <c r="X76" s="326">
        <v>6627638303.2700005</v>
      </c>
      <c r="Y76" s="327">
        <v>1.05</v>
      </c>
      <c r="Z76" s="23">
        <f t="shared" si="66"/>
        <v>-1.3970879207665965E-2</v>
      </c>
      <c r="AA76" s="23">
        <f t="shared" si="67"/>
        <v>0</v>
      </c>
      <c r="AB76" s="326">
        <v>6574211292.6000004</v>
      </c>
      <c r="AC76" s="327">
        <v>1.05</v>
      </c>
      <c r="AD76" s="23">
        <f t="shared" si="68"/>
        <v>-8.061244175567004E-3</v>
      </c>
      <c r="AE76" s="23">
        <f t="shared" si="69"/>
        <v>0</v>
      </c>
      <c r="AF76" s="326">
        <v>6651252133.2299995</v>
      </c>
      <c r="AG76" s="327">
        <v>1.05</v>
      </c>
      <c r="AH76" s="23">
        <f t="shared" si="70"/>
        <v>1.1718643834389248E-2</v>
      </c>
      <c r="AI76" s="23">
        <f t="shared" si="71"/>
        <v>0</v>
      </c>
      <c r="AJ76" s="24">
        <f t="shared" si="72"/>
        <v>-1.1087975944869244E-4</v>
      </c>
      <c r="AK76" s="24">
        <f t="shared" si="73"/>
        <v>1.2019230769230779E-3</v>
      </c>
      <c r="AL76" s="25">
        <f t="shared" si="74"/>
        <v>-1.5375663714527043E-2</v>
      </c>
      <c r="AM76" s="25">
        <f t="shared" si="75"/>
        <v>9.6153846153846229E-3</v>
      </c>
      <c r="AN76" s="466">
        <f t="shared" si="76"/>
        <v>1.1057334378265411E-2</v>
      </c>
      <c r="AO76" s="467">
        <f t="shared" si="77"/>
        <v>3.399551832627635E-3</v>
      </c>
      <c r="AP76" s="30"/>
      <c r="AQ76" s="28"/>
      <c r="AR76" s="28"/>
      <c r="AS76" s="29"/>
      <c r="AT76" s="29"/>
    </row>
    <row r="77" spans="1:46" s="86" customFormat="1">
      <c r="A77" s="203" t="s">
        <v>68</v>
      </c>
      <c r="B77" s="326">
        <v>32287027760.279999</v>
      </c>
      <c r="C77" s="326">
        <v>4698.83</v>
      </c>
      <c r="D77" s="326">
        <v>32079223039.369999</v>
      </c>
      <c r="E77" s="326">
        <v>4707.3599999999997</v>
      </c>
      <c r="F77" s="23">
        <f>((D77-B77)/B77)</f>
        <v>-6.4361675671380453E-3</v>
      </c>
      <c r="G77" s="23">
        <f>((E77-C77)/C77)</f>
        <v>1.8153455221831276E-3</v>
      </c>
      <c r="H77" s="326">
        <v>32114586818.380001</v>
      </c>
      <c r="I77" s="326">
        <v>4715.96</v>
      </c>
      <c r="J77" s="23">
        <f t="shared" si="58"/>
        <v>1.1023888878668004E-3</v>
      </c>
      <c r="K77" s="23">
        <f t="shared" si="59"/>
        <v>1.8269263451277074E-3</v>
      </c>
      <c r="L77" s="326">
        <v>31296332331.400002</v>
      </c>
      <c r="M77" s="326">
        <v>4720.1899999999996</v>
      </c>
      <c r="N77" s="23">
        <f t="shared" si="60"/>
        <v>-2.5479215772182737E-2</v>
      </c>
      <c r="O77" s="23">
        <f t="shared" si="61"/>
        <v>8.969541726392004E-4</v>
      </c>
      <c r="P77" s="326">
        <v>27356775137.779999</v>
      </c>
      <c r="Q77" s="326">
        <v>4725.96</v>
      </c>
      <c r="R77" s="23">
        <f t="shared" si="62"/>
        <v>-0.12587919734183661</v>
      </c>
      <c r="S77" s="23">
        <f t="shared" si="63"/>
        <v>1.2224084200001351E-3</v>
      </c>
      <c r="T77" s="326">
        <v>26653243225.68</v>
      </c>
      <c r="U77" s="326">
        <v>4733.92</v>
      </c>
      <c r="V77" s="23">
        <f t="shared" si="64"/>
        <v>-2.5716916871843326E-2</v>
      </c>
      <c r="W77" s="23">
        <f t="shared" si="65"/>
        <v>1.6843138748529477E-3</v>
      </c>
      <c r="X77" s="326">
        <v>25031085356.98</v>
      </c>
      <c r="Y77" s="326">
        <v>4742.32</v>
      </c>
      <c r="Z77" s="23">
        <f t="shared" si="66"/>
        <v>-6.0861556507955321E-2</v>
      </c>
      <c r="AA77" s="23">
        <f t="shared" si="67"/>
        <v>1.7744279582248192E-3</v>
      </c>
      <c r="AB77" s="326">
        <v>24783269491.759998</v>
      </c>
      <c r="AC77" s="326">
        <v>4750.82</v>
      </c>
      <c r="AD77" s="23">
        <f t="shared" si="68"/>
        <v>-9.9003244040673198E-3</v>
      </c>
      <c r="AE77" s="23">
        <f t="shared" si="69"/>
        <v>1.7923716661887011E-3</v>
      </c>
      <c r="AF77" s="326">
        <v>24045984083.23</v>
      </c>
      <c r="AG77" s="326">
        <v>4759.12</v>
      </c>
      <c r="AH77" s="23">
        <f t="shared" si="70"/>
        <v>-2.9749319748757653E-2</v>
      </c>
      <c r="AI77" s="23">
        <f t="shared" si="71"/>
        <v>1.7470668221486359E-3</v>
      </c>
      <c r="AJ77" s="24">
        <f t="shared" si="72"/>
        <v>-3.5365038665739278E-2</v>
      </c>
      <c r="AK77" s="24">
        <f t="shared" si="73"/>
        <v>1.5949768476706593E-3</v>
      </c>
      <c r="AL77" s="25">
        <f t="shared" si="74"/>
        <v>-0.25041875067488428</v>
      </c>
      <c r="AM77" s="25">
        <f t="shared" si="75"/>
        <v>1.0995547398117039E-2</v>
      </c>
      <c r="AN77" s="466">
        <f t="shared" si="76"/>
        <v>4.1197159954389578E-2</v>
      </c>
      <c r="AO77" s="467">
        <f t="shared" si="77"/>
        <v>3.4448422946513037E-4</v>
      </c>
      <c r="AP77" s="30"/>
      <c r="AQ77" s="28"/>
      <c r="AR77" s="28"/>
      <c r="AS77" s="29"/>
      <c r="AT77" s="29"/>
    </row>
    <row r="78" spans="1:46" s="103" customFormat="1" ht="15.75" customHeight="1">
      <c r="A78" s="202" t="s">
        <v>16</v>
      </c>
      <c r="B78" s="326">
        <v>40829332961.010002</v>
      </c>
      <c r="C78" s="327">
        <v>248.38</v>
      </c>
      <c r="D78" s="326">
        <v>40603770319.120003</v>
      </c>
      <c r="E78" s="327">
        <v>248.58</v>
      </c>
      <c r="F78" s="23">
        <f>((D78-B78)/B78)</f>
        <v>-5.5245242949572698E-3</v>
      </c>
      <c r="G78" s="23">
        <f>((E78-C78)/C78)</f>
        <v>8.052178114180572E-4</v>
      </c>
      <c r="H78" s="326">
        <v>40527889205.389999</v>
      </c>
      <c r="I78" s="327">
        <v>248.87</v>
      </c>
      <c r="J78" s="23">
        <f t="shared" si="58"/>
        <v>-1.8688194010956546E-3</v>
      </c>
      <c r="K78" s="23">
        <f t="shared" si="59"/>
        <v>1.1666264381687667E-3</v>
      </c>
      <c r="L78" s="326">
        <v>40608967761.57</v>
      </c>
      <c r="M78" s="327">
        <v>249.03</v>
      </c>
      <c r="N78" s="23">
        <f t="shared" si="60"/>
        <v>2.0005620270304447E-3</v>
      </c>
      <c r="O78" s="23">
        <f t="shared" si="61"/>
        <v>6.4290593482539714E-4</v>
      </c>
      <c r="P78" s="326">
        <v>42314478538.550003</v>
      </c>
      <c r="Q78" s="327">
        <v>249.03</v>
      </c>
      <c r="R78" s="23">
        <f t="shared" si="62"/>
        <v>4.1998377968966771E-2</v>
      </c>
      <c r="S78" s="23">
        <f t="shared" si="63"/>
        <v>0</v>
      </c>
      <c r="T78" s="326">
        <v>42706600755.720001</v>
      </c>
      <c r="U78" s="327">
        <v>249.23</v>
      </c>
      <c r="V78" s="23">
        <f t="shared" si="64"/>
        <v>9.26685689421319E-3</v>
      </c>
      <c r="W78" s="23">
        <f t="shared" si="65"/>
        <v>8.0311609043082612E-4</v>
      </c>
      <c r="X78" s="326">
        <v>42032636728.5</v>
      </c>
      <c r="Y78" s="327">
        <v>249.41</v>
      </c>
      <c r="Z78" s="23">
        <f t="shared" si="66"/>
        <v>-1.578126133416817E-2</v>
      </c>
      <c r="AA78" s="23">
        <f t="shared" si="67"/>
        <v>7.2222445131006228E-4</v>
      </c>
      <c r="AB78" s="326">
        <v>39948050523.889999</v>
      </c>
      <c r="AC78" s="327">
        <v>249.63</v>
      </c>
      <c r="AD78" s="23">
        <f t="shared" si="68"/>
        <v>-4.9594466749133495E-2</v>
      </c>
      <c r="AE78" s="23">
        <f t="shared" si="69"/>
        <v>8.8208171284230325E-4</v>
      </c>
      <c r="AF78" s="326">
        <v>43656850980.110001</v>
      </c>
      <c r="AG78" s="327">
        <v>249.82</v>
      </c>
      <c r="AH78" s="23">
        <f t="shared" si="70"/>
        <v>9.2840586901782346E-2</v>
      </c>
      <c r="AI78" s="23">
        <f t="shared" si="71"/>
        <v>7.6112646717140463E-4</v>
      </c>
      <c r="AJ78" s="24">
        <f t="shared" si="72"/>
        <v>9.1671640015797695E-3</v>
      </c>
      <c r="AK78" s="24">
        <f t="shared" si="73"/>
        <v>7.2291236327085213E-4</v>
      </c>
      <c r="AL78" s="25">
        <f t="shared" si="74"/>
        <v>7.5192048349074753E-2</v>
      </c>
      <c r="AM78" s="25">
        <f t="shared" si="75"/>
        <v>4.988333735618234E-3</v>
      </c>
      <c r="AN78" s="466">
        <f t="shared" si="76"/>
        <v>4.2331164208664181E-2</v>
      </c>
      <c r="AO78" s="467">
        <f t="shared" si="77"/>
        <v>3.3077570978206646E-4</v>
      </c>
      <c r="AP78" s="30"/>
      <c r="AQ78" s="28"/>
      <c r="AR78" s="28"/>
      <c r="AS78" s="29"/>
      <c r="AT78" s="29"/>
    </row>
    <row r="79" spans="1:46" s="103" customFormat="1" ht="15.75" customHeight="1">
      <c r="A79" s="203" t="s">
        <v>69</v>
      </c>
      <c r="B79" s="326">
        <v>250022980.03999999</v>
      </c>
      <c r="C79" s="326">
        <v>4435.9799999999996</v>
      </c>
      <c r="D79" s="326">
        <v>251502426.25</v>
      </c>
      <c r="E79" s="326">
        <v>4462.28</v>
      </c>
      <c r="F79" s="23">
        <f>((D79-B79)/B79)</f>
        <v>5.9172409262673326E-3</v>
      </c>
      <c r="G79" s="23">
        <f>((E79-C79)/C79)</f>
        <v>5.9287913831893259E-3</v>
      </c>
      <c r="H79" s="326">
        <v>251564123.09999999</v>
      </c>
      <c r="I79" s="326">
        <v>4463.32</v>
      </c>
      <c r="J79" s="23">
        <f t="shared" si="58"/>
        <v>2.453131403935871E-4</v>
      </c>
      <c r="K79" s="23">
        <f t="shared" si="59"/>
        <v>2.3306471131349078E-4</v>
      </c>
      <c r="L79" s="326">
        <v>252413526.38999999</v>
      </c>
      <c r="M79" s="326">
        <v>4478.3999999999996</v>
      </c>
      <c r="N79" s="23">
        <f t="shared" si="60"/>
        <v>3.3764881873173261E-3</v>
      </c>
      <c r="O79" s="23">
        <f t="shared" si="61"/>
        <v>3.3786508697561295E-3</v>
      </c>
      <c r="P79" s="326">
        <v>255238723.50999999</v>
      </c>
      <c r="Q79" s="326">
        <v>4528.68</v>
      </c>
      <c r="R79" s="23">
        <f t="shared" si="62"/>
        <v>1.1192732657420424E-2</v>
      </c>
      <c r="S79" s="23">
        <f t="shared" si="63"/>
        <v>1.1227224008574638E-2</v>
      </c>
      <c r="T79" s="326">
        <v>259970569.11000001</v>
      </c>
      <c r="U79" s="326">
        <v>4613.05</v>
      </c>
      <c r="V79" s="23">
        <f t="shared" si="64"/>
        <v>1.8538901679684333E-2</v>
      </c>
      <c r="W79" s="23">
        <f t="shared" si="65"/>
        <v>1.8630152715581556E-2</v>
      </c>
      <c r="X79" s="326">
        <v>261789070.74000001</v>
      </c>
      <c r="Y79" s="326">
        <v>4645.55</v>
      </c>
      <c r="Z79" s="23">
        <f t="shared" si="66"/>
        <v>6.9950288458634794E-3</v>
      </c>
      <c r="AA79" s="23">
        <f t="shared" si="67"/>
        <v>7.0452303790333945E-3</v>
      </c>
      <c r="AB79" s="326">
        <v>269116980.75</v>
      </c>
      <c r="AC79" s="326">
        <v>4776.09</v>
      </c>
      <c r="AD79" s="23">
        <f t="shared" si="68"/>
        <v>2.7991657517581477E-2</v>
      </c>
      <c r="AE79" s="23">
        <f t="shared" si="69"/>
        <v>2.8100009686689402E-2</v>
      </c>
      <c r="AF79" s="326">
        <v>268567070.63999999</v>
      </c>
      <c r="AG79" s="326">
        <v>4778.4799999999996</v>
      </c>
      <c r="AH79" s="23">
        <f t="shared" si="70"/>
        <v>-2.0433868887331976E-3</v>
      </c>
      <c r="AI79" s="23">
        <f t="shared" si="71"/>
        <v>5.0040933064481985E-4</v>
      </c>
      <c r="AJ79" s="24">
        <f t="shared" si="72"/>
        <v>9.0267470082243464E-3</v>
      </c>
      <c r="AK79" s="24">
        <f t="shared" si="73"/>
        <v>9.380441635597845E-3</v>
      </c>
      <c r="AL79" s="25">
        <f t="shared" si="74"/>
        <v>6.7850814182751795E-2</v>
      </c>
      <c r="AM79" s="25">
        <f t="shared" si="75"/>
        <v>7.086063626666185E-2</v>
      </c>
      <c r="AN79" s="466">
        <f t="shared" si="76"/>
        <v>1.0001601212763825E-2</v>
      </c>
      <c r="AO79" s="467">
        <f t="shared" si="77"/>
        <v>9.6755070743632862E-3</v>
      </c>
      <c r="AP79" s="30"/>
      <c r="AQ79" s="28"/>
      <c r="AR79" s="28"/>
      <c r="AS79" s="29"/>
      <c r="AT79" s="29"/>
    </row>
    <row r="80" spans="1:46" s="285" customFormat="1" ht="15.75" customHeight="1">
      <c r="A80" s="202" t="s">
        <v>166</v>
      </c>
      <c r="B80" s="326">
        <v>19442758991.52</v>
      </c>
      <c r="C80" s="327">
        <v>118.33</v>
      </c>
      <c r="D80" s="326">
        <v>19932872774.810001</v>
      </c>
      <c r="E80" s="327">
        <v>118.54</v>
      </c>
      <c r="F80" s="23">
        <f>((D80-B80)/B80)</f>
        <v>2.5208036755676757E-2</v>
      </c>
      <c r="G80" s="23">
        <f>((E80-C80)/C80)</f>
        <v>1.7746978788135549E-3</v>
      </c>
      <c r="H80" s="326">
        <v>19942192679.689999</v>
      </c>
      <c r="I80" s="327">
        <v>118.76</v>
      </c>
      <c r="J80" s="23">
        <f t="shared" si="58"/>
        <v>4.6756455957393174E-4</v>
      </c>
      <c r="K80" s="23">
        <f t="shared" si="59"/>
        <v>1.8559136156571525E-3</v>
      </c>
      <c r="L80" s="326">
        <v>19587138388.970001</v>
      </c>
      <c r="M80" s="327">
        <v>118.83</v>
      </c>
      <c r="N80" s="23">
        <f t="shared" si="60"/>
        <v>-1.7804175118696964E-2</v>
      </c>
      <c r="O80" s="23">
        <f t="shared" si="61"/>
        <v>5.8942404850112137E-4</v>
      </c>
      <c r="P80" s="326">
        <v>19265404051.09</v>
      </c>
      <c r="Q80" s="327">
        <v>119.03</v>
      </c>
      <c r="R80" s="23">
        <f t="shared" si="62"/>
        <v>-1.6425795922347573E-2</v>
      </c>
      <c r="S80" s="23">
        <f t="shared" si="63"/>
        <v>1.6830766641420757E-3</v>
      </c>
      <c r="T80" s="326">
        <v>19263384265.110001</v>
      </c>
      <c r="U80" s="327">
        <v>119.33</v>
      </c>
      <c r="V80" s="23">
        <f t="shared" si="64"/>
        <v>-1.04840052907443E-4</v>
      </c>
      <c r="W80" s="23">
        <f t="shared" si="65"/>
        <v>2.5203730152062267E-3</v>
      </c>
      <c r="X80" s="326">
        <v>19182276418.849998</v>
      </c>
      <c r="Y80" s="327">
        <v>119.54</v>
      </c>
      <c r="Z80" s="23">
        <f t="shared" si="66"/>
        <v>-4.2104671299583287E-3</v>
      </c>
      <c r="AA80" s="23">
        <f t="shared" si="67"/>
        <v>1.7598256934551911E-3</v>
      </c>
      <c r="AB80" s="326">
        <v>19129113536.549999</v>
      </c>
      <c r="AC80" s="327">
        <v>119.76</v>
      </c>
      <c r="AD80" s="23">
        <f t="shared" si="68"/>
        <v>-2.7714584619246362E-3</v>
      </c>
      <c r="AE80" s="23">
        <f t="shared" si="69"/>
        <v>1.8403881545925953E-3</v>
      </c>
      <c r="AF80" s="326">
        <v>19235455121.529999</v>
      </c>
      <c r="AG80" s="327">
        <v>119.98</v>
      </c>
      <c r="AH80" s="23">
        <f t="shared" si="70"/>
        <v>5.5591486127578608E-3</v>
      </c>
      <c r="AI80" s="23">
        <f t="shared" si="71"/>
        <v>1.8370073480293825E-3</v>
      </c>
      <c r="AJ80" s="24">
        <f t="shared" si="72"/>
        <v>-1.2602483447282991E-3</v>
      </c>
      <c r="AK80" s="24">
        <f t="shared" si="73"/>
        <v>1.7325883022996625E-3</v>
      </c>
      <c r="AL80" s="25">
        <f t="shared" si="74"/>
        <v>-3.4988316092668698E-2</v>
      </c>
      <c r="AM80" s="25">
        <f t="shared" si="75"/>
        <v>1.2147798211574133E-2</v>
      </c>
      <c r="AN80" s="466">
        <f t="shared" si="76"/>
        <v>1.3448725325173222E-2</v>
      </c>
      <c r="AO80" s="467">
        <f t="shared" si="77"/>
        <v>5.3051579180163984E-4</v>
      </c>
      <c r="AP80" s="30"/>
      <c r="AQ80" s="28"/>
      <c r="AR80" s="28"/>
      <c r="AS80" s="29"/>
      <c r="AT80" s="29"/>
    </row>
    <row r="81" spans="1:46" s="285" customFormat="1" ht="15.75" customHeight="1">
      <c r="A81" s="202" t="s">
        <v>63</v>
      </c>
      <c r="B81" s="326">
        <v>14917564432.26</v>
      </c>
      <c r="C81" s="327">
        <v>339.03</v>
      </c>
      <c r="D81" s="326">
        <v>14916045769.65</v>
      </c>
      <c r="E81" s="327">
        <v>339.32</v>
      </c>
      <c r="F81" s="23">
        <f>((D81-B81)/B81)</f>
        <v>-1.0180365681655273E-4</v>
      </c>
      <c r="G81" s="23">
        <f>((E81-C81)/C81)</f>
        <v>8.5538152965820282E-4</v>
      </c>
      <c r="H81" s="326">
        <v>14885535672.709999</v>
      </c>
      <c r="I81" s="327">
        <v>339.72</v>
      </c>
      <c r="J81" s="23">
        <f t="shared" si="58"/>
        <v>-2.0454547680512007E-3</v>
      </c>
      <c r="K81" s="23">
        <f t="shared" si="59"/>
        <v>1.1788282447248442E-3</v>
      </c>
      <c r="L81" s="326">
        <v>14862305342.799999</v>
      </c>
      <c r="M81" s="327">
        <v>339.99</v>
      </c>
      <c r="N81" s="23">
        <f t="shared" si="60"/>
        <v>-1.5605975102789586E-3</v>
      </c>
      <c r="O81" s="23">
        <f t="shared" si="61"/>
        <v>7.9477216531255673E-4</v>
      </c>
      <c r="P81" s="326">
        <v>14728727076.33</v>
      </c>
      <c r="Q81" s="327">
        <v>340.28</v>
      </c>
      <c r="R81" s="23">
        <f t="shared" si="62"/>
        <v>-8.9877218499424053E-3</v>
      </c>
      <c r="S81" s="23">
        <f t="shared" si="63"/>
        <v>8.5296626371353162E-4</v>
      </c>
      <c r="T81" s="326">
        <v>14723295772.879999</v>
      </c>
      <c r="U81" s="327">
        <v>340.45</v>
      </c>
      <c r="V81" s="23">
        <f t="shared" si="64"/>
        <v>-3.6875579416019005E-4</v>
      </c>
      <c r="W81" s="23">
        <f t="shared" si="65"/>
        <v>4.995885741154812E-4</v>
      </c>
      <c r="X81" s="326">
        <v>14501808658.77</v>
      </c>
      <c r="Y81" s="327">
        <v>341</v>
      </c>
      <c r="Z81" s="23">
        <f t="shared" si="66"/>
        <v>-1.5043310786296456E-2</v>
      </c>
      <c r="AA81" s="23">
        <f t="shared" si="67"/>
        <v>1.6155088852989026E-3</v>
      </c>
      <c r="AB81" s="326">
        <v>14470501789.379999</v>
      </c>
      <c r="AC81" s="327">
        <v>341.43</v>
      </c>
      <c r="AD81" s="23">
        <f t="shared" si="68"/>
        <v>-2.1588251594443979E-3</v>
      </c>
      <c r="AE81" s="23">
        <f t="shared" si="69"/>
        <v>1.2609970674487003E-3</v>
      </c>
      <c r="AF81" s="326">
        <v>14472172652.34</v>
      </c>
      <c r="AG81" s="327">
        <v>341.7</v>
      </c>
      <c r="AH81" s="23">
        <f t="shared" si="70"/>
        <v>1.1546682930009032E-4</v>
      </c>
      <c r="AI81" s="23">
        <f t="shared" si="71"/>
        <v>7.9079167032768594E-4</v>
      </c>
      <c r="AJ81" s="24">
        <f t="shared" si="72"/>
        <v>-3.7688753369612589E-3</v>
      </c>
      <c r="AK81" s="24">
        <f t="shared" si="73"/>
        <v>9.8110430007498808E-4</v>
      </c>
      <c r="AL81" s="25">
        <f t="shared" si="74"/>
        <v>-2.9758095688681627E-2</v>
      </c>
      <c r="AM81" s="25">
        <f t="shared" si="75"/>
        <v>7.0140280561122115E-3</v>
      </c>
      <c r="AN81" s="466">
        <f t="shared" si="76"/>
        <v>5.4101033300907823E-3</v>
      </c>
      <c r="AO81" s="467">
        <f t="shared" si="77"/>
        <v>3.4947418144278919E-4</v>
      </c>
      <c r="AP81" s="30"/>
      <c r="AQ81" s="28"/>
      <c r="AR81" s="28"/>
      <c r="AS81" s="29"/>
      <c r="AT81" s="29"/>
    </row>
    <row r="82" spans="1:46" s="288" customFormat="1" ht="15.75" customHeight="1">
      <c r="A82" s="202" t="s">
        <v>247</v>
      </c>
      <c r="B82" s="326">
        <v>57315351.109999999</v>
      </c>
      <c r="C82" s="74">
        <v>104.9109</v>
      </c>
      <c r="D82" s="326">
        <v>57549172.159999996</v>
      </c>
      <c r="E82" s="74">
        <v>105.04559999999999</v>
      </c>
      <c r="F82" s="23">
        <f>((D82-B82)/B82)</f>
        <v>4.0795536531085036E-3</v>
      </c>
      <c r="G82" s="23">
        <f>((E82-C82)/C82)</f>
        <v>1.2839466633113924E-3</v>
      </c>
      <c r="H82" s="326">
        <v>57752216.039999999</v>
      </c>
      <c r="I82" s="74">
        <v>105.1422</v>
      </c>
      <c r="J82" s="23">
        <f t="shared" si="58"/>
        <v>3.5281807257886138E-3</v>
      </c>
      <c r="K82" s="23">
        <f>((I82-E82)/E82)</f>
        <v>9.1960063058337861E-4</v>
      </c>
      <c r="L82" s="326">
        <v>65607962.390000001</v>
      </c>
      <c r="M82" s="74">
        <v>105.3723</v>
      </c>
      <c r="N82" s="23">
        <f t="shared" si="60"/>
        <v>0.13602502014050857</v>
      </c>
      <c r="O82" s="23">
        <f>((M82-I82)/I82)</f>
        <v>2.1884647648612362E-3</v>
      </c>
      <c r="P82" s="326">
        <v>68535470.450000003</v>
      </c>
      <c r="Q82" s="74">
        <v>105.5107</v>
      </c>
      <c r="R82" s="23">
        <f t="shared" si="62"/>
        <v>4.4621231224919351E-2</v>
      </c>
      <c r="S82" s="23">
        <f>((Q82-M82)/M82)</f>
        <v>1.3134381616421423E-3</v>
      </c>
      <c r="T82" s="326">
        <v>70603254.359999999</v>
      </c>
      <c r="U82" s="74">
        <v>105.7029</v>
      </c>
      <c r="V82" s="23">
        <f t="shared" si="64"/>
        <v>3.0171003371291461E-2</v>
      </c>
      <c r="W82" s="23">
        <f>((U82-Q82)/Q82)</f>
        <v>1.8216161962720341E-3</v>
      </c>
      <c r="X82" s="326">
        <v>69509898.75</v>
      </c>
      <c r="Y82" s="74">
        <v>105.9015</v>
      </c>
      <c r="Z82" s="23">
        <f t="shared" si="66"/>
        <v>-1.5485909536479324E-2</v>
      </c>
      <c r="AA82" s="23">
        <f>((Y82-U82)/U82)</f>
        <v>1.8788510059799589E-3</v>
      </c>
      <c r="AB82" s="326">
        <v>69603613.450000003</v>
      </c>
      <c r="AC82" s="74">
        <v>106.10169999999999</v>
      </c>
      <c r="AD82" s="23">
        <f t="shared" si="68"/>
        <v>1.3482209251528075E-3</v>
      </c>
      <c r="AE82" s="23">
        <f>((AC82-Y82)/Y82)</f>
        <v>1.8904359239481526E-3</v>
      </c>
      <c r="AF82" s="326">
        <v>69859876.75</v>
      </c>
      <c r="AG82" s="74">
        <v>106.3017</v>
      </c>
      <c r="AH82" s="23">
        <f t="shared" si="70"/>
        <v>3.6817528185384319E-3</v>
      </c>
      <c r="AI82" s="23">
        <f>((AG82-AC82)/AC82)</f>
        <v>1.8849839352244389E-3</v>
      </c>
      <c r="AJ82" s="24">
        <f t="shared" si="72"/>
        <v>2.5996131665353552E-2</v>
      </c>
      <c r="AK82" s="24">
        <f t="shared" si="73"/>
        <v>1.6476671602278421E-3</v>
      </c>
      <c r="AL82" s="25">
        <f t="shared" si="74"/>
        <v>0.21391627590703477</v>
      </c>
      <c r="AM82" s="25">
        <f t="shared" si="75"/>
        <v>1.195766410016225E-2</v>
      </c>
      <c r="AN82" s="466">
        <f t="shared" si="76"/>
        <v>4.8228675742429797E-2</v>
      </c>
      <c r="AO82" s="467">
        <f t="shared" si="77"/>
        <v>4.2518982418764004E-4</v>
      </c>
      <c r="AP82" s="30"/>
      <c r="AQ82" s="28"/>
      <c r="AR82" s="28"/>
      <c r="AS82" s="29"/>
      <c r="AT82" s="29"/>
    </row>
    <row r="83" spans="1:46" s="302" customFormat="1" ht="15.75" customHeight="1">
      <c r="A83" s="202" t="s">
        <v>157</v>
      </c>
      <c r="B83" s="326">
        <v>101405197593.45</v>
      </c>
      <c r="C83" s="326">
        <v>1.9974000000000001</v>
      </c>
      <c r="D83" s="326">
        <v>102523698297.03999</v>
      </c>
      <c r="E83" s="326">
        <v>2</v>
      </c>
      <c r="F83" s="23">
        <f>((D83-B83)/B83)</f>
        <v>1.1030013550925154E-2</v>
      </c>
      <c r="G83" s="23">
        <f>((E83-C83)/C83)</f>
        <v>1.3016921998597855E-3</v>
      </c>
      <c r="H83" s="326">
        <v>101582871782.85001</v>
      </c>
      <c r="I83" s="326">
        <v>2.0026999999999999</v>
      </c>
      <c r="J83" s="23">
        <f>((H83-D83)/D83)</f>
        <v>-9.1766735868632834E-3</v>
      </c>
      <c r="K83" s="23">
        <f>((I83-E83)/E83)</f>
        <v>1.3499999999999623E-3</v>
      </c>
      <c r="L83" s="326">
        <v>101704149704.03999</v>
      </c>
      <c r="M83" s="326">
        <v>2.0053999999999998</v>
      </c>
      <c r="N83" s="23">
        <f>((L83-H83)/H83)</f>
        <v>1.1938815969806265E-3</v>
      </c>
      <c r="O83" s="23">
        <f>((M83-I83)/I83)</f>
        <v>1.3481799570579341E-3</v>
      </c>
      <c r="P83" s="326">
        <v>101812954660.95</v>
      </c>
      <c r="Q83" s="326">
        <v>2.0081000000000002</v>
      </c>
      <c r="R83" s="23">
        <f>((P83-L83)/L83)</f>
        <v>1.0698182643149477E-3</v>
      </c>
      <c r="S83" s="23">
        <f>((Q83-M83)/M83)</f>
        <v>1.3463648149996854E-3</v>
      </c>
      <c r="T83" s="326">
        <v>101950254232.06</v>
      </c>
      <c r="U83" s="326">
        <v>2.0108000000000001</v>
      </c>
      <c r="V83" s="23">
        <f>((T83-P83)/P83)</f>
        <v>1.3485471624630238E-3</v>
      </c>
      <c r="W83" s="23">
        <f>((U83-Q83)/Q83)</f>
        <v>1.3445545540560352E-3</v>
      </c>
      <c r="X83" s="326">
        <v>101900839195.67999</v>
      </c>
      <c r="Y83" s="326">
        <v>2.0137</v>
      </c>
      <c r="Z83" s="23">
        <f>((X83-T83)/T83)</f>
        <v>-4.8469752971410914E-4</v>
      </c>
      <c r="AA83" s="23">
        <f>((Y83-U83)/U83)</f>
        <v>1.4422120549034724E-3</v>
      </c>
      <c r="AB83" s="326">
        <v>101928161772.24001</v>
      </c>
      <c r="AC83" s="326">
        <v>2.0165000000000002</v>
      </c>
      <c r="AD83" s="23">
        <f>((AB83-X83)/X83)</f>
        <v>2.6812906327047342E-4</v>
      </c>
      <c r="AE83" s="23">
        <f>((AC83-Y83)/Y83)</f>
        <v>1.3904752445747309E-3</v>
      </c>
      <c r="AF83" s="326">
        <v>108873034819.67999</v>
      </c>
      <c r="AG83" s="326">
        <v>1.883</v>
      </c>
      <c r="AH83" s="23">
        <f>((AF83-AB83)/AB83)</f>
        <v>6.813497787744284E-2</v>
      </c>
      <c r="AI83" s="23">
        <f>((AG83-AC83)/AC83)</f>
        <v>-6.6203818497396566E-2</v>
      </c>
      <c r="AJ83" s="24">
        <f t="shared" si="72"/>
        <v>9.1729995498524598E-3</v>
      </c>
      <c r="AK83" s="24">
        <f t="shared" si="73"/>
        <v>-7.0850424589931201E-3</v>
      </c>
      <c r="AL83" s="25">
        <f t="shared" si="74"/>
        <v>6.1930428067900806E-2</v>
      </c>
      <c r="AM83" s="25">
        <f t="shared" si="75"/>
        <v>-5.8499999999999996E-2</v>
      </c>
      <c r="AN83" s="466">
        <f t="shared" si="76"/>
        <v>2.4435897628009271E-2</v>
      </c>
      <c r="AO83" s="467">
        <f t="shared" si="77"/>
        <v>2.388762795265461E-2</v>
      </c>
      <c r="AP83" s="30"/>
      <c r="AQ83" s="28"/>
      <c r="AR83" s="28"/>
      <c r="AS83" s="29"/>
      <c r="AT83" s="29"/>
    </row>
    <row r="84" spans="1:46" s="302" customFormat="1" ht="15.75" customHeight="1">
      <c r="A84" s="202" t="s">
        <v>49</v>
      </c>
      <c r="B84" s="326">
        <v>9688548268.0100002</v>
      </c>
      <c r="C84" s="327">
        <v>1</v>
      </c>
      <c r="D84" s="326">
        <v>9688464346.5499992</v>
      </c>
      <c r="E84" s="327">
        <v>1</v>
      </c>
      <c r="F84" s="23">
        <f>((D84-B84)/B84)</f>
        <v>-8.6619230951335335E-6</v>
      </c>
      <c r="G84" s="23">
        <f>((E84-C84)/C84)</f>
        <v>0</v>
      </c>
      <c r="H84" s="326">
        <v>9651379398.7800007</v>
      </c>
      <c r="I84" s="327">
        <v>1</v>
      </c>
      <c r="J84" s="23">
        <f>((H84-D84)/D84)</f>
        <v>-3.8277426064125698E-3</v>
      </c>
      <c r="K84" s="23">
        <f>((I84-E84)/E84)</f>
        <v>0</v>
      </c>
      <c r="L84" s="326">
        <v>9656763576.3600006</v>
      </c>
      <c r="M84" s="327">
        <v>1</v>
      </c>
      <c r="N84" s="23">
        <f>((L84-H84)/H84)</f>
        <v>5.5786612022324191E-4</v>
      </c>
      <c r="O84" s="23">
        <f>((M84-I84)/I84)</f>
        <v>0</v>
      </c>
      <c r="P84" s="326">
        <v>9652344448.9799995</v>
      </c>
      <c r="Q84" s="327">
        <v>1</v>
      </c>
      <c r="R84" s="23">
        <f>((P84-L84)/L84)</f>
        <v>-4.5761992048963513E-4</v>
      </c>
      <c r="S84" s="23">
        <f>((Q84-M84)/M84)</f>
        <v>0</v>
      </c>
      <c r="T84" s="326">
        <v>9641773970.1900005</v>
      </c>
      <c r="U84" s="327">
        <v>1</v>
      </c>
      <c r="V84" s="23">
        <f>((T84-P84)/P84)</f>
        <v>-1.0951203457224355E-3</v>
      </c>
      <c r="W84" s="23">
        <f>((U84-Q84)/Q84)</f>
        <v>0</v>
      </c>
      <c r="X84" s="326">
        <v>9612697205.5799999</v>
      </c>
      <c r="Y84" s="327">
        <v>1</v>
      </c>
      <c r="Z84" s="23">
        <f>((X84-T84)/T84)</f>
        <v>-3.0157069331742097E-3</v>
      </c>
      <c r="AA84" s="23">
        <f>((Y84-U84)/U84)</f>
        <v>0</v>
      </c>
      <c r="AB84" s="326">
        <v>9592351018.3799992</v>
      </c>
      <c r="AC84" s="327">
        <v>1</v>
      </c>
      <c r="AD84" s="23">
        <f>((AB84-X84)/X84)</f>
        <v>-2.1165950372586543E-3</v>
      </c>
      <c r="AE84" s="23">
        <f>((AC84-Y84)/Y84)</f>
        <v>0</v>
      </c>
      <c r="AF84" s="326">
        <v>9596445122.3099995</v>
      </c>
      <c r="AG84" s="327">
        <v>1</v>
      </c>
      <c r="AH84" s="23">
        <f>((AF84-AB84)/AB84)</f>
        <v>4.2680922770190041E-4</v>
      </c>
      <c r="AI84" s="23">
        <f>((AG84-AC84)/AC84)</f>
        <v>0</v>
      </c>
      <c r="AJ84" s="24">
        <f t="shared" si="72"/>
        <v>-1.1920964272784369E-3</v>
      </c>
      <c r="AK84" s="24">
        <f t="shared" si="73"/>
        <v>0</v>
      </c>
      <c r="AL84" s="25">
        <f t="shared" si="74"/>
        <v>-9.4978131671369804E-3</v>
      </c>
      <c r="AM84" s="25">
        <f t="shared" si="75"/>
        <v>0</v>
      </c>
      <c r="AN84" s="466">
        <f t="shared" si="76"/>
        <v>1.6370481056353164E-3</v>
      </c>
      <c r="AO84" s="467">
        <f t="shared" si="77"/>
        <v>0</v>
      </c>
      <c r="AP84" s="30"/>
      <c r="AQ84" s="28"/>
      <c r="AR84" s="28"/>
      <c r="AS84" s="29"/>
      <c r="AT84" s="29"/>
    </row>
    <row r="85" spans="1:46" s="108" customFormat="1" ht="15.75" customHeight="1">
      <c r="A85" s="202" t="s">
        <v>19</v>
      </c>
      <c r="B85" s="326">
        <v>2615876692.9899998</v>
      </c>
      <c r="C85" s="327">
        <v>24.063400000000001</v>
      </c>
      <c r="D85" s="326">
        <v>2619514763.6799998</v>
      </c>
      <c r="E85" s="327">
        <v>24.122399999999999</v>
      </c>
      <c r="F85" s="23">
        <f>((D85-B85)/B85)</f>
        <v>1.3907653597546562E-3</v>
      </c>
      <c r="G85" s="23">
        <f>((E85-C85)/C85)</f>
        <v>2.4518563461521439E-3</v>
      </c>
      <c r="H85" s="326">
        <v>2623245741.79</v>
      </c>
      <c r="I85" s="327">
        <v>24.156099999999999</v>
      </c>
      <c r="J85" s="23">
        <f>((H85-D85)/D85)</f>
        <v>1.4243012338509232E-3</v>
      </c>
      <c r="K85" s="23">
        <f>((I85-E85)/E85)</f>
        <v>1.3970417537226654E-3</v>
      </c>
      <c r="L85" s="326">
        <v>2625605143.5300002</v>
      </c>
      <c r="M85" s="327">
        <v>24.1905</v>
      </c>
      <c r="N85" s="23">
        <f>((L85-H85)/H85)</f>
        <v>8.9942078334997501E-4</v>
      </c>
      <c r="O85" s="23">
        <f>((M85-I85)/I85)</f>
        <v>1.4240709386035635E-3</v>
      </c>
      <c r="P85" s="326">
        <v>2582475812.6300001</v>
      </c>
      <c r="Q85" s="327">
        <v>24.225300000000001</v>
      </c>
      <c r="R85" s="23">
        <f>((P85-L85)/L85)</f>
        <v>-1.6426434495026461E-2</v>
      </c>
      <c r="S85" s="23">
        <f>((Q85-M85)/M85)</f>
        <v>1.4385812612389413E-3</v>
      </c>
      <c r="T85" s="326">
        <v>2564390224.1900001</v>
      </c>
      <c r="U85" s="327">
        <v>24.280799999999999</v>
      </c>
      <c r="V85" s="23">
        <f>((T85-P85)/P85)</f>
        <v>-7.003197610428594E-3</v>
      </c>
      <c r="W85" s="23">
        <f>((U85-Q85)/Q85)</f>
        <v>2.290993300392505E-3</v>
      </c>
      <c r="X85" s="326">
        <v>2564396476.52</v>
      </c>
      <c r="Y85" s="327">
        <v>24.290900000000001</v>
      </c>
      <c r="Z85" s="23">
        <f>((X85-T85)/T85)</f>
        <v>2.4381351718413275E-6</v>
      </c>
      <c r="AA85" s="23">
        <f>((Y85-U85)/U85)</f>
        <v>4.1596652499099413E-4</v>
      </c>
      <c r="AB85" s="326">
        <v>2567513920.6599998</v>
      </c>
      <c r="AC85" s="327">
        <v>24.331099999999999</v>
      </c>
      <c r="AD85" s="23">
        <f>((AB85-X85)/X85)</f>
        <v>1.215663868104505E-3</v>
      </c>
      <c r="AE85" s="23">
        <f>((AC85-Y85)/Y85)</f>
        <v>1.6549407391244738E-3</v>
      </c>
      <c r="AF85" s="326">
        <v>2564626168.6799998</v>
      </c>
      <c r="AG85" s="327">
        <v>24.3658</v>
      </c>
      <c r="AH85" s="23">
        <f>((AF85-AB85)/AB85)</f>
        <v>-1.1247269028468207E-3</v>
      </c>
      <c r="AI85" s="23">
        <f>((AG85-AC85)/AC85)</f>
        <v>1.4261582912404635E-3</v>
      </c>
      <c r="AJ85" s="24">
        <f t="shared" si="72"/>
        <v>-2.4527212035087469E-3</v>
      </c>
      <c r="AK85" s="24">
        <f t="shared" si="73"/>
        <v>1.5624511444332187E-3</v>
      </c>
      <c r="AL85" s="25">
        <f t="shared" si="74"/>
        <v>-2.0953726148460524E-2</v>
      </c>
      <c r="AM85" s="25">
        <f t="shared" si="75"/>
        <v>1.0090206612940718E-2</v>
      </c>
      <c r="AN85" s="466">
        <f t="shared" si="76"/>
        <v>6.3048787435926699E-3</v>
      </c>
      <c r="AO85" s="467">
        <f t="shared" si="77"/>
        <v>6.2395345880612667E-4</v>
      </c>
      <c r="AP85" s="30"/>
      <c r="AQ85" s="28"/>
      <c r="AR85" s="28"/>
      <c r="AS85" s="29"/>
      <c r="AT85" s="29"/>
    </row>
    <row r="86" spans="1:46">
      <c r="A86" s="204" t="s">
        <v>42</v>
      </c>
      <c r="B86" s="76">
        <f>SUM(B56:B85)</f>
        <v>324966477016.1626</v>
      </c>
      <c r="C86" s="85"/>
      <c r="D86" s="76">
        <f>SUM(D56:D85)</f>
        <v>326343931654.87665</v>
      </c>
      <c r="E86" s="85"/>
      <c r="F86" s="23">
        <f>((D85-B86)/B86)</f>
        <v>-0.99193912311284427</v>
      </c>
      <c r="G86" s="23"/>
      <c r="H86" s="76">
        <f>SUM(H56:H85)</f>
        <v>326621734089.72247</v>
      </c>
      <c r="I86" s="85"/>
      <c r="J86" s="23">
        <f>((H85-D86)/D86)</f>
        <v>-0.99196171435305203</v>
      </c>
      <c r="K86" s="23"/>
      <c r="L86" s="76">
        <f>SUM(L56:L85)</f>
        <v>326437563760.66541</v>
      </c>
      <c r="M86" s="85"/>
      <c r="N86" s="23">
        <f>((L85-H86)/H86)</f>
        <v>-0.99196132752510346</v>
      </c>
      <c r="O86" s="23"/>
      <c r="P86" s="76">
        <f>SUM(P56:P85)</f>
        <v>323714339049.49524</v>
      </c>
      <c r="Q86" s="85"/>
      <c r="R86" s="23">
        <f>((P85-L86)/L86)</f>
        <v>-0.99208891347282757</v>
      </c>
      <c r="S86" s="23"/>
      <c r="T86" s="76">
        <f>SUM(T56:T85)</f>
        <v>323395950269.5387</v>
      </c>
      <c r="U86" s="85"/>
      <c r="V86" s="23">
        <f>((T85-P86)/P86)</f>
        <v>-0.99207823097450776</v>
      </c>
      <c r="W86" s="23"/>
      <c r="X86" s="76">
        <f>SUM(X56:X85)</f>
        <v>319908980259.00153</v>
      </c>
      <c r="Y86" s="85"/>
      <c r="Z86" s="23">
        <f>((X85-T86)/T86)</f>
        <v>-0.99207041252562778</v>
      </c>
      <c r="AA86" s="23"/>
      <c r="AB86" s="76">
        <f>SUM(AB56:AB85)</f>
        <v>317665884188.13855</v>
      </c>
      <c r="AC86" s="85"/>
      <c r="AD86" s="23">
        <f>((AB85-X86)/X86)</f>
        <v>-0.99197423617623581</v>
      </c>
      <c r="AE86" s="23"/>
      <c r="AF86" s="76">
        <f>SUM(AF56:AF85)</f>
        <v>327549421729.35663</v>
      </c>
      <c r="AG86" s="85"/>
      <c r="AH86" s="23">
        <f>((AF85-AB86)/AB86)</f>
        <v>-0.99192665534344537</v>
      </c>
      <c r="AI86" s="23"/>
      <c r="AJ86" s="24">
        <f t="shared" si="72"/>
        <v>-0.99200007668545553</v>
      </c>
      <c r="AK86" s="24"/>
      <c r="AL86" s="25">
        <f t="shared" si="74"/>
        <v>3.6939252045135019E-3</v>
      </c>
      <c r="AM86" s="25"/>
      <c r="AN86" s="466">
        <f t="shared" si="76"/>
        <v>6.7288427650132981E-5</v>
      </c>
      <c r="AO86" s="467"/>
      <c r="AP86" s="30"/>
      <c r="AQ86" s="40"/>
      <c r="AR86" s="13"/>
      <c r="AS86" s="29" t="e">
        <f>(#REF!/AQ86)-1</f>
        <v>#REF!</v>
      </c>
      <c r="AT86" s="29" t="e">
        <f>(#REF!/AR86)-1</f>
        <v>#REF!</v>
      </c>
    </row>
    <row r="87" spans="1:46" s="108" customFormat="1" ht="7.5" customHeight="1">
      <c r="A87" s="204"/>
      <c r="B87" s="85"/>
      <c r="C87" s="85"/>
      <c r="D87" s="85"/>
      <c r="E87" s="85"/>
      <c r="F87" s="23"/>
      <c r="G87" s="23"/>
      <c r="H87" s="85"/>
      <c r="I87" s="85"/>
      <c r="J87" s="23"/>
      <c r="K87" s="23"/>
      <c r="L87" s="85"/>
      <c r="M87" s="85"/>
      <c r="N87" s="23"/>
      <c r="O87" s="23"/>
      <c r="P87" s="85"/>
      <c r="Q87" s="85"/>
      <c r="R87" s="23"/>
      <c r="S87" s="23"/>
      <c r="T87" s="85"/>
      <c r="U87" s="85"/>
      <c r="V87" s="23"/>
      <c r="W87" s="23"/>
      <c r="X87" s="85"/>
      <c r="Y87" s="85"/>
      <c r="Z87" s="23"/>
      <c r="AA87" s="23"/>
      <c r="AB87" s="85"/>
      <c r="AC87" s="85"/>
      <c r="AD87" s="23"/>
      <c r="AE87" s="23"/>
      <c r="AF87" s="85"/>
      <c r="AG87" s="85"/>
      <c r="AH87" s="23"/>
      <c r="AI87" s="23"/>
      <c r="AJ87" s="24"/>
      <c r="AK87" s="24"/>
      <c r="AL87" s="25"/>
      <c r="AM87" s="25"/>
      <c r="AN87" s="466"/>
      <c r="AO87" s="467"/>
      <c r="AP87" s="30"/>
      <c r="AQ87" s="40"/>
      <c r="AR87" s="13"/>
      <c r="AS87" s="29"/>
      <c r="AT87" s="29"/>
    </row>
    <row r="88" spans="1:46" s="108" customFormat="1">
      <c r="A88" s="201" t="s">
        <v>195</v>
      </c>
      <c r="B88" s="85"/>
      <c r="C88" s="85"/>
      <c r="D88" s="85"/>
      <c r="E88" s="85"/>
      <c r="F88" s="23"/>
      <c r="G88" s="23"/>
      <c r="H88" s="85"/>
      <c r="I88" s="85"/>
      <c r="J88" s="23"/>
      <c r="K88" s="23"/>
      <c r="L88" s="85"/>
      <c r="M88" s="85"/>
      <c r="N88" s="23"/>
      <c r="O88" s="23"/>
      <c r="P88" s="85"/>
      <c r="Q88" s="85"/>
      <c r="R88" s="23"/>
      <c r="S88" s="23"/>
      <c r="T88" s="85"/>
      <c r="U88" s="85"/>
      <c r="V88" s="23"/>
      <c r="W88" s="23"/>
      <c r="X88" s="85"/>
      <c r="Y88" s="85"/>
      <c r="Z88" s="23"/>
      <c r="AA88" s="23"/>
      <c r="AB88" s="85"/>
      <c r="AC88" s="85"/>
      <c r="AD88" s="23"/>
      <c r="AE88" s="23"/>
      <c r="AF88" s="85"/>
      <c r="AG88" s="85"/>
      <c r="AH88" s="23"/>
      <c r="AI88" s="23"/>
      <c r="AJ88" s="24"/>
      <c r="AK88" s="24"/>
      <c r="AL88" s="25"/>
      <c r="AM88" s="25"/>
      <c r="AN88" s="466"/>
      <c r="AO88" s="467"/>
      <c r="AP88" s="30"/>
      <c r="AQ88" s="40"/>
      <c r="AR88" s="13"/>
      <c r="AS88" s="29"/>
      <c r="AT88" s="29"/>
    </row>
    <row r="89" spans="1:46" s="108" customFormat="1">
      <c r="A89" s="200" t="s">
        <v>196</v>
      </c>
      <c r="B89" s="85"/>
      <c r="C89" s="85"/>
      <c r="D89" s="85"/>
      <c r="E89" s="85"/>
      <c r="F89" s="23"/>
      <c r="G89" s="23"/>
      <c r="H89" s="85"/>
      <c r="I89" s="85"/>
      <c r="J89" s="23"/>
      <c r="K89" s="23"/>
      <c r="L89" s="85"/>
      <c r="M89" s="85"/>
      <c r="N89" s="23"/>
      <c r="O89" s="23"/>
      <c r="P89" s="85"/>
      <c r="Q89" s="85"/>
      <c r="R89" s="23"/>
      <c r="S89" s="23"/>
      <c r="T89" s="85"/>
      <c r="U89" s="85"/>
      <c r="V89" s="23"/>
      <c r="W89" s="23"/>
      <c r="X89" s="85"/>
      <c r="Y89" s="85"/>
      <c r="Z89" s="23"/>
      <c r="AA89" s="23"/>
      <c r="AB89" s="85"/>
      <c r="AC89" s="85"/>
      <c r="AD89" s="23"/>
      <c r="AE89" s="23"/>
      <c r="AF89" s="85"/>
      <c r="AG89" s="85"/>
      <c r="AH89" s="23"/>
      <c r="AI89" s="23"/>
      <c r="AJ89" s="24"/>
      <c r="AK89" s="24"/>
      <c r="AL89" s="25"/>
      <c r="AM89" s="25"/>
      <c r="AN89" s="466"/>
      <c r="AO89" s="467"/>
      <c r="AP89" s="30"/>
      <c r="AQ89" s="40"/>
      <c r="AR89" s="13"/>
      <c r="AS89" s="29"/>
      <c r="AT89" s="29"/>
    </row>
    <row r="90" spans="1:46">
      <c r="A90" s="202" t="s">
        <v>145</v>
      </c>
      <c r="B90" s="326">
        <v>795930564.35000002</v>
      </c>
      <c r="C90" s="326">
        <f>107.5721*460.31</f>
        <v>49516.513351000001</v>
      </c>
      <c r="D90" s="326">
        <v>795010939.25999999</v>
      </c>
      <c r="E90" s="326">
        <f>108.026*460.5</f>
        <v>49745.972999999998</v>
      </c>
      <c r="F90" s="23">
        <f>((D103-B90)/B90)</f>
        <v>2.6917264358601711</v>
      </c>
      <c r="G90" s="23">
        <f>((E90-C90)/C90)</f>
        <v>4.634002547260584E-3</v>
      </c>
      <c r="H90" s="326">
        <v>792032015.80999994</v>
      </c>
      <c r="I90" s="326">
        <f>108.1469*461.03</f>
        <v>49858.965306999999</v>
      </c>
      <c r="J90" s="23">
        <f>((H103-D90)/D90)</f>
        <v>2.7341729791113165</v>
      </c>
      <c r="K90" s="23">
        <f t="shared" ref="K90:K99" si="78">((I90-E90)/E90)</f>
        <v>2.2713860074663819E-3</v>
      </c>
      <c r="L90" s="326">
        <v>799837469.70000005</v>
      </c>
      <c r="M90" s="326">
        <f>108.2735*460.53</f>
        <v>49863.194954999999</v>
      </c>
      <c r="N90" s="23">
        <f>((L103-H90)/H90)</f>
        <v>2.638621936865666</v>
      </c>
      <c r="O90" s="23">
        <f t="shared" ref="O90:O99" si="79">((M90-I90)/I90)</f>
        <v>8.4832245794852601E-5</v>
      </c>
      <c r="P90" s="326">
        <v>801937693.36000001</v>
      </c>
      <c r="Q90" s="326">
        <f>108.3965*460.95</f>
        <v>49965.366674999997</v>
      </c>
      <c r="R90" s="23">
        <f>((P103-L90)/L90)</f>
        <v>2.6719622832743615</v>
      </c>
      <c r="S90" s="23">
        <f t="shared" ref="S90:S99" si="80">((Q90-M90)/M90)</f>
        <v>2.0490407823286353E-3</v>
      </c>
      <c r="T90" s="326">
        <v>800455327.80999994</v>
      </c>
      <c r="U90" s="326">
        <f>108.0555*461.55</f>
        <v>49873.016024999997</v>
      </c>
      <c r="V90" s="23">
        <f>((T103-P90)/P90)</f>
        <v>2.6648731369509844</v>
      </c>
      <c r="W90" s="23">
        <f t="shared" ref="W90:W99" si="81">((U90-Q90)/Q90)</f>
        <v>-1.8482932508170234E-3</v>
      </c>
      <c r="X90" s="326">
        <v>792240227.33000004</v>
      </c>
      <c r="Y90" s="326">
        <f>108.6188*462.88</f>
        <v>50277.470143999999</v>
      </c>
      <c r="Z90" s="23">
        <f>((X103-T90)/T90)</f>
        <v>2.6381530492220659</v>
      </c>
      <c r="AA90" s="23">
        <f t="shared" ref="AA90:AA99" si="82">((Y90-U90)/U90)</f>
        <v>8.1096783638924079E-3</v>
      </c>
      <c r="AB90" s="326">
        <v>1009385874.39</v>
      </c>
      <c r="AC90" s="326">
        <f>108.7447*588.95</f>
        <v>64045.191064999999</v>
      </c>
      <c r="AD90" s="23">
        <f>((AB103-X90)/X90)</f>
        <v>3.5477748605717219</v>
      </c>
      <c r="AE90" s="23">
        <f t="shared" ref="AE90:AE99" si="83">((AC90-Y90)/Y90)</f>
        <v>0.27383479879890116</v>
      </c>
      <c r="AF90" s="326">
        <v>1274486249.7</v>
      </c>
      <c r="AG90" s="326">
        <f>108.8704*742.77</f>
        <v>80865.667008000004</v>
      </c>
      <c r="AH90" s="23">
        <f>((AF103-AB90)/AB90)</f>
        <v>3.6666923188679283</v>
      </c>
      <c r="AI90" s="23">
        <f t="shared" ref="AI90:AI99" si="84">((AG90-AC90)/AC90)</f>
        <v>0.26263448766869574</v>
      </c>
      <c r="AJ90" s="24">
        <f t="shared" si="72"/>
        <v>2.9067471250905266</v>
      </c>
      <c r="AK90" s="24">
        <f t="shared" si="73"/>
        <v>6.8971241645440343E-2</v>
      </c>
      <c r="AL90" s="25">
        <f t="shared" si="74"/>
        <v>0.6031052992633007</v>
      </c>
      <c r="AM90" s="25">
        <f t="shared" si="75"/>
        <v>0.62557212436069964</v>
      </c>
      <c r="AN90" s="466">
        <f t="shared" si="76"/>
        <v>0.43459502168217218</v>
      </c>
      <c r="AO90" s="467">
        <f t="shared" si="77"/>
        <v>0.12305987843500676</v>
      </c>
      <c r="AP90" s="30"/>
      <c r="AQ90" s="49">
        <v>31507613595.857655</v>
      </c>
      <c r="AR90" s="49">
        <v>11.808257597614354</v>
      </c>
      <c r="AS90" s="29" t="e">
        <f>(#REF!/AQ90)-1</f>
        <v>#REF!</v>
      </c>
      <c r="AT90" s="29" t="e">
        <f>(#REF!/AR90)-1</f>
        <v>#REF!</v>
      </c>
    </row>
    <row r="91" spans="1:46">
      <c r="A91" s="202" t="s">
        <v>146</v>
      </c>
      <c r="B91" s="326">
        <f>11798899.38*460.31</f>
        <v>5431151373.6078005</v>
      </c>
      <c r="C91" s="326">
        <f>1.1446*460.31</f>
        <v>526.87082600000008</v>
      </c>
      <c r="D91" s="326">
        <f>11799004.44*461</f>
        <v>5439341046.8400002</v>
      </c>
      <c r="E91" s="326">
        <f>1.146*461</f>
        <v>528.30599999999993</v>
      </c>
      <c r="F91" s="23">
        <f>((D104-B91)/B91)</f>
        <v>5.2084533164887419E-2</v>
      </c>
      <c r="G91" s="23">
        <f>((E91-C91)/C91)</f>
        <v>2.7239579972489253E-3</v>
      </c>
      <c r="H91" s="326">
        <f>11820551.48*460.57</f>
        <v>5444191395.1436005</v>
      </c>
      <c r="I91" s="326">
        <f>1.1471*460.57</f>
        <v>528.31984699999998</v>
      </c>
      <c r="J91" s="23">
        <f>((H104-D91)/D91)</f>
        <v>4.5381615249774659E-2</v>
      </c>
      <c r="K91" s="23">
        <f t="shared" si="78"/>
        <v>2.6210188792206096E-5</v>
      </c>
      <c r="L91" s="326">
        <f>11850638.38*460.81</f>
        <v>5460892671.8878002</v>
      </c>
      <c r="M91" s="326">
        <f>1.1486*460.81</f>
        <v>529.28636600000004</v>
      </c>
      <c r="N91" s="23">
        <f>((L104-H91)/H91)</f>
        <v>4.3436196987369606E-2</v>
      </c>
      <c r="O91" s="23">
        <f t="shared" si="79"/>
        <v>1.8294201996921424E-3</v>
      </c>
      <c r="P91" s="326">
        <f>11640485.65*461.06</f>
        <v>5366962313.7890005</v>
      </c>
      <c r="Q91" s="326">
        <f>1.1503*461.06</f>
        <v>530.35731800000008</v>
      </c>
      <c r="R91" s="23">
        <f>((P104-L91)/L91)</f>
        <v>3.1122603139066403E-2</v>
      </c>
      <c r="S91" s="23">
        <f t="shared" si="80"/>
        <v>2.0233886017007922E-3</v>
      </c>
      <c r="T91" s="326">
        <f>11667826.53*461.55</f>
        <v>5385285334.9215002</v>
      </c>
      <c r="U91" s="326">
        <f>1.1521*461.55</f>
        <v>531.751755</v>
      </c>
      <c r="V91" s="23">
        <f>((T104-P91)/P91)</f>
        <v>2.6400661934398263E-2</v>
      </c>
      <c r="W91" s="23">
        <f t="shared" si="81"/>
        <v>2.6292406132122515E-3</v>
      </c>
      <c r="X91" s="326">
        <f>11659795.11*462.88</f>
        <v>5397085960.5167999</v>
      </c>
      <c r="Y91" s="326">
        <f>1.1539*462.88</f>
        <v>534.11723199999994</v>
      </c>
      <c r="Z91" s="23">
        <f>((X104-T91)/T91)</f>
        <v>-5.1867957820209379E-2</v>
      </c>
      <c r="AA91" s="23">
        <f t="shared" si="82"/>
        <v>4.4484611056900825E-3</v>
      </c>
      <c r="AB91" s="326">
        <f>11684243.38*589.45</f>
        <v>6887277260.3410006</v>
      </c>
      <c r="AC91" s="326">
        <f>1.1265*589.45</f>
        <v>664.01542500000005</v>
      </c>
      <c r="AD91" s="23">
        <f>((AB104-X91)/X91)</f>
        <v>0.30236253085673276</v>
      </c>
      <c r="AE91" s="23">
        <f t="shared" si="83"/>
        <v>0.24320165165538063</v>
      </c>
      <c r="AF91" s="326">
        <f>11794314.09*742.77</f>
        <v>8760462676.6292992</v>
      </c>
      <c r="AG91" s="326">
        <f>1.1397*742.77</f>
        <v>846.53496899999993</v>
      </c>
      <c r="AH91" s="23">
        <f>((AF104-AB91)/AB91)</f>
        <v>-1.2688112660165207E-2</v>
      </c>
      <c r="AI91" s="23">
        <f t="shared" si="84"/>
        <v>0.27487244592247218</v>
      </c>
      <c r="AJ91" s="24">
        <f t="shared" si="72"/>
        <v>5.4529008856481813E-2</v>
      </c>
      <c r="AK91" s="24">
        <f t="shared" si="73"/>
        <v>6.6469347035523652E-2</v>
      </c>
      <c r="AL91" s="25">
        <f t="shared" si="74"/>
        <v>0.61057425912256658</v>
      </c>
      <c r="AM91" s="25">
        <f t="shared" si="75"/>
        <v>0.60235728725397786</v>
      </c>
      <c r="AN91" s="466">
        <f t="shared" si="76"/>
        <v>0.10610754318518896</v>
      </c>
      <c r="AO91" s="467">
        <f t="shared" si="77"/>
        <v>0.11916259921332746</v>
      </c>
      <c r="AP91" s="30"/>
      <c r="AQ91" s="40">
        <f>SUM(AQ90:AQ90)</f>
        <v>31507613595.857655</v>
      </c>
      <c r="AR91" s="13"/>
      <c r="AS91" s="29" t="e">
        <f>(#REF!/AQ91)-1</f>
        <v>#REF!</v>
      </c>
      <c r="AT91" s="29" t="e">
        <f>(#REF!/AR91)-1</f>
        <v>#REF!</v>
      </c>
    </row>
    <row r="92" spans="1:46">
      <c r="A92" s="202" t="s">
        <v>171</v>
      </c>
      <c r="B92" s="326">
        <v>1011302796.119</v>
      </c>
      <c r="C92" s="326">
        <v>49122.345999999998</v>
      </c>
      <c r="D92" s="326">
        <v>1013070328.72</v>
      </c>
      <c r="E92" s="326">
        <v>49193.263900000005</v>
      </c>
      <c r="F92" s="23">
        <f>((D92-B92)/B92)</f>
        <v>1.7477778245874494E-3</v>
      </c>
      <c r="G92" s="23">
        <f>((E92-C92)/C92)</f>
        <v>1.4436993705473197E-3</v>
      </c>
      <c r="H92" s="326">
        <v>1112084505.4552</v>
      </c>
      <c r="I92" s="326">
        <v>47605.035739999992</v>
      </c>
      <c r="J92" s="23">
        <f>((H92-D92)/D92)</f>
        <v>9.7736725603545155E-2</v>
      </c>
      <c r="K92" s="23">
        <f t="shared" si="78"/>
        <v>-3.2285480451725287E-2</v>
      </c>
      <c r="L92" s="326">
        <v>1114031644.3122001</v>
      </c>
      <c r="M92" s="326">
        <v>47688.382560000005</v>
      </c>
      <c r="N92" s="23">
        <f>((L92-H92)/H92)</f>
        <v>1.7508910945603967E-3</v>
      </c>
      <c r="O92" s="23">
        <f t="shared" si="79"/>
        <v>1.7507983914815438E-3</v>
      </c>
      <c r="P92" s="326">
        <v>1115907348.6300001</v>
      </c>
      <c r="Q92" s="326">
        <v>47768.644483999997</v>
      </c>
      <c r="R92" s="23">
        <f>((P92-L92)/L92)</f>
        <v>1.6837082926473776E-3</v>
      </c>
      <c r="S92" s="23">
        <f t="shared" si="80"/>
        <v>1.6830498266324774E-3</v>
      </c>
      <c r="T92" s="326">
        <v>1118303214.3695002</v>
      </c>
      <c r="U92" s="326">
        <v>47871.244709999999</v>
      </c>
      <c r="V92" s="23">
        <f>((T92-P92)/P92)</f>
        <v>2.1470113468124849E-3</v>
      </c>
      <c r="W92" s="23">
        <f t="shared" si="81"/>
        <v>2.1478571792919103E-3</v>
      </c>
      <c r="X92" s="326">
        <v>1122848825.0646</v>
      </c>
      <c r="Y92" s="326">
        <v>48065.805006000002</v>
      </c>
      <c r="Z92" s="23">
        <f>((X92-T92)/T92)</f>
        <v>4.0647390052103603E-3</v>
      </c>
      <c r="AA92" s="23">
        <f t="shared" si="82"/>
        <v>4.0642414288292131E-3</v>
      </c>
      <c r="AB92" s="326">
        <v>1430072390.3730001</v>
      </c>
      <c r="AC92" s="326">
        <v>61217.152914999999</v>
      </c>
      <c r="AD92" s="23">
        <f>((AB92-X92)/X92)</f>
        <v>0.27361080000304128</v>
      </c>
      <c r="AE92" s="23">
        <f t="shared" si="83"/>
        <v>0.27361131073032746</v>
      </c>
      <c r="AF92" s="326">
        <v>1805383438.0857</v>
      </c>
      <c r="AG92" s="326">
        <v>77283.059116999997</v>
      </c>
      <c r="AH92" s="23">
        <f>((AF92-AB92)/AB92)</f>
        <v>0.26244199261465989</v>
      </c>
      <c r="AI92" s="23">
        <f t="shared" si="84"/>
        <v>0.26244125113605832</v>
      </c>
      <c r="AJ92" s="24">
        <f t="shared" si="72"/>
        <v>8.0647955723133047E-2</v>
      </c>
      <c r="AK92" s="24">
        <f t="shared" si="73"/>
        <v>6.4357090951430371E-2</v>
      </c>
      <c r="AL92" s="25">
        <f t="shared" si="74"/>
        <v>0.78209092390138046</v>
      </c>
      <c r="AM92" s="25">
        <f t="shared" si="75"/>
        <v>0.57100897541787199</v>
      </c>
      <c r="AN92" s="466">
        <f t="shared" si="76"/>
        <v>0.12029041155260427</v>
      </c>
      <c r="AO92" s="467">
        <f t="shared" si="77"/>
        <v>0.12630764269831377</v>
      </c>
      <c r="AP92" s="30"/>
      <c r="AQ92" s="40"/>
      <c r="AR92" s="13"/>
      <c r="AS92" s="29" t="e">
        <f>(#REF!/AQ92)-1</f>
        <v>#REF!</v>
      </c>
      <c r="AT92" s="29" t="e">
        <f>(#REF!/AR92)-1</f>
        <v>#REF!</v>
      </c>
    </row>
    <row r="93" spans="1:46">
      <c r="A93" s="202" t="s">
        <v>239</v>
      </c>
      <c r="B93" s="326">
        <v>13206440467.370001</v>
      </c>
      <c r="C93" s="326">
        <v>56935.11</v>
      </c>
      <c r="D93" s="326">
        <v>13184477272.639999</v>
      </c>
      <c r="E93" s="326">
        <v>56919</v>
      </c>
      <c r="F93" s="23">
        <f>((D93-B93)/B93)</f>
        <v>-1.663066954662562E-3</v>
      </c>
      <c r="G93" s="23">
        <f>((E93-C93)/C93)</f>
        <v>-2.8295369939569068E-4</v>
      </c>
      <c r="H93" s="326">
        <v>13187329635.59</v>
      </c>
      <c r="I93" s="326">
        <v>57009.91</v>
      </c>
      <c r="J93" s="23">
        <f>((H93-D93)/D93)</f>
        <v>2.163425133220787E-4</v>
      </c>
      <c r="K93" s="23">
        <f t="shared" si="78"/>
        <v>1.5971819603296526E-3</v>
      </c>
      <c r="L93" s="326">
        <v>13206440467.370001</v>
      </c>
      <c r="M93" s="326">
        <v>57152.72</v>
      </c>
      <c r="N93" s="23">
        <f>((L93-H93)/H93)</f>
        <v>1.4491813208660775E-3</v>
      </c>
      <c r="O93" s="23">
        <f t="shared" si="79"/>
        <v>2.5050030775350752E-3</v>
      </c>
      <c r="P93" s="326">
        <v>13249511147.940001</v>
      </c>
      <c r="Q93" s="326">
        <v>57376.28</v>
      </c>
      <c r="R93" s="23">
        <f>((P93-L93)/L93)</f>
        <v>3.2613390925751102E-3</v>
      </c>
      <c r="S93" s="23">
        <f t="shared" si="80"/>
        <v>3.9116248535502364E-3</v>
      </c>
      <c r="T93" s="326">
        <v>13254074928.66</v>
      </c>
      <c r="U93" s="326">
        <v>57423.92</v>
      </c>
      <c r="V93" s="23">
        <f>((T93-P93)/P93)</f>
        <v>3.4444898902620102E-4</v>
      </c>
      <c r="W93" s="23">
        <f t="shared" si="81"/>
        <v>8.3030827373261945E-4</v>
      </c>
      <c r="X93" s="326">
        <v>13477414947.799999</v>
      </c>
      <c r="Y93" s="326">
        <v>58448.25</v>
      </c>
      <c r="Z93" s="23">
        <f>((X93-T93)/T93)</f>
        <v>1.6850668216539143E-2</v>
      </c>
      <c r="AA93" s="23">
        <f t="shared" si="82"/>
        <v>1.7838036832037968E-2</v>
      </c>
      <c r="AB93" s="326">
        <v>18912307316.380001</v>
      </c>
      <c r="AC93" s="326">
        <v>82097.61</v>
      </c>
      <c r="AD93" s="23">
        <f>((AB93-X93)/X93)</f>
        <v>0.40325925925929679</v>
      </c>
      <c r="AE93" s="23">
        <f t="shared" si="83"/>
        <v>0.40462049761968921</v>
      </c>
      <c r="AF93" s="326">
        <v>21968043746.759998</v>
      </c>
      <c r="AG93" s="326">
        <v>95470.27</v>
      </c>
      <c r="AH93" s="23">
        <f>((AF93-AB93)/AB93)</f>
        <v>0.16157396235484264</v>
      </c>
      <c r="AI93" s="23">
        <f t="shared" si="84"/>
        <v>0.16288732400370734</v>
      </c>
      <c r="AJ93" s="24">
        <f t="shared" si="72"/>
        <v>7.3161516848975691E-2</v>
      </c>
      <c r="AK93" s="24">
        <f t="shared" si="73"/>
        <v>7.4238377865148295E-2</v>
      </c>
      <c r="AL93" s="25">
        <f t="shared" si="74"/>
        <v>0.6662051359705683</v>
      </c>
      <c r="AM93" s="25">
        <f t="shared" si="75"/>
        <v>0.67730054990424993</v>
      </c>
      <c r="AN93" s="466">
        <f t="shared" si="76"/>
        <v>0.14452035339982067</v>
      </c>
      <c r="AO93" s="467">
        <f t="shared" si="77"/>
        <v>0.14466830302601075</v>
      </c>
      <c r="AP93" s="30"/>
      <c r="AQ93" s="28">
        <v>885354617.76999998</v>
      </c>
      <c r="AR93" s="28">
        <v>1763.14</v>
      </c>
      <c r="AS93" s="29" t="e">
        <f>(#REF!/AQ93)-1</f>
        <v>#REF!</v>
      </c>
      <c r="AT93" s="29" t="e">
        <f>(#REF!/AR93)-1</f>
        <v>#REF!</v>
      </c>
    </row>
    <row r="94" spans="1:46" s="370" customFormat="1">
      <c r="A94" s="202" t="s">
        <v>267</v>
      </c>
      <c r="B94" s="326">
        <v>7182895927.8599997</v>
      </c>
      <c r="C94" s="326">
        <v>49730.83</v>
      </c>
      <c r="D94" s="326">
        <v>7470822431.4300003</v>
      </c>
      <c r="E94" s="326">
        <v>49740.57</v>
      </c>
      <c r="F94" s="23">
        <f>((D94-B94)/B94)</f>
        <v>4.0085016748360798E-2</v>
      </c>
      <c r="G94" s="23">
        <f>((E94-C94)/C94)</f>
        <v>1.958543623743654E-4</v>
      </c>
      <c r="H94" s="326">
        <v>7636845106.1330996</v>
      </c>
      <c r="I94" s="326">
        <v>49848.42</v>
      </c>
      <c r="J94" s="23">
        <f>((H94-D94)/D94)</f>
        <v>2.22228109725425E-2</v>
      </c>
      <c r="K94" s="23">
        <f t="shared" si="78"/>
        <v>2.1682501828989603E-3</v>
      </c>
      <c r="L94" s="326">
        <v>7852544963.21</v>
      </c>
      <c r="M94" s="326">
        <v>50022.52</v>
      </c>
      <c r="N94" s="23">
        <f>((L94-H94)/H94)</f>
        <v>2.824462904238733E-2</v>
      </c>
      <c r="O94" s="23">
        <f t="shared" si="79"/>
        <v>3.4925881301754108E-3</v>
      </c>
      <c r="P94" s="326">
        <v>7966051854.75</v>
      </c>
      <c r="Q94" s="326">
        <v>50283.21</v>
      </c>
      <c r="R94" s="23">
        <f>((P94-L94)/L94)</f>
        <v>1.4454790398755015E-2</v>
      </c>
      <c r="S94" s="23">
        <f t="shared" si="80"/>
        <v>5.2114527616761884E-3</v>
      </c>
      <c r="T94" s="326">
        <v>7968795753.2600002</v>
      </c>
      <c r="U94" s="326">
        <v>50398.11</v>
      </c>
      <c r="V94" s="23">
        <f>((T94-P94)/P94)</f>
        <v>3.4444898928998264E-4</v>
      </c>
      <c r="W94" s="23">
        <f t="shared" si="81"/>
        <v>2.2850569802524831E-3</v>
      </c>
      <c r="X94" s="326">
        <v>8220705391.6599998</v>
      </c>
      <c r="Y94" s="326">
        <v>51351.3</v>
      </c>
      <c r="Z94" s="23">
        <f>((X94-T94)/T94)</f>
        <v>3.1612008413811392E-2</v>
      </c>
      <c r="AA94" s="23">
        <f t="shared" si="82"/>
        <v>1.8913209245346747E-2</v>
      </c>
      <c r="AB94" s="326">
        <v>11797150548.02</v>
      </c>
      <c r="AC94" s="326">
        <v>72198.429999999993</v>
      </c>
      <c r="AD94" s="23">
        <f>((AB94-X94)/X94)</f>
        <v>0.43505331792918223</v>
      </c>
      <c r="AE94" s="23">
        <f t="shared" si="83"/>
        <v>0.40597083228662156</v>
      </c>
      <c r="AF94" s="326">
        <v>13829499913.58</v>
      </c>
      <c r="AG94" s="326">
        <v>84025.55</v>
      </c>
      <c r="AH94" s="23">
        <f>((AF94-AB94)/AB94)</f>
        <v>0.17227459777574028</v>
      </c>
      <c r="AI94" s="23">
        <f t="shared" si="84"/>
        <v>0.16381408847810142</v>
      </c>
      <c r="AJ94" s="24">
        <f t="shared" si="72"/>
        <v>9.3036452533758696E-2</v>
      </c>
      <c r="AK94" s="24">
        <f t="shared" si="73"/>
        <v>7.5256416553430891E-2</v>
      </c>
      <c r="AL94" s="25">
        <f t="shared" si="74"/>
        <v>0.8511348704258892</v>
      </c>
      <c r="AM94" s="25">
        <f t="shared" si="75"/>
        <v>0.68927597733600565</v>
      </c>
      <c r="AN94" s="466">
        <f t="shared" si="76"/>
        <v>0.14823267141845684</v>
      </c>
      <c r="AO94" s="467">
        <f t="shared" si="77"/>
        <v>0.14478860178134476</v>
      </c>
      <c r="AP94" s="30"/>
      <c r="AQ94" s="28"/>
      <c r="AR94" s="28"/>
      <c r="AS94" s="29"/>
      <c r="AT94" s="29"/>
    </row>
    <row r="95" spans="1:46">
      <c r="A95" s="202" t="s">
        <v>236</v>
      </c>
      <c r="B95" s="326">
        <f>84323.95*460.81</f>
        <v>38857319.399499997</v>
      </c>
      <c r="C95" s="326">
        <f>101.88*460.81</f>
        <v>46947.322800000002</v>
      </c>
      <c r="D95" s="326">
        <f>84375.74*461</f>
        <v>38897216.140000001</v>
      </c>
      <c r="E95" s="326">
        <f>101.72*461</f>
        <v>46892.92</v>
      </c>
      <c r="F95" s="23">
        <f>((D95-B95)/B95)</f>
        <v>1.0267496861998276E-3</v>
      </c>
      <c r="G95" s="23">
        <f>((E95-C95)/C95)</f>
        <v>-1.1588051619421307E-3</v>
      </c>
      <c r="H95" s="326">
        <f>84427.53*461.03</f>
        <v>38923624.155899994</v>
      </c>
      <c r="I95" s="326">
        <f>101.78*461.03</f>
        <v>46923.633399999999</v>
      </c>
      <c r="J95" s="23">
        <f>((H95-D95)/D95)</f>
        <v>6.7891788977763787E-4</v>
      </c>
      <c r="K95" s="23">
        <f t="shared" si="78"/>
        <v>6.5496880979048751E-4</v>
      </c>
      <c r="L95" s="326">
        <f>84479.3*461.31</f>
        <v>38971145.883000001</v>
      </c>
      <c r="M95" s="326">
        <f>101.84*461.31</f>
        <v>46979.810400000002</v>
      </c>
      <c r="N95" s="23">
        <f>((L95-H95)/H95)</f>
        <v>1.220896772347545E-3</v>
      </c>
      <c r="O95" s="23">
        <f t="shared" si="79"/>
        <v>1.1972005560848859E-3</v>
      </c>
      <c r="P95" s="326">
        <f>84531.06*461.45</f>
        <v>39006857.636999995</v>
      </c>
      <c r="Q95" s="326">
        <f>101.9*461.45</f>
        <v>47021.755000000005</v>
      </c>
      <c r="R95" s="23">
        <f>((P95-L95)/L95)</f>
        <v>9.1636397110846546E-4</v>
      </c>
      <c r="S95" s="23">
        <f t="shared" si="80"/>
        <v>8.9282182373393601E-4</v>
      </c>
      <c r="T95" s="326">
        <f>84582.8*462.05</f>
        <v>39081482.740000002</v>
      </c>
      <c r="U95" s="326">
        <f>101.97*462.05</f>
        <v>47115.238499999999</v>
      </c>
      <c r="V95" s="23">
        <f>((T95-P95)/P95)</f>
        <v>1.9131277811320502E-3</v>
      </c>
      <c r="W95" s="23">
        <f t="shared" si="81"/>
        <v>1.9880904062384488E-3</v>
      </c>
      <c r="X95" s="326">
        <f>84634.53*462.9</f>
        <v>39177323.936999999</v>
      </c>
      <c r="Y95" s="326">
        <f>102.03*462.9</f>
        <v>47229.686999999998</v>
      </c>
      <c r="Z95" s="23">
        <f>((X95-T95)/T95)</f>
        <v>2.4523429071922898E-3</v>
      </c>
      <c r="AA95" s="23">
        <f t="shared" si="82"/>
        <v>2.4291185536500807E-3</v>
      </c>
      <c r="AB95" s="326">
        <f>84686.24*589.45</f>
        <v>49918304.168000005</v>
      </c>
      <c r="AC95" s="326">
        <f>102.09*589.45</f>
        <v>60176.950500000006</v>
      </c>
      <c r="AD95" s="23">
        <f>((AB95-X95)/X95)</f>
        <v>0.27416319318471799</v>
      </c>
      <c r="AE95" s="23">
        <f t="shared" si="83"/>
        <v>0.27413401024656397</v>
      </c>
      <c r="AF95" s="326">
        <f>80066.12*743.27</f>
        <v>59510745.012399994</v>
      </c>
      <c r="AG95" s="326">
        <f>101.32*743.27</f>
        <v>75308.116399999999</v>
      </c>
      <c r="AH95" s="23">
        <f>((AF95-AB95)/AB95)</f>
        <v>0.19216279487613677</v>
      </c>
      <c r="AI95" s="23">
        <f t="shared" si="84"/>
        <v>0.25144454436919317</v>
      </c>
      <c r="AJ95" s="24">
        <f t="shared" si="72"/>
        <v>5.9316798383576577E-2</v>
      </c>
      <c r="AK95" s="24">
        <f t="shared" si="73"/>
        <v>6.6447743700414105E-2</v>
      </c>
      <c r="AL95" s="25">
        <f t="shared" si="74"/>
        <v>0.52994869345423523</v>
      </c>
      <c r="AM95" s="25">
        <f t="shared" si="75"/>
        <v>0.60595920236999534</v>
      </c>
      <c r="AN95" s="466">
        <f t="shared" si="76"/>
        <v>0.1095168970446003</v>
      </c>
      <c r="AO95" s="467">
        <f t="shared" si="77"/>
        <v>0.12134087091320388</v>
      </c>
      <c r="AP95" s="30"/>
      <c r="AQ95" s="33">
        <v>113791197</v>
      </c>
      <c r="AR95" s="32">
        <v>81.52</v>
      </c>
      <c r="AS95" s="29" t="e">
        <f>(#REF!/AQ95)-1</f>
        <v>#REF!</v>
      </c>
      <c r="AT95" s="29" t="e">
        <f>(#REF!/AR95)-1</f>
        <v>#REF!</v>
      </c>
    </row>
    <row r="96" spans="1:46">
      <c r="A96" s="202" t="s">
        <v>120</v>
      </c>
      <c r="B96" s="326">
        <v>5839257050.3199997</v>
      </c>
      <c r="C96" s="326">
        <v>460.31</v>
      </c>
      <c r="D96" s="326">
        <v>5848133666.3100004</v>
      </c>
      <c r="E96" s="326">
        <v>460.5</v>
      </c>
      <c r="F96" s="23">
        <f>((D96-B96)/B96)</f>
        <v>1.5201618824974101E-3</v>
      </c>
      <c r="G96" s="23">
        <f>((E96-C96)/C96)</f>
        <v>4.1276531033433494E-4</v>
      </c>
      <c r="H96" s="326">
        <v>5891862899.6499996</v>
      </c>
      <c r="I96" s="326">
        <v>460.53</v>
      </c>
      <c r="J96" s="23">
        <f t="shared" ref="J96" si="85">((H96-D96)/D96)</f>
        <v>7.4774681693606116E-3</v>
      </c>
      <c r="K96" s="23">
        <f t="shared" si="78"/>
        <v>6.5146579804501004E-5</v>
      </c>
      <c r="L96" s="326">
        <v>5904820210.9300003</v>
      </c>
      <c r="M96" s="326">
        <v>460.81</v>
      </c>
      <c r="N96" s="23">
        <f t="shared" ref="N96" si="86">((L96-H96)/H96)</f>
        <v>2.1991875066832262E-3</v>
      </c>
      <c r="O96" s="23">
        <f t="shared" si="79"/>
        <v>6.0799513603897594E-4</v>
      </c>
      <c r="P96" s="326">
        <v>5911798377.3400002</v>
      </c>
      <c r="Q96" s="326">
        <v>461.06</v>
      </c>
      <c r="R96" s="23">
        <f t="shared" ref="R96" si="87">((P96-L96)/L96)</f>
        <v>1.1817745775024701E-3</v>
      </c>
      <c r="S96" s="23">
        <f t="shared" si="80"/>
        <v>5.4252294872073092E-4</v>
      </c>
      <c r="T96" s="326">
        <v>5849124867.54</v>
      </c>
      <c r="U96" s="326">
        <v>461.55</v>
      </c>
      <c r="V96" s="23">
        <f t="shared" ref="V96" si="88">((T96-P96)/P96)</f>
        <v>-1.0601428837666143E-2</v>
      </c>
      <c r="W96" s="23">
        <f t="shared" si="81"/>
        <v>1.0627684032447167E-3</v>
      </c>
      <c r="X96" s="326">
        <v>5919393244.4200001</v>
      </c>
      <c r="Y96" s="326">
        <v>462.88</v>
      </c>
      <c r="Z96" s="23">
        <f t="shared" ref="Z96" si="89">((X96-T96)/T96)</f>
        <v>1.201348551643304E-2</v>
      </c>
      <c r="AA96" s="23">
        <f t="shared" si="82"/>
        <v>2.8815946268009622E-3</v>
      </c>
      <c r="AB96" s="326">
        <v>7169191969.5200005</v>
      </c>
      <c r="AC96" s="326">
        <v>588.95000000000005</v>
      </c>
      <c r="AD96" s="23">
        <f t="shared" ref="AD96" si="90">((AB96-X96)/X96)</f>
        <v>0.21113628939556278</v>
      </c>
      <c r="AE96" s="23">
        <f t="shared" si="83"/>
        <v>0.27236000691323897</v>
      </c>
      <c r="AF96" s="326">
        <v>9530705087.2399998</v>
      </c>
      <c r="AG96" s="326">
        <v>742.77</v>
      </c>
      <c r="AH96" s="23">
        <f t="shared" ref="AH96" si="91">((AF96-AB96)/AB96)</f>
        <v>0.32939738923996337</v>
      </c>
      <c r="AI96" s="23">
        <f t="shared" si="84"/>
        <v>0.26117667034553005</v>
      </c>
      <c r="AJ96" s="24">
        <f t="shared" si="72"/>
        <v>6.9290540931292097E-2</v>
      </c>
      <c r="AK96" s="24">
        <f t="shared" si="73"/>
        <v>6.7388683782964157E-2</v>
      </c>
      <c r="AL96" s="25">
        <f t="shared" si="74"/>
        <v>0.62970028235582265</v>
      </c>
      <c r="AM96" s="25">
        <f t="shared" si="75"/>
        <v>0.61296416938110743</v>
      </c>
      <c r="AN96" s="466">
        <f t="shared" si="76"/>
        <v>0.12817003817713085</v>
      </c>
      <c r="AO96" s="467">
        <f t="shared" si="77"/>
        <v>0.12309904290874327</v>
      </c>
      <c r="AP96" s="30"/>
      <c r="AQ96" s="28">
        <v>1066913090.3099999</v>
      </c>
      <c r="AR96" s="32">
        <v>1.1691</v>
      </c>
      <c r="AS96" s="29" t="e">
        <f>(#REF!/AQ96)-1</f>
        <v>#REF!</v>
      </c>
      <c r="AT96" s="29" t="e">
        <f>(#REF!/AR96)-1</f>
        <v>#REF!</v>
      </c>
    </row>
    <row r="97" spans="1:46" s="302" customFormat="1">
      <c r="A97" s="213" t="s">
        <v>250</v>
      </c>
      <c r="B97" s="326">
        <f>1569661.91*460.81</f>
        <v>723315904.7471</v>
      </c>
      <c r="C97" s="326">
        <f>101.05*460.81</f>
        <v>46564.8505</v>
      </c>
      <c r="D97" s="326">
        <f>1573650.61*461</f>
        <v>725452931.21000004</v>
      </c>
      <c r="E97" s="326">
        <f>101.24*461</f>
        <v>46671.64</v>
      </c>
      <c r="F97" s="23">
        <f>((D97-B97)/B97)</f>
        <v>2.9544856526378081E-3</v>
      </c>
      <c r="G97" s="23">
        <f>((E97-C97)/C97)</f>
        <v>2.2933500022726144E-3</v>
      </c>
      <c r="H97" s="326">
        <f>1754294.48*461.03</f>
        <v>808782384.11439991</v>
      </c>
      <c r="I97" s="326">
        <f>101.42*461.03</f>
        <v>46757.662599999996</v>
      </c>
      <c r="J97" s="23">
        <f>((H97-D97)/D97)</f>
        <v>0.11486541623784291</v>
      </c>
      <c r="K97" s="23">
        <f t="shared" si="78"/>
        <v>1.8431450019754309E-3</v>
      </c>
      <c r="L97" s="326">
        <f>1778343.24*461.31</f>
        <v>820367520.04439998</v>
      </c>
      <c r="M97" s="326">
        <f>101.62*461.31</f>
        <v>46878.322200000002</v>
      </c>
      <c r="N97" s="23">
        <f>((L97-H97)/H97)</f>
        <v>1.4324169464553253E-2</v>
      </c>
      <c r="O97" s="23">
        <f t="shared" si="79"/>
        <v>2.5805310464772106E-3</v>
      </c>
      <c r="P97" s="326">
        <f>1800743.84*461.45</f>
        <v>830953244.96800005</v>
      </c>
      <c r="Q97" s="326">
        <f>101.83*461.45</f>
        <v>46989.453499999996</v>
      </c>
      <c r="R97" s="23">
        <f>((P97-L97)/L97)</f>
        <v>1.2903637290548943E-2</v>
      </c>
      <c r="S97" s="23">
        <f t="shared" si="80"/>
        <v>2.3706330513679017E-3</v>
      </c>
      <c r="T97" s="326">
        <f>1785067.5*462.05</f>
        <v>824790438.375</v>
      </c>
      <c r="U97" s="326">
        <f>102*462.05</f>
        <v>47129.1</v>
      </c>
      <c r="V97" s="23">
        <f>((T97-P97)/P97)</f>
        <v>-7.4165503658841642E-3</v>
      </c>
      <c r="W97" s="23">
        <f t="shared" si="81"/>
        <v>2.9718689960929758E-3</v>
      </c>
      <c r="X97" s="326">
        <f>1871731.68*462.9</f>
        <v>866424594.67199993</v>
      </c>
      <c r="Y97" s="326">
        <f>102*462.05</f>
        <v>47129.1</v>
      </c>
      <c r="Z97" s="23">
        <f>((X97-T97)/T97)</f>
        <v>5.0478466238075503E-2</v>
      </c>
      <c r="AA97" s="23">
        <f t="shared" si="82"/>
        <v>0</v>
      </c>
      <c r="AB97" s="326">
        <f>2009282.34*589.45</f>
        <v>1184371475.3130002</v>
      </c>
      <c r="AC97" s="326">
        <f>102.4*589.45</f>
        <v>60359.680000000008</v>
      </c>
      <c r="AD97" s="23">
        <f>((AB97-X97)/X97)</f>
        <v>0.36696428355818383</v>
      </c>
      <c r="AE97" s="23">
        <f t="shared" si="83"/>
        <v>0.28073058895671699</v>
      </c>
      <c r="AF97" s="326">
        <f>2020647.39*743.27</f>
        <v>1501886585.5653</v>
      </c>
      <c r="AG97" s="326">
        <f>102.61*743.27</f>
        <v>76266.934699999998</v>
      </c>
      <c r="AH97" s="23">
        <f>((AF97-AB97)/AB97)</f>
        <v>0.26808743444989536</v>
      </c>
      <c r="AI97" s="23">
        <f t="shared" si="84"/>
        <v>0.26354107079427835</v>
      </c>
      <c r="AJ97" s="24">
        <f t="shared" si="72"/>
        <v>0.10289516781573169</v>
      </c>
      <c r="AK97" s="24">
        <f t="shared" si="73"/>
        <v>6.9541398481147682E-2</v>
      </c>
      <c r="AL97" s="25">
        <f t="shared" si="74"/>
        <v>1.0702743361451004</v>
      </c>
      <c r="AM97" s="25">
        <f t="shared" si="75"/>
        <v>0.63411730764121421</v>
      </c>
      <c r="AN97" s="466">
        <f t="shared" si="76"/>
        <v>0.14041361997983745</v>
      </c>
      <c r="AO97" s="467">
        <f t="shared" si="77"/>
        <v>0.12513151848827875</v>
      </c>
      <c r="AP97" s="30"/>
      <c r="AQ97" s="28"/>
      <c r="AR97" s="32"/>
      <c r="AS97" s="29"/>
      <c r="AT97" s="29"/>
    </row>
    <row r="98" spans="1:46" s="302" customFormat="1">
      <c r="A98" s="213" t="s">
        <v>127</v>
      </c>
      <c r="B98" s="326">
        <f>1719589.23*460.81</f>
        <v>792403913.07630002</v>
      </c>
      <c r="C98" s="326">
        <f>128.23*460.81</f>
        <v>59089.666299999997</v>
      </c>
      <c r="D98" s="326">
        <f>1720954.35*461</f>
        <v>793359955.35000002</v>
      </c>
      <c r="E98" s="326">
        <f>128.42*461</f>
        <v>59201.619999999995</v>
      </c>
      <c r="F98" s="23">
        <f>((D110-B98)/B98)</f>
        <v>5.8477130795257946</v>
      </c>
      <c r="G98" s="23">
        <f>((E98-C98)/C98)</f>
        <v>1.8946409247194921E-3</v>
      </c>
      <c r="H98" s="326">
        <f>1722269.22*461.03</f>
        <v>794017778.49659991</v>
      </c>
      <c r="I98" s="326">
        <f>128.553101*461.03</f>
        <v>59266.836154029996</v>
      </c>
      <c r="J98" s="23">
        <f>((H110-D98)/D98)</f>
        <v>5.9373329051778683</v>
      </c>
      <c r="K98" s="23">
        <f t="shared" si="78"/>
        <v>1.1015940785066411E-3</v>
      </c>
      <c r="L98" s="326">
        <f>1711619.73*461.31</f>
        <v>789587297.64629996</v>
      </c>
      <c r="M98" s="326">
        <f>130.84*461.31</f>
        <v>60357.8004</v>
      </c>
      <c r="N98" s="23">
        <f>((L110-H98)/H98)</f>
        <v>5.9737403026344342</v>
      </c>
      <c r="O98" s="23">
        <f t="shared" si="79"/>
        <v>1.8407668044480581E-2</v>
      </c>
      <c r="P98" s="326">
        <f>1671595.37*461.45</f>
        <v>771357683.48650002</v>
      </c>
      <c r="Q98" s="326">
        <f>127.9*461.45</f>
        <v>59019.455000000002</v>
      </c>
      <c r="R98" s="23">
        <f>((P110-L98)/L98)</f>
        <v>6.181730458726526</v>
      </c>
      <c r="S98" s="23">
        <f t="shared" si="80"/>
        <v>-2.2173528377949277E-2</v>
      </c>
      <c r="T98" s="326">
        <f>1681287.76*462.05</f>
        <v>776839009.50800002</v>
      </c>
      <c r="U98" s="326">
        <f>128.66*462.05</f>
        <v>59447.353000000003</v>
      </c>
      <c r="V98" s="23">
        <f>((T110-P98)/P98)</f>
        <v>6.4829774282672581</v>
      </c>
      <c r="W98" s="23">
        <f t="shared" si="81"/>
        <v>7.2501177789595144E-3</v>
      </c>
      <c r="X98" s="326">
        <f>1671501.35*462.9</f>
        <v>773737974.91499996</v>
      </c>
      <c r="Y98" s="326">
        <f>127.96*462.9</f>
        <v>59232.683999999994</v>
      </c>
      <c r="Z98" s="23">
        <f>((X110-T98)/T98)</f>
        <v>6.7564445457575175</v>
      </c>
      <c r="AA98" s="23">
        <f t="shared" si="82"/>
        <v>-3.6110775192969308E-3</v>
      </c>
      <c r="AB98" s="326">
        <f>1696598.64*589.45</f>
        <v>1000060068.348</v>
      </c>
      <c r="AC98" s="326">
        <f>126.2*589.45</f>
        <v>74388.590000000011</v>
      </c>
      <c r="AD98" s="23">
        <f>((AB110-X98)/X98)</f>
        <v>9.1181842619396392</v>
      </c>
      <c r="AE98" s="23">
        <f t="shared" si="83"/>
        <v>0.25587066086689603</v>
      </c>
      <c r="AF98" s="326">
        <f>1702290.92*743.27</f>
        <v>1265261772.1083999</v>
      </c>
      <c r="AG98" s="326">
        <f>130.28*743.27</f>
        <v>96833.215599999996</v>
      </c>
      <c r="AH98" s="23">
        <f>((AF110-AB98)/AB98)</f>
        <v>10.042381233331328</v>
      </c>
      <c r="AI98" s="23">
        <f t="shared" si="84"/>
        <v>0.30172134731952821</v>
      </c>
      <c r="AJ98" s="24">
        <f t="shared" si="72"/>
        <v>7.0425630269200452</v>
      </c>
      <c r="AK98" s="24">
        <f t="shared" si="73"/>
        <v>7.005767788948053E-2</v>
      </c>
      <c r="AL98" s="25">
        <f t="shared" si="74"/>
        <v>0.59481426252502856</v>
      </c>
      <c r="AM98" s="25">
        <f t="shared" si="75"/>
        <v>0.63565145007856205</v>
      </c>
      <c r="AN98" s="466">
        <f t="shared" si="76"/>
        <v>1.6139891730681948</v>
      </c>
      <c r="AO98" s="467">
        <f t="shared" si="77"/>
        <v>0.1299130783785912</v>
      </c>
      <c r="AP98" s="30"/>
      <c r="AQ98" s="28"/>
      <c r="AR98" s="32"/>
      <c r="AS98" s="29"/>
      <c r="AT98" s="29"/>
    </row>
    <row r="99" spans="1:46">
      <c r="A99" s="213" t="s">
        <v>165</v>
      </c>
      <c r="B99" s="326">
        <v>69076569590.919998</v>
      </c>
      <c r="C99" s="326">
        <v>59180.85</v>
      </c>
      <c r="D99" s="326">
        <v>68829528747.479996</v>
      </c>
      <c r="E99" s="326">
        <v>59163.86</v>
      </c>
      <c r="F99" s="23">
        <f>((D111-B99)/B99)</f>
        <v>3.8430177431957708</v>
      </c>
      <c r="G99" s="23">
        <f>((E99-C99)/C99)</f>
        <v>-2.8708610978040979E-4</v>
      </c>
      <c r="H99" s="326">
        <v>67931334769.089996</v>
      </c>
      <c r="I99" s="326">
        <v>59234.32</v>
      </c>
      <c r="J99" s="23">
        <f>((H111-D99)/D99)</f>
        <v>3.8143956672398494</v>
      </c>
      <c r="K99" s="23">
        <f t="shared" si="78"/>
        <v>1.1909297331174661E-3</v>
      </c>
      <c r="L99" s="326">
        <v>68183648509.949997</v>
      </c>
      <c r="M99" s="326">
        <v>59234.32</v>
      </c>
      <c r="N99" s="23">
        <f>((L111-H99)/H99)</f>
        <v>3.8526593944782639</v>
      </c>
      <c r="O99" s="23">
        <f t="shared" si="79"/>
        <v>0</v>
      </c>
      <c r="P99" s="326">
        <v>68538673455.510002</v>
      </c>
      <c r="Q99" s="326">
        <v>59645.36</v>
      </c>
      <c r="R99" s="23">
        <f>((P111-L99)/L99)</f>
        <v>3.8678627510029853</v>
      </c>
      <c r="S99" s="23">
        <f t="shared" si="80"/>
        <v>6.9392203708931047E-3</v>
      </c>
      <c r="T99" s="326">
        <v>68524697698.400002</v>
      </c>
      <c r="U99" s="326">
        <v>59699.360000000001</v>
      </c>
      <c r="V99" s="23">
        <f>((T111-P99)/P99)</f>
        <v>3.8426198466387307</v>
      </c>
      <c r="W99" s="23">
        <f t="shared" si="81"/>
        <v>9.0535122933284328E-4</v>
      </c>
      <c r="X99" s="326">
        <v>70083833814.229996</v>
      </c>
      <c r="Y99" s="326">
        <v>60764.87</v>
      </c>
      <c r="Z99" s="23">
        <f>((X111-T99)/T99)</f>
        <v>3.9412449190309524</v>
      </c>
      <c r="AA99" s="23">
        <f t="shared" si="82"/>
        <v>1.7847930028060635E-2</v>
      </c>
      <c r="AB99" s="326">
        <v>100063914841.14</v>
      </c>
      <c r="AC99" s="326">
        <v>85352.41</v>
      </c>
      <c r="AD99" s="23">
        <f>((AB111-X99)/X99)</f>
        <v>5.7133661102234257</v>
      </c>
      <c r="AE99" s="23">
        <f t="shared" si="83"/>
        <v>0.40463412494752315</v>
      </c>
      <c r="AF99" s="326">
        <v>115594181627.23</v>
      </c>
      <c r="AG99" s="326">
        <v>92516.67</v>
      </c>
      <c r="AH99" s="23">
        <f>((AF111-AB99)/AB99)</f>
        <v>4.5016793932661558</v>
      </c>
      <c r="AI99" s="23">
        <f t="shared" si="84"/>
        <v>8.3937407274147197E-2</v>
      </c>
      <c r="AJ99" s="24">
        <f t="shared" si="72"/>
        <v>4.1721057281345173</v>
      </c>
      <c r="AK99" s="24">
        <f t="shared" si="73"/>
        <v>6.4395984684161744E-2</v>
      </c>
      <c r="AL99" s="25">
        <f t="shared" si="74"/>
        <v>0.67942718380825995</v>
      </c>
      <c r="AM99" s="25">
        <f t="shared" si="75"/>
        <v>0.56373620652878287</v>
      </c>
      <c r="AN99" s="466">
        <f t="shared" si="76"/>
        <v>0.66298299527284765</v>
      </c>
      <c r="AO99" s="467">
        <f t="shared" si="77"/>
        <v>0.14039156590609911</v>
      </c>
      <c r="AP99" s="30"/>
      <c r="AQ99" s="28">
        <v>4173976375.3699999</v>
      </c>
      <c r="AR99" s="32">
        <v>299.53579999999999</v>
      </c>
      <c r="AS99" s="29" t="e">
        <f>(#REF!/AQ99)-1</f>
        <v>#REF!</v>
      </c>
      <c r="AT99" s="29" t="e">
        <f>(#REF!/AR99)-1</f>
        <v>#REF!</v>
      </c>
    </row>
    <row r="100" spans="1:46" ht="6.75" customHeight="1">
      <c r="A100" s="204"/>
      <c r="B100" s="85"/>
      <c r="C100" s="85"/>
      <c r="D100" s="85"/>
      <c r="E100" s="85"/>
      <c r="F100" s="23"/>
      <c r="G100" s="23"/>
      <c r="H100" s="85"/>
      <c r="I100" s="85"/>
      <c r="J100" s="23"/>
      <c r="K100" s="23"/>
      <c r="L100" s="85"/>
      <c r="M100" s="85"/>
      <c r="N100" s="23"/>
      <c r="O100" s="23"/>
      <c r="P100" s="85"/>
      <c r="Q100" s="85"/>
      <c r="R100" s="23"/>
      <c r="S100" s="23"/>
      <c r="T100" s="85"/>
      <c r="U100" s="85"/>
      <c r="V100" s="23"/>
      <c r="W100" s="23"/>
      <c r="X100" s="85"/>
      <c r="Y100" s="326"/>
      <c r="Z100" s="23"/>
      <c r="AA100" s="23"/>
      <c r="AB100" s="85"/>
      <c r="AC100" s="85"/>
      <c r="AD100" s="23"/>
      <c r="AE100" s="23"/>
      <c r="AF100" s="85"/>
      <c r="AG100" s="85"/>
      <c r="AH100" s="23"/>
      <c r="AI100" s="23"/>
      <c r="AJ100" s="24"/>
      <c r="AK100" s="24"/>
      <c r="AL100" s="25"/>
      <c r="AM100" s="25"/>
      <c r="AN100" s="466"/>
      <c r="AO100" s="467"/>
      <c r="AP100" s="30"/>
      <c r="AQ100" s="50">
        <v>4131236617.7600002</v>
      </c>
      <c r="AR100" s="48">
        <v>103.24</v>
      </c>
      <c r="AS100" s="29" t="e">
        <f>(#REF!/AQ100)-1</f>
        <v>#REF!</v>
      </c>
      <c r="AT100" s="29" t="e">
        <f>(#REF!/AR100)-1</f>
        <v>#REF!</v>
      </c>
    </row>
    <row r="101" spans="1:46">
      <c r="A101" s="200" t="s">
        <v>197</v>
      </c>
      <c r="B101" s="85"/>
      <c r="C101" s="85"/>
      <c r="D101" s="85"/>
      <c r="E101" s="85"/>
      <c r="F101" s="23"/>
      <c r="G101" s="23"/>
      <c r="H101" s="85"/>
      <c r="I101" s="85"/>
      <c r="J101" s="23"/>
      <c r="K101" s="23"/>
      <c r="L101" s="85"/>
      <c r="M101" s="85"/>
      <c r="N101" s="23"/>
      <c r="O101" s="23"/>
      <c r="P101" s="85"/>
      <c r="Q101" s="85"/>
      <c r="R101" s="23"/>
      <c r="S101" s="23"/>
      <c r="T101" s="85"/>
      <c r="U101" s="85"/>
      <c r="V101" s="23"/>
      <c r="W101" s="23"/>
      <c r="X101" s="85"/>
      <c r="Y101" s="85"/>
      <c r="Z101" s="23"/>
      <c r="AA101" s="23"/>
      <c r="AB101" s="85"/>
      <c r="AC101" s="85"/>
      <c r="AD101" s="23"/>
      <c r="AE101" s="23"/>
      <c r="AF101" s="85"/>
      <c r="AG101" s="85"/>
      <c r="AH101" s="23"/>
      <c r="AI101" s="23"/>
      <c r="AJ101" s="24"/>
      <c r="AK101" s="24"/>
      <c r="AL101" s="25"/>
      <c r="AM101" s="25"/>
      <c r="AN101" s="466"/>
      <c r="AO101" s="467"/>
      <c r="AP101" s="30"/>
      <c r="AQ101" s="45">
        <v>2931134847.0043802</v>
      </c>
      <c r="AR101" s="49">
        <v>2254.1853324818899</v>
      </c>
      <c r="AS101" s="29" t="e">
        <f>(#REF!/AQ101)-1</f>
        <v>#REF!</v>
      </c>
      <c r="AT101" s="29" t="e">
        <f>(#REF!/AR101)-1</f>
        <v>#REF!</v>
      </c>
    </row>
    <row r="102" spans="1:46">
      <c r="A102" s="202" t="s">
        <v>148</v>
      </c>
      <c r="B102" s="325">
        <v>390563596.22000003</v>
      </c>
      <c r="C102" s="326">
        <v>42122.03</v>
      </c>
      <c r="D102" s="325">
        <v>390563596.22000003</v>
      </c>
      <c r="E102" s="326">
        <v>42122.03</v>
      </c>
      <c r="F102" s="23">
        <f>((D102-B102)/B102)</f>
        <v>0</v>
      </c>
      <c r="G102" s="23">
        <f>((E102-C102)/C102)</f>
        <v>0</v>
      </c>
      <c r="H102" s="325">
        <v>390563596.22000003</v>
      </c>
      <c r="I102" s="326">
        <v>42122.03</v>
      </c>
      <c r="J102" s="23">
        <f t="shared" ref="J102:J109" si="92">((H102-D102)/D102)</f>
        <v>0</v>
      </c>
      <c r="K102" s="23">
        <f t="shared" ref="K102:K109" si="93">((I102-E102)/E102)</f>
        <v>0</v>
      </c>
      <c r="L102" s="325">
        <v>392500040.07999998</v>
      </c>
      <c r="M102" s="326">
        <v>42333.79</v>
      </c>
      <c r="N102" s="23">
        <f t="shared" ref="N102:N109" si="94">((L102-H102)/H102)</f>
        <v>4.9580756597426912E-3</v>
      </c>
      <c r="O102" s="23">
        <f t="shared" ref="O102:O109" si="95">((M102-I102)/I102)</f>
        <v>5.027298067068516E-3</v>
      </c>
      <c r="P102" s="325">
        <v>396647568.00999999</v>
      </c>
      <c r="Q102" s="326">
        <v>42757.31</v>
      </c>
      <c r="R102" s="23">
        <f t="shared" ref="R102:R109" si="96">((P102-L102)/L102)</f>
        <v>1.0566949061087105E-2</v>
      </c>
      <c r="S102" s="23">
        <f t="shared" ref="S102:S109" si="97">((Q102-M102)/M102)</f>
        <v>1.0004301528400759E-2</v>
      </c>
      <c r="T102" s="325">
        <v>407587039.99000001</v>
      </c>
      <c r="U102" s="326">
        <v>43935.8</v>
      </c>
      <c r="V102" s="23">
        <f t="shared" ref="V102:V109" si="98">((T102-P102)/P102)</f>
        <v>2.7579828700031814E-2</v>
      </c>
      <c r="W102" s="23">
        <f t="shared" ref="W102:W109" si="99">((U102-Q102)/Q102)</f>
        <v>2.7562304550964627E-2</v>
      </c>
      <c r="X102" s="325">
        <v>405114500.13999999</v>
      </c>
      <c r="Y102" s="326">
        <v>43668.800000000003</v>
      </c>
      <c r="Z102" s="23">
        <f t="shared" ref="Z102:Z109" si="100">((X102-T102)/T102)</f>
        <v>-6.0662867250653668E-3</v>
      </c>
      <c r="AA102" s="23">
        <f t="shared" ref="AA102:AA109" si="101">((Y102-U102)/U102)</f>
        <v>-6.0770487848178477E-3</v>
      </c>
      <c r="AB102" s="325">
        <v>419170905.30000001</v>
      </c>
      <c r="AC102" s="326">
        <v>45183.35</v>
      </c>
      <c r="AD102" s="23">
        <f t="shared" ref="AD102:AD109" si="102">((AB102-X102)/X102)</f>
        <v>3.4697363720978626E-2</v>
      </c>
      <c r="AE102" s="23">
        <f t="shared" ref="AE102:AE109" si="103">((AC102-Y102)/Y102)</f>
        <v>3.4682656725167522E-2</v>
      </c>
      <c r="AF102" s="325">
        <v>404929163.23000002</v>
      </c>
      <c r="AG102" s="326">
        <v>44879.519999999997</v>
      </c>
      <c r="AH102" s="23">
        <f t="shared" ref="AH102:AH109" si="104">((AF102-AB102)/AB102)</f>
        <v>-3.3975979463095607E-2</v>
      </c>
      <c r="AI102" s="23">
        <f t="shared" ref="AI102:AI109" si="105">((AG102-AC102)/AC102)</f>
        <v>-6.724379666403703E-3</v>
      </c>
      <c r="AJ102" s="24">
        <f t="shared" si="72"/>
        <v>4.7199938692099076E-3</v>
      </c>
      <c r="AK102" s="24">
        <f t="shared" si="73"/>
        <v>8.0593915525474843E-3</v>
      </c>
      <c r="AL102" s="25">
        <f t="shared" si="74"/>
        <v>3.6781633385790595E-2</v>
      </c>
      <c r="AM102" s="25">
        <f t="shared" si="75"/>
        <v>6.5464318789953804E-2</v>
      </c>
      <c r="AN102" s="466">
        <f t="shared" si="76"/>
        <v>2.1090746803551726E-2</v>
      </c>
      <c r="AO102" s="467">
        <f t="shared" si="77"/>
        <v>1.535505757004166E-2</v>
      </c>
      <c r="AP102" s="30"/>
      <c r="AQ102" s="51">
        <v>1131224777.76</v>
      </c>
      <c r="AR102" s="52">
        <v>0.6573</v>
      </c>
      <c r="AS102" s="29" t="e">
        <f>(#REF!/AQ102)-1</f>
        <v>#REF!</v>
      </c>
      <c r="AT102" s="29" t="e">
        <f>(#REF!/AR102)-1</f>
        <v>#REF!</v>
      </c>
    </row>
    <row r="103" spans="1:46">
      <c r="A103" s="202" t="s">
        <v>227</v>
      </c>
      <c r="B103" s="326">
        <f>6373878.32*460.81</f>
        <v>2937146868.6392002</v>
      </c>
      <c r="C103" s="325">
        <f>126.65*460.81</f>
        <v>58361.586500000005</v>
      </c>
      <c r="D103" s="326">
        <f>6373878.32  *461</f>
        <v>2938357905.52</v>
      </c>
      <c r="E103" s="325">
        <f>126.65*461</f>
        <v>58385.65</v>
      </c>
      <c r="F103" s="23">
        <f>((D103-B103)/B103)</f>
        <v>4.1231744102767726E-4</v>
      </c>
      <c r="G103" s="23">
        <f>((E103-C103)/C103)</f>
        <v>4.1231744102769661E-4</v>
      </c>
      <c r="H103" s="326">
        <f>6439295.42*461.03</f>
        <v>2968708367.4825997</v>
      </c>
      <c r="I103" s="325">
        <f>126.86*461.03</f>
        <v>58486.265799999994</v>
      </c>
      <c r="J103" s="23">
        <f t="shared" si="92"/>
        <v>1.0329055526416086E-2</v>
      </c>
      <c r="K103" s="23">
        <f t="shared" si="93"/>
        <v>1.7232967347283502E-3</v>
      </c>
      <c r="L103" s="326">
        <f>6247220.02 *461.31</f>
        <v>2881905067.4261999</v>
      </c>
      <c r="M103" s="325">
        <f>126.96*461.31</f>
        <v>58567.917600000001</v>
      </c>
      <c r="N103" s="23">
        <f t="shared" si="94"/>
        <v>-2.9239416376222613E-2</v>
      </c>
      <c r="O103" s="23">
        <f t="shared" si="95"/>
        <v>1.3960850275383271E-3</v>
      </c>
      <c r="P103" s="326">
        <f>6364661.44*461.45</f>
        <v>2936973021.4879999</v>
      </c>
      <c r="Q103" s="325">
        <f>124.33*461.45</f>
        <v>57372.078499999996</v>
      </c>
      <c r="R103" s="23">
        <f t="shared" si="96"/>
        <v>1.9108177671855315E-2</v>
      </c>
      <c r="S103" s="23">
        <f t="shared" si="97"/>
        <v>-2.0417989045934674E-2</v>
      </c>
      <c r="T103" s="326">
        <f>6360783.27 *462.05</f>
        <v>2938999909.9035001</v>
      </c>
      <c r="U103" s="325">
        <f>127.16*462.05</f>
        <v>58754.277999999998</v>
      </c>
      <c r="V103" s="23">
        <f t="shared" si="98"/>
        <v>6.9012837389743984E-4</v>
      </c>
      <c r="W103" s="23">
        <f t="shared" si="99"/>
        <v>2.4091849835979055E-2</v>
      </c>
      <c r="X103" s="326">
        <f>6291162.22*462.9</f>
        <v>2912178991.6379995</v>
      </c>
      <c r="Y103" s="325">
        <f>127.26*462.9</f>
        <v>58908.654000000002</v>
      </c>
      <c r="Z103" s="23">
        <f t="shared" si="100"/>
        <v>-9.1258656303875793E-3</v>
      </c>
      <c r="AA103" s="23">
        <f t="shared" si="101"/>
        <v>2.62748527009393E-3</v>
      </c>
      <c r="AB103" s="326">
        <f>6112359.3*589.45</f>
        <v>3602930189.3850002</v>
      </c>
      <c r="AC103" s="325">
        <f>127.37*589.45</f>
        <v>75078.246500000008</v>
      </c>
      <c r="AD103" s="23">
        <f t="shared" si="102"/>
        <v>0.23719393613181625</v>
      </c>
      <c r="AE103" s="23">
        <f t="shared" si="103"/>
        <v>0.27448585907259071</v>
      </c>
      <c r="AF103" s="326">
        <f>6337526.48 *743.27</f>
        <v>4710493306.7896004</v>
      </c>
      <c r="AG103" s="325">
        <f>127.47*743.27</f>
        <v>94744.626900000003</v>
      </c>
      <c r="AH103" s="23">
        <f t="shared" si="104"/>
        <v>0.30740621083020619</v>
      </c>
      <c r="AI103" s="23">
        <f t="shared" si="105"/>
        <v>0.26194512148069404</v>
      </c>
      <c r="AJ103" s="24">
        <f t="shared" si="72"/>
        <v>6.70968179960761E-2</v>
      </c>
      <c r="AK103" s="24">
        <f t="shared" si="73"/>
        <v>6.8283003227089689E-2</v>
      </c>
      <c r="AL103" s="25">
        <f t="shared" si="74"/>
        <v>0.60310399830479</v>
      </c>
      <c r="AM103" s="25">
        <f t="shared" si="75"/>
        <v>0.62273823961881047</v>
      </c>
      <c r="AN103" s="466">
        <f t="shared" si="76"/>
        <v>0.12881568279160865</v>
      </c>
      <c r="AO103" s="467">
        <f t="shared" si="77"/>
        <v>0.12401986549133617</v>
      </c>
      <c r="AP103" s="30"/>
      <c r="AQ103" s="28">
        <v>318569106.36000001</v>
      </c>
      <c r="AR103" s="35">
        <v>123.8</v>
      </c>
      <c r="AS103" s="29" t="e">
        <f>(#REF!/AQ103)-1</f>
        <v>#REF!</v>
      </c>
      <c r="AT103" s="29" t="e">
        <f>(#REF!/AR103)-1</f>
        <v>#REF!</v>
      </c>
    </row>
    <row r="104" spans="1:46">
      <c r="A104" s="202" t="s">
        <v>142</v>
      </c>
      <c r="B104" s="325">
        <v>5687033592.8299999</v>
      </c>
      <c r="C104" s="325">
        <v>53038.09</v>
      </c>
      <c r="D104" s="325">
        <v>5714030357.4499998</v>
      </c>
      <c r="E104" s="325">
        <v>53162.43</v>
      </c>
      <c r="F104" s="23">
        <f>((D104-B104)/B104)</f>
        <v>4.7470731760818861E-3</v>
      </c>
      <c r="G104" s="23">
        <f>((E104-C104)/C104)</f>
        <v>2.3443528980776605E-3</v>
      </c>
      <c r="H104" s="325">
        <v>5686187129.4399996</v>
      </c>
      <c r="I104" s="325">
        <v>51007.199999999997</v>
      </c>
      <c r="J104" s="23">
        <f t="shared" si="92"/>
        <v>-4.8727826539629775E-3</v>
      </c>
      <c r="K104" s="23">
        <f t="shared" si="93"/>
        <v>-4.0540471908451198E-2</v>
      </c>
      <c r="L104" s="325">
        <v>5680666365.0200005</v>
      </c>
      <c r="M104" s="325">
        <v>51067.06</v>
      </c>
      <c r="N104" s="23">
        <f t="shared" si="94"/>
        <v>-9.7090797300982096E-4</v>
      </c>
      <c r="O104" s="23">
        <f t="shared" si="95"/>
        <v>1.1735598111639255E-3</v>
      </c>
      <c r="P104" s="325">
        <v>5630849867.3000002</v>
      </c>
      <c r="Q104" s="325">
        <v>51103.9</v>
      </c>
      <c r="R104" s="23">
        <f t="shared" si="96"/>
        <v>-8.7694813458429315E-3</v>
      </c>
      <c r="S104" s="23">
        <f t="shared" si="97"/>
        <v>7.2140436516227458E-4</v>
      </c>
      <c r="T104" s="325">
        <v>5508653671.4499998</v>
      </c>
      <c r="U104" s="325">
        <v>51163.77</v>
      </c>
      <c r="V104" s="23">
        <f t="shared" si="98"/>
        <v>-2.1701199415674284E-2</v>
      </c>
      <c r="W104" s="23">
        <f t="shared" si="99"/>
        <v>1.1715348535042403E-3</v>
      </c>
      <c r="X104" s="325">
        <v>5105961582.3199997</v>
      </c>
      <c r="Y104" s="325">
        <v>51251.27</v>
      </c>
      <c r="Z104" s="23">
        <f t="shared" si="100"/>
        <v>-7.3101725602583142E-2</v>
      </c>
      <c r="AA104" s="23">
        <f t="shared" si="101"/>
        <v>1.7101945380490922E-3</v>
      </c>
      <c r="AB104" s="325">
        <v>7028962530.79</v>
      </c>
      <c r="AC104" s="325">
        <v>70541.2</v>
      </c>
      <c r="AD104" s="23">
        <f t="shared" si="102"/>
        <v>0.37661876562656094</v>
      </c>
      <c r="AE104" s="23">
        <f t="shared" si="103"/>
        <v>0.37637955117990252</v>
      </c>
      <c r="AF104" s="325">
        <v>6799890710.54</v>
      </c>
      <c r="AG104" s="325">
        <v>70718.38</v>
      </c>
      <c r="AH104" s="23">
        <f t="shared" si="104"/>
        <v>-3.258970569932091E-2</v>
      </c>
      <c r="AI104" s="23">
        <f t="shared" si="105"/>
        <v>2.5117236451890181E-3</v>
      </c>
      <c r="AJ104" s="24">
        <f t="shared" si="72"/>
        <v>2.9920004514031096E-2</v>
      </c>
      <c r="AK104" s="24">
        <f t="shared" si="73"/>
        <v>4.3183981172824695E-2</v>
      </c>
      <c r="AL104" s="25">
        <f t="shared" si="74"/>
        <v>0.19003405392732059</v>
      </c>
      <c r="AM104" s="25">
        <f t="shared" si="75"/>
        <v>0.33023227117345849</v>
      </c>
      <c r="AN104" s="466">
        <f t="shared" si="76"/>
        <v>0.14226788599617216</v>
      </c>
      <c r="AO104" s="467">
        <f t="shared" si="77"/>
        <v>0.13543804394936229</v>
      </c>
      <c r="AP104" s="30"/>
      <c r="AQ104" s="28">
        <v>1812522091.8199999</v>
      </c>
      <c r="AR104" s="32">
        <v>1.6227</v>
      </c>
      <c r="AS104" s="29" t="e">
        <f>(#REF!/AQ104)-1</f>
        <v>#REF!</v>
      </c>
      <c r="AT104" s="29" t="e">
        <f>(#REF!/AR104)-1</f>
        <v>#REF!</v>
      </c>
    </row>
    <row r="105" spans="1:46">
      <c r="A105" s="202" t="s">
        <v>153</v>
      </c>
      <c r="B105" s="325">
        <v>1684379579.7274783</v>
      </c>
      <c r="C105" s="325">
        <v>532.78415377063072</v>
      </c>
      <c r="D105" s="325">
        <v>1685301911.6629212</v>
      </c>
      <c r="E105" s="325">
        <v>533.31672585611852</v>
      </c>
      <c r="F105" s="23">
        <f>((D105-B105)/B105)</f>
        <v>5.4757962311093315E-4</v>
      </c>
      <c r="G105" s="23">
        <f>((E105-C105)/C105)</f>
        <v>9.9960196210542324E-4</v>
      </c>
      <c r="H105" s="325">
        <v>1701605744.8269351</v>
      </c>
      <c r="I105" s="325">
        <v>535.97687989856763</v>
      </c>
      <c r="J105" s="23">
        <f t="shared" si="92"/>
        <v>9.6741320063694364E-3</v>
      </c>
      <c r="K105" s="23">
        <f t="shared" si="93"/>
        <v>4.9879441492835918E-3</v>
      </c>
      <c r="L105" s="325">
        <v>1667048332.0026059</v>
      </c>
      <c r="M105" s="325">
        <v>536.88120254257319</v>
      </c>
      <c r="N105" s="23">
        <f t="shared" si="94"/>
        <v>-2.0308707189892489E-2</v>
      </c>
      <c r="O105" s="23">
        <f t="shared" si="95"/>
        <v>1.687241890315682E-3</v>
      </c>
      <c r="P105" s="325">
        <v>1679775201.5772746</v>
      </c>
      <c r="Q105" s="325">
        <v>537.82385352887957</v>
      </c>
      <c r="R105" s="23">
        <f t="shared" si="96"/>
        <v>7.6343734793699741E-3</v>
      </c>
      <c r="S105" s="23">
        <f t="shared" si="97"/>
        <v>1.755790632717535E-3</v>
      </c>
      <c r="T105" s="325">
        <v>1696703799.5463614</v>
      </c>
      <c r="U105" s="325">
        <v>538.62257519871946</v>
      </c>
      <c r="V105" s="23">
        <f t="shared" si="98"/>
        <v>1.0077894919029213E-2</v>
      </c>
      <c r="W105" s="23">
        <f t="shared" si="99"/>
        <v>1.4850990051838663E-3</v>
      </c>
      <c r="X105" s="325">
        <v>1684147832.5176737</v>
      </c>
      <c r="Y105" s="325">
        <v>546.13064474249904</v>
      </c>
      <c r="Z105" s="23">
        <f t="shared" si="100"/>
        <v>-7.4002115348858989E-3</v>
      </c>
      <c r="AA105" s="23">
        <f t="shared" si="101"/>
        <v>1.3939388895850785E-2</v>
      </c>
      <c r="AB105" s="325">
        <v>2365369091.164094</v>
      </c>
      <c r="AC105" s="325">
        <v>761.1109190492383</v>
      </c>
      <c r="AD105" s="23">
        <f t="shared" si="102"/>
        <v>0.40449017924278413</v>
      </c>
      <c r="AE105" s="23">
        <f t="shared" si="103"/>
        <v>0.39364257687481097</v>
      </c>
      <c r="AF105" s="325">
        <v>2696126232.9686165</v>
      </c>
      <c r="AG105" s="325">
        <v>878.07767162177015</v>
      </c>
      <c r="AH105" s="23">
        <f t="shared" si="104"/>
        <v>0.13983320532938204</v>
      </c>
      <c r="AI105" s="23">
        <f t="shared" si="105"/>
        <v>0.15367898376578795</v>
      </c>
      <c r="AJ105" s="24">
        <f t="shared" si="72"/>
        <v>6.8068555734408426E-2</v>
      </c>
      <c r="AK105" s="24">
        <f t="shared" si="73"/>
        <v>7.1522078397006972E-2</v>
      </c>
      <c r="AL105" s="25">
        <f t="shared" si="74"/>
        <v>0.59978827194724693</v>
      </c>
      <c r="AM105" s="25">
        <f t="shared" si="75"/>
        <v>0.64644690303349561</v>
      </c>
      <c r="AN105" s="466">
        <f t="shared" si="76"/>
        <v>0.14482499152663547</v>
      </c>
      <c r="AO105" s="467">
        <f t="shared" si="77"/>
        <v>0.1403448646588682</v>
      </c>
      <c r="AP105" s="30"/>
      <c r="AQ105" s="28"/>
      <c r="AR105" s="32"/>
      <c r="AS105" s="29"/>
      <c r="AT105" s="29"/>
    </row>
    <row r="106" spans="1:46" ht="16.5" customHeight="1">
      <c r="A106" s="202" t="s">
        <v>192</v>
      </c>
      <c r="B106" s="326">
        <v>4871978121.9200001</v>
      </c>
      <c r="C106" s="325">
        <f>1.0068*460.81</f>
        <v>463.94350799999995</v>
      </c>
      <c r="D106" s="326">
        <v>4815917235.7700005</v>
      </c>
      <c r="E106" s="325">
        <f>1.0088*461</f>
        <v>465.05679999999995</v>
      </c>
      <c r="F106" s="23">
        <f>((D106-B106)/B106)</f>
        <v>-1.150680170294085E-2</v>
      </c>
      <c r="G106" s="23">
        <f>((E106-C106)/C106)</f>
        <v>2.3996283616495857E-3</v>
      </c>
      <c r="H106" s="326">
        <v>4794772026.1099997</v>
      </c>
      <c r="I106" s="325">
        <f>1.0107*461.03</f>
        <v>465.96302099999997</v>
      </c>
      <c r="J106" s="23">
        <f t="shared" si="92"/>
        <v>-4.3906920789555399E-3</v>
      </c>
      <c r="K106" s="23">
        <f t="shared" si="93"/>
        <v>1.948624340080645E-3</v>
      </c>
      <c r="L106" s="326">
        <v>4757962328.3800001</v>
      </c>
      <c r="M106" s="325">
        <f>1.0125*461.31</f>
        <v>467.07637499999998</v>
      </c>
      <c r="N106" s="23">
        <f t="shared" si="94"/>
        <v>-7.677048570724908E-3</v>
      </c>
      <c r="O106" s="23">
        <f t="shared" si="95"/>
        <v>2.3893612793793252E-3</v>
      </c>
      <c r="P106" s="326">
        <v>4745836182.4099998</v>
      </c>
      <c r="Q106" s="325">
        <f>1.0144*461.45</f>
        <v>468.09487999999999</v>
      </c>
      <c r="R106" s="23">
        <f t="shared" si="96"/>
        <v>-2.5486006683304277E-3</v>
      </c>
      <c r="S106" s="23">
        <f t="shared" si="97"/>
        <v>2.180596267580446E-3</v>
      </c>
      <c r="T106" s="326">
        <v>4759205411.4399996</v>
      </c>
      <c r="U106" s="325">
        <f>1.0158*462.05</f>
        <v>469.35039</v>
      </c>
      <c r="V106" s="23">
        <f t="shared" si="98"/>
        <v>2.8170439341230393E-3</v>
      </c>
      <c r="W106" s="23">
        <f t="shared" si="99"/>
        <v>2.6821699053833172E-3</v>
      </c>
      <c r="X106" s="326">
        <v>4741638507.7799997</v>
      </c>
      <c r="Y106" s="325">
        <f>1.0177*462.9</f>
        <v>471.09332999999998</v>
      </c>
      <c r="Z106" s="23">
        <f t="shared" si="100"/>
        <v>-3.6911421427142403E-3</v>
      </c>
      <c r="AA106" s="23">
        <f t="shared" si="101"/>
        <v>3.7135156103736827E-3</v>
      </c>
      <c r="AB106" s="326">
        <v>6059403446.3500004</v>
      </c>
      <c r="AC106" s="325">
        <f>1.0196*589.45</f>
        <v>601.00322000000006</v>
      </c>
      <c r="AD106" s="23">
        <f t="shared" si="102"/>
        <v>0.27791341250663337</v>
      </c>
      <c r="AE106" s="23">
        <f t="shared" si="103"/>
        <v>0.27576253308447413</v>
      </c>
      <c r="AF106" s="326">
        <v>7796972792.04</v>
      </c>
      <c r="AG106" s="325">
        <f>1.0122*743.27</f>
        <v>752.33789400000001</v>
      </c>
      <c r="AH106" s="23">
        <f t="shared" si="104"/>
        <v>0.28675584338861909</v>
      </c>
      <c r="AI106" s="23">
        <f t="shared" si="105"/>
        <v>0.25180343293335422</v>
      </c>
      <c r="AJ106" s="24">
        <f t="shared" si="72"/>
        <v>6.7209001833213683E-2</v>
      </c>
      <c r="AK106" s="24">
        <f t="shared" si="73"/>
        <v>6.7859982722784429E-2</v>
      </c>
      <c r="AL106" s="25">
        <f t="shared" si="74"/>
        <v>0.61900057877414261</v>
      </c>
      <c r="AM106" s="25">
        <f t="shared" si="75"/>
        <v>0.61773334784052203</v>
      </c>
      <c r="AN106" s="466">
        <f t="shared" si="76"/>
        <v>0.13286247267574758</v>
      </c>
      <c r="AO106" s="467">
        <f t="shared" si="77"/>
        <v>0.12109684971907127</v>
      </c>
      <c r="AP106" s="30"/>
      <c r="AQ106" s="28"/>
      <c r="AR106" s="32"/>
      <c r="AS106" s="29"/>
      <c r="AT106" s="29"/>
    </row>
    <row r="107" spans="1:46">
      <c r="A107" s="202" t="s">
        <v>161</v>
      </c>
      <c r="B107" s="325">
        <v>100635852.45</v>
      </c>
      <c r="C107" s="325">
        <v>393.07</v>
      </c>
      <c r="D107" s="325">
        <v>101675429.23</v>
      </c>
      <c r="E107" s="325">
        <v>397.9</v>
      </c>
      <c r="F107" s="23">
        <f>((D107-B107)/B107)</f>
        <v>1.0330083709645181E-2</v>
      </c>
      <c r="G107" s="23">
        <f>((E107-C107)/C107)</f>
        <v>1.2287887653598555E-2</v>
      </c>
      <c r="H107" s="325">
        <v>102366570.39</v>
      </c>
      <c r="I107" s="325">
        <v>399.47</v>
      </c>
      <c r="J107" s="23">
        <f t="shared" si="92"/>
        <v>6.7975238977016359E-3</v>
      </c>
      <c r="K107" s="23">
        <f t="shared" si="93"/>
        <v>3.9457150037699174E-3</v>
      </c>
      <c r="L107" s="325">
        <v>104206974.76000001</v>
      </c>
      <c r="M107" s="325">
        <v>409.024</v>
      </c>
      <c r="N107" s="23">
        <f t="shared" si="94"/>
        <v>1.7978568227775563E-2</v>
      </c>
      <c r="O107" s="23">
        <f t="shared" si="95"/>
        <v>2.3916689613738135E-2</v>
      </c>
      <c r="P107" s="325">
        <v>106046770.15000001</v>
      </c>
      <c r="Q107" s="325">
        <v>413.97</v>
      </c>
      <c r="R107" s="23">
        <f t="shared" si="96"/>
        <v>1.7655203926966016E-2</v>
      </c>
      <c r="S107" s="23">
        <f t="shared" si="97"/>
        <v>1.2092199968706058E-2</v>
      </c>
      <c r="T107" s="325">
        <v>108310671.33</v>
      </c>
      <c r="U107" s="325">
        <v>423.55</v>
      </c>
      <c r="V107" s="23">
        <f t="shared" si="98"/>
        <v>2.1348138908877389E-2</v>
      </c>
      <c r="W107" s="23">
        <f t="shared" si="99"/>
        <v>2.3141773558470382E-2</v>
      </c>
      <c r="X107" s="325">
        <v>110531331.15000001</v>
      </c>
      <c r="Y107" s="325">
        <v>433.69</v>
      </c>
      <c r="Z107" s="23">
        <f t="shared" si="100"/>
        <v>2.0502687248924172E-2</v>
      </c>
      <c r="AA107" s="23">
        <f t="shared" si="101"/>
        <v>2.3940502892220484E-2</v>
      </c>
      <c r="AB107" s="325">
        <v>160963794.09999999</v>
      </c>
      <c r="AC107" s="325">
        <v>663.04</v>
      </c>
      <c r="AD107" s="23">
        <f t="shared" si="102"/>
        <v>0.45627300807188359</v>
      </c>
      <c r="AE107" s="23">
        <f t="shared" si="103"/>
        <v>0.52883395974082859</v>
      </c>
      <c r="AF107" s="325">
        <v>183968364.40000001</v>
      </c>
      <c r="AG107" s="325">
        <v>756.35</v>
      </c>
      <c r="AH107" s="23">
        <f t="shared" si="104"/>
        <v>0.14291766933443584</v>
      </c>
      <c r="AI107" s="23">
        <f t="shared" si="105"/>
        <v>0.14073057432432443</v>
      </c>
      <c r="AJ107" s="24">
        <f t="shared" si="72"/>
        <v>8.6725360415776165E-2</v>
      </c>
      <c r="AK107" s="24">
        <f t="shared" si="73"/>
        <v>9.6111162844457074E-2</v>
      </c>
      <c r="AL107" s="25">
        <f t="shared" si="74"/>
        <v>0.80936894777050938</v>
      </c>
      <c r="AM107" s="25">
        <f t="shared" si="75"/>
        <v>0.90085448605177199</v>
      </c>
      <c r="AN107" s="466">
        <f t="shared" si="76"/>
        <v>0.15588648264962077</v>
      </c>
      <c r="AO107" s="467">
        <f t="shared" si="77"/>
        <v>0.18030334997779793</v>
      </c>
      <c r="AP107" s="30"/>
      <c r="AQ107" s="28"/>
      <c r="AR107" s="32"/>
      <c r="AS107" s="29"/>
      <c r="AT107" s="29"/>
    </row>
    <row r="108" spans="1:46" s="288" customFormat="1">
      <c r="A108" s="202" t="s">
        <v>93</v>
      </c>
      <c r="B108" s="326">
        <v>202875429527.73001</v>
      </c>
      <c r="C108" s="325">
        <v>645.98</v>
      </c>
      <c r="D108" s="326">
        <v>204650408125.57999</v>
      </c>
      <c r="E108" s="325">
        <v>645.74</v>
      </c>
      <c r="F108" s="23">
        <f>((D108-B108)/B108)</f>
        <v>8.7491058034081092E-3</v>
      </c>
      <c r="G108" s="23">
        <f>((E108-C108)/C108)</f>
        <v>-3.7152853029506967E-4</v>
      </c>
      <c r="H108" s="326">
        <v>201739663926.91</v>
      </c>
      <c r="I108" s="325">
        <v>646.79999999999995</v>
      </c>
      <c r="J108" s="23">
        <f t="shared" si="92"/>
        <v>-1.4223007055445783E-2</v>
      </c>
      <c r="K108" s="23">
        <f t="shared" si="93"/>
        <v>1.6415275497877557E-3</v>
      </c>
      <c r="L108" s="326">
        <v>199657203553.20999</v>
      </c>
      <c r="M108" s="325">
        <v>648.48</v>
      </c>
      <c r="N108" s="23">
        <f t="shared" si="94"/>
        <v>-1.032251334796753E-2</v>
      </c>
      <c r="O108" s="23">
        <f t="shared" si="95"/>
        <v>2.5974025974026958E-3</v>
      </c>
      <c r="P108" s="326">
        <v>200832600288.13</v>
      </c>
      <c r="Q108" s="325">
        <v>651.48</v>
      </c>
      <c r="R108" s="23">
        <f t="shared" si="96"/>
        <v>5.8870740148715059E-3</v>
      </c>
      <c r="S108" s="23">
        <f t="shared" si="97"/>
        <v>4.6262028127313096E-3</v>
      </c>
      <c r="T108" s="326">
        <v>200832600288.13</v>
      </c>
      <c r="U108" s="325">
        <v>652.58000000000004</v>
      </c>
      <c r="V108" s="23">
        <f t="shared" si="98"/>
        <v>0</v>
      </c>
      <c r="W108" s="23">
        <f t="shared" si="99"/>
        <v>1.68846319150246E-3</v>
      </c>
      <c r="X108" s="326">
        <v>205252526400.07999</v>
      </c>
      <c r="Y108" s="325">
        <v>664.48</v>
      </c>
      <c r="Z108" s="23">
        <f t="shared" si="100"/>
        <v>2.2008011177512082E-2</v>
      </c>
      <c r="AA108" s="23">
        <f t="shared" si="101"/>
        <v>1.823531214563728E-2</v>
      </c>
      <c r="AB108" s="326">
        <v>285263219285.98999</v>
      </c>
      <c r="AC108" s="325">
        <v>933.69</v>
      </c>
      <c r="AD108" s="23">
        <f t="shared" si="102"/>
        <v>0.38981587359345082</v>
      </c>
      <c r="AE108" s="23">
        <f t="shared" si="103"/>
        <v>0.40514387189983148</v>
      </c>
      <c r="AF108" s="326">
        <v>331639905466.70001</v>
      </c>
      <c r="AG108" s="325">
        <v>1086.17</v>
      </c>
      <c r="AH108" s="23">
        <f t="shared" si="104"/>
        <v>0.16257506416982268</v>
      </c>
      <c r="AI108" s="23">
        <f t="shared" si="105"/>
        <v>0.16330902119547175</v>
      </c>
      <c r="AJ108" s="24">
        <f t="shared" si="72"/>
        <v>7.0561201044456484E-2</v>
      </c>
      <c r="AK108" s="24">
        <f t="shared" si="73"/>
        <v>7.4608784107758702E-2</v>
      </c>
      <c r="AL108" s="25">
        <f t="shared" si="74"/>
        <v>0.62051915021442439</v>
      </c>
      <c r="AM108" s="25">
        <f t="shared" si="75"/>
        <v>0.68205469693684773</v>
      </c>
      <c r="AN108" s="466">
        <f t="shared" si="76"/>
        <v>0.141148557663235</v>
      </c>
      <c r="AO108" s="467">
        <f t="shared" si="77"/>
        <v>0.14473916758350708</v>
      </c>
      <c r="AP108" s="30"/>
      <c r="AQ108" s="28"/>
      <c r="AR108" s="32"/>
      <c r="AS108" s="29"/>
      <c r="AT108" s="29"/>
    </row>
    <row r="109" spans="1:46" s="356" customFormat="1">
      <c r="A109" s="202" t="s">
        <v>253</v>
      </c>
      <c r="B109" s="326">
        <v>4679498089.1599998</v>
      </c>
      <c r="C109" s="326">
        <v>474.85</v>
      </c>
      <c r="D109" s="326">
        <v>4678548431.2700005</v>
      </c>
      <c r="E109" s="326">
        <v>474.86</v>
      </c>
      <c r="F109" s="23">
        <f>((D109-B109)/B109)</f>
        <v>-2.0294011706068662E-4</v>
      </c>
      <c r="G109" s="23">
        <f>((E109-C109)/C109)</f>
        <v>2.1059281878468788E-5</v>
      </c>
      <c r="H109" s="326">
        <v>4847511381.1099997</v>
      </c>
      <c r="I109" s="326">
        <v>475.55</v>
      </c>
      <c r="J109" s="23">
        <f t="shared" si="92"/>
        <v>3.6114395805053982E-2</v>
      </c>
      <c r="K109" s="23">
        <f t="shared" si="93"/>
        <v>1.4530598492187123E-3</v>
      </c>
      <c r="L109" s="326">
        <v>4797721501.9499998</v>
      </c>
      <c r="M109" s="326">
        <v>475.55</v>
      </c>
      <c r="N109" s="23">
        <f t="shared" si="94"/>
        <v>-1.0271224809089317E-2</v>
      </c>
      <c r="O109" s="23">
        <f t="shared" si="95"/>
        <v>0</v>
      </c>
      <c r="P109" s="326">
        <v>5317150787.2600002</v>
      </c>
      <c r="Q109" s="326">
        <v>479.23</v>
      </c>
      <c r="R109" s="23">
        <f t="shared" si="96"/>
        <v>0.10826582683027393</v>
      </c>
      <c r="S109" s="23">
        <f t="shared" si="97"/>
        <v>7.7384081589738337E-3</v>
      </c>
      <c r="T109" s="326">
        <v>5341179355.9200001</v>
      </c>
      <c r="U109" s="326">
        <v>480.14</v>
      </c>
      <c r="V109" s="23">
        <f t="shared" si="98"/>
        <v>4.5190685051800256E-3</v>
      </c>
      <c r="W109" s="23">
        <f t="shared" si="99"/>
        <v>1.8988794524549134E-3</v>
      </c>
      <c r="X109" s="326">
        <v>5666844181.9499998</v>
      </c>
      <c r="Y109" s="326">
        <v>489.79</v>
      </c>
      <c r="Z109" s="23">
        <f t="shared" si="100"/>
        <v>6.0972456517312562E-2</v>
      </c>
      <c r="AA109" s="23">
        <f t="shared" si="101"/>
        <v>2.0098304661140574E-2</v>
      </c>
      <c r="AB109" s="326">
        <v>8265942111.2600002</v>
      </c>
      <c r="AC109" s="326">
        <v>688.43</v>
      </c>
      <c r="AD109" s="23">
        <f t="shared" si="102"/>
        <v>0.45864997269355534</v>
      </c>
      <c r="AE109" s="23">
        <f t="shared" si="103"/>
        <v>0.40556156720227021</v>
      </c>
      <c r="AF109" s="326">
        <v>9654825881.5300007</v>
      </c>
      <c r="AG109" s="326">
        <v>800.9</v>
      </c>
      <c r="AH109" s="23">
        <f t="shared" si="104"/>
        <v>0.16802486051505738</v>
      </c>
      <c r="AI109" s="23">
        <f t="shared" si="105"/>
        <v>0.16337172987812854</v>
      </c>
      <c r="AJ109" s="24">
        <f t="shared" si="72"/>
        <v>0.10325905199253541</v>
      </c>
      <c r="AK109" s="24">
        <f t="shared" si="73"/>
        <v>7.5017876060508165E-2</v>
      </c>
      <c r="AL109" s="25">
        <f t="shared" si="74"/>
        <v>1.0636370496883327</v>
      </c>
      <c r="AM109" s="25">
        <f t="shared" si="75"/>
        <v>0.68660236701343547</v>
      </c>
      <c r="AN109" s="466">
        <f t="shared" si="76"/>
        <v>0.15591299642383591</v>
      </c>
      <c r="AO109" s="467">
        <f t="shared" si="77"/>
        <v>0.1447256495514265</v>
      </c>
      <c r="AP109" s="30"/>
      <c r="AQ109" s="28"/>
      <c r="AR109" s="32"/>
      <c r="AS109" s="29"/>
      <c r="AT109" s="29"/>
    </row>
    <row r="110" spans="1:46" s="86" customFormat="1">
      <c r="A110" s="202" t="s">
        <v>123</v>
      </c>
      <c r="B110" s="325">
        <v>5356936431.6800003</v>
      </c>
      <c r="C110" s="325">
        <v>460.31</v>
      </c>
      <c r="D110" s="325">
        <v>5426154639.8400002</v>
      </c>
      <c r="E110" s="325">
        <v>460.87</v>
      </c>
      <c r="F110" s="23">
        <f>((D110-B110)/B110)</f>
        <v>1.2921230080434644E-2</v>
      </c>
      <c r="G110" s="23">
        <f>((E110-C110)/C110)</f>
        <v>1.2165714409854277E-3</v>
      </c>
      <c r="H110" s="325">
        <v>5503802123.8999996</v>
      </c>
      <c r="I110" s="325">
        <v>460.17</v>
      </c>
      <c r="J110" s="23">
        <f>((H110-D110)/D110)</f>
        <v>1.4309854623363451E-2</v>
      </c>
      <c r="K110" s="23">
        <f>((I110-E110)/E110)</f>
        <v>-1.5188664916353605E-3</v>
      </c>
      <c r="L110" s="325">
        <v>5537273782.9099998</v>
      </c>
      <c r="M110" s="325">
        <v>460.84</v>
      </c>
      <c r="N110" s="23">
        <f>((L110-H110)/H110)</f>
        <v>6.0815520355739418E-3</v>
      </c>
      <c r="O110" s="23">
        <f>((M110-I110)/I110)</f>
        <v>1.45598365821318E-3</v>
      </c>
      <c r="P110" s="325">
        <v>5670603145.3299999</v>
      </c>
      <c r="Q110" s="325">
        <v>460.95</v>
      </c>
      <c r="R110" s="23">
        <f>((P110-L110)/L110)</f>
        <v>2.4078520883598353E-2</v>
      </c>
      <c r="S110" s="23">
        <f>((Q110-M110)/M110)</f>
        <v>2.3869455776411261E-4</v>
      </c>
      <c r="T110" s="325">
        <v>5772052134.6499996</v>
      </c>
      <c r="U110" s="325">
        <v>461.55</v>
      </c>
      <c r="V110" s="23">
        <f>((T110-P110)/P110)</f>
        <v>1.7890334893837099E-2</v>
      </c>
      <c r="W110" s="23">
        <f>((U110-Q110)/Q110)</f>
        <v>1.3016596160104626E-3</v>
      </c>
      <c r="X110" s="325">
        <v>6025508698.2299995</v>
      </c>
      <c r="Y110" s="325">
        <v>462.88</v>
      </c>
      <c r="Z110" s="23">
        <f>((X110-T110)/T110)</f>
        <v>4.3910996932699876E-2</v>
      </c>
      <c r="AA110" s="23">
        <f>((Y110-U110)/U110)</f>
        <v>2.8815946268009622E-3</v>
      </c>
      <c r="AB110" s="325">
        <v>7828823400.6499996</v>
      </c>
      <c r="AC110" s="325">
        <v>588.95000000000005</v>
      </c>
      <c r="AD110" s="23">
        <f>((AB110-X110)/X110)</f>
        <v>0.29928007621161112</v>
      </c>
      <c r="AE110" s="23">
        <f>((AC110-Y110)/Y110)</f>
        <v>0.27236000691323897</v>
      </c>
      <c r="AF110" s="325">
        <v>11043044530.93</v>
      </c>
      <c r="AG110" s="325">
        <v>742.77</v>
      </c>
      <c r="AH110" s="23">
        <f>((AF110-AB110)/AB110)</f>
        <v>0.41056247737215978</v>
      </c>
      <c r="AI110" s="23">
        <f>((AG110-AC110)/AC110)</f>
        <v>0.26117667034553005</v>
      </c>
      <c r="AJ110" s="24">
        <f t="shared" si="72"/>
        <v>0.10362938037915978</v>
      </c>
      <c r="AK110" s="24">
        <f t="shared" si="73"/>
        <v>6.7389039333363474E-2</v>
      </c>
      <c r="AL110" s="25">
        <f t="shared" si="74"/>
        <v>1.035151090212133</v>
      </c>
      <c r="AM110" s="25">
        <f t="shared" si="75"/>
        <v>0.61166923427430719</v>
      </c>
      <c r="AN110" s="466">
        <f t="shared" si="76"/>
        <v>0.1583190514320994</v>
      </c>
      <c r="AO110" s="467">
        <f t="shared" si="77"/>
        <v>0.12310212211859649</v>
      </c>
      <c r="AP110" s="30"/>
      <c r="AQ110" s="28"/>
      <c r="AR110" s="32"/>
      <c r="AS110" s="29"/>
      <c r="AT110" s="29"/>
    </row>
    <row r="111" spans="1:46" s="103" customFormat="1">
      <c r="A111" s="204" t="s">
        <v>42</v>
      </c>
      <c r="B111" s="76">
        <f>SUM(B90:B110)</f>
        <v>332681726568.12634</v>
      </c>
      <c r="C111" s="85"/>
      <c r="D111" s="76">
        <f>SUM(D90:D110)</f>
        <v>334539052167.92297</v>
      </c>
      <c r="E111" s="85"/>
      <c r="F111" s="23"/>
      <c r="G111" s="23"/>
      <c r="H111" s="76">
        <f>SUM(H90:H110)</f>
        <v>331372584980.02832</v>
      </c>
      <c r="I111" s="85"/>
      <c r="J111" s="23"/>
      <c r="K111" s="23"/>
      <c r="L111" s="76">
        <f>SUM(L90:L110)</f>
        <v>329647629846.67249</v>
      </c>
      <c r="M111" s="85"/>
      <c r="N111" s="23"/>
      <c r="O111" s="23"/>
      <c r="P111" s="76">
        <f>SUM(P90:P110)</f>
        <v>331908642809.0658</v>
      </c>
      <c r="Q111" s="85"/>
      <c r="R111" s="23"/>
      <c r="S111" s="23"/>
      <c r="T111" s="76">
        <f>SUM(T90:T110)</f>
        <v>331906740337.94391</v>
      </c>
      <c r="U111" s="85"/>
      <c r="V111" s="23"/>
      <c r="W111" s="23"/>
      <c r="X111" s="76">
        <f>SUM(X90:X110)</f>
        <v>338597314330.35101</v>
      </c>
      <c r="Y111" s="85"/>
      <c r="Z111" s="23"/>
      <c r="AA111" s="23"/>
      <c r="AB111" s="76">
        <f>SUM(AB90:AB110)</f>
        <v>470498434802.98218</v>
      </c>
      <c r="AC111" s="85"/>
      <c r="AD111" s="23"/>
      <c r="AE111" s="23"/>
      <c r="AF111" s="76">
        <f>SUM(AF90:AF110)</f>
        <v>550519578291.03943</v>
      </c>
      <c r="AG111" s="85"/>
      <c r="AH111" s="23"/>
      <c r="AI111" s="23"/>
      <c r="AJ111" s="24" t="e">
        <f t="shared" si="72"/>
        <v>#DIV/0!</v>
      </c>
      <c r="AK111" s="24"/>
      <c r="AL111" s="25">
        <f t="shared" si="74"/>
        <v>0.64560631927271772</v>
      </c>
      <c r="AM111" s="25"/>
      <c r="AN111" s="466" t="e">
        <f t="shared" si="76"/>
        <v>#DIV/0!</v>
      </c>
      <c r="AO111" s="467"/>
      <c r="AP111" s="30"/>
      <c r="AQ111" s="28"/>
      <c r="AR111" s="32"/>
      <c r="AS111" s="29"/>
      <c r="AT111" s="29"/>
    </row>
    <row r="112" spans="1:46" s="103" customFormat="1" ht="8.25" customHeight="1">
      <c r="A112" s="204"/>
      <c r="B112" s="85"/>
      <c r="C112" s="85"/>
      <c r="D112" s="85"/>
      <c r="E112" s="85"/>
      <c r="F112" s="23"/>
      <c r="G112" s="23"/>
      <c r="H112" s="85"/>
      <c r="I112" s="85"/>
      <c r="J112" s="23"/>
      <c r="K112" s="23"/>
      <c r="L112" s="85"/>
      <c r="M112" s="85"/>
      <c r="N112" s="23"/>
      <c r="O112" s="23"/>
      <c r="P112" s="85"/>
      <c r="Q112" s="85"/>
      <c r="R112" s="23"/>
      <c r="S112" s="23"/>
      <c r="T112" s="85"/>
      <c r="U112" s="85"/>
      <c r="V112" s="23"/>
      <c r="W112" s="23"/>
      <c r="X112" s="85"/>
      <c r="Y112" s="85"/>
      <c r="Z112" s="23"/>
      <c r="AA112" s="23"/>
      <c r="AB112" s="85"/>
      <c r="AC112" s="85"/>
      <c r="AD112" s="23"/>
      <c r="AE112" s="23"/>
      <c r="AF112" s="85"/>
      <c r="AG112" s="85"/>
      <c r="AH112" s="23"/>
      <c r="AI112" s="23"/>
      <c r="AJ112" s="24"/>
      <c r="AK112" s="24"/>
      <c r="AL112" s="25"/>
      <c r="AM112" s="25"/>
      <c r="AN112" s="466"/>
      <c r="AO112" s="467"/>
      <c r="AP112" s="30"/>
      <c r="AQ112" s="28"/>
      <c r="AR112" s="32"/>
      <c r="AS112" s="29"/>
      <c r="AT112" s="29"/>
    </row>
    <row r="113" spans="1:46">
      <c r="A113" s="206" t="s">
        <v>212</v>
      </c>
      <c r="B113" s="85"/>
      <c r="C113" s="85"/>
      <c r="D113" s="85"/>
      <c r="E113" s="85"/>
      <c r="F113" s="23"/>
      <c r="G113" s="23"/>
      <c r="H113" s="85"/>
      <c r="I113" s="85"/>
      <c r="J113" s="23"/>
      <c r="K113" s="23"/>
      <c r="L113" s="85"/>
      <c r="M113" s="85"/>
      <c r="N113" s="23"/>
      <c r="O113" s="23"/>
      <c r="P113" s="85"/>
      <c r="Q113" s="85"/>
      <c r="R113" s="23"/>
      <c r="S113" s="23"/>
      <c r="T113" s="85"/>
      <c r="U113" s="85"/>
      <c r="V113" s="23"/>
      <c r="W113" s="23"/>
      <c r="X113" s="85"/>
      <c r="Y113" s="85"/>
      <c r="Z113" s="23"/>
      <c r="AA113" s="23"/>
      <c r="AB113" s="85"/>
      <c r="AC113" s="85"/>
      <c r="AD113" s="23"/>
      <c r="AE113" s="23"/>
      <c r="AF113" s="85"/>
      <c r="AG113" s="85"/>
      <c r="AH113" s="23"/>
      <c r="AI113" s="23"/>
      <c r="AJ113" s="24"/>
      <c r="AK113" s="24"/>
      <c r="AL113" s="25"/>
      <c r="AM113" s="25"/>
      <c r="AN113" s="466"/>
      <c r="AO113" s="467"/>
      <c r="AP113" s="30"/>
      <c r="AQ113" s="54">
        <f>SUM(AQ93:AQ104)</f>
        <v>16564722721.154379</v>
      </c>
      <c r="AR113" s="55"/>
      <c r="AS113" s="29" t="e">
        <f>(#REF!/AQ113)-1</f>
        <v>#REF!</v>
      </c>
      <c r="AT113" s="29" t="e">
        <f>(#REF!/AR113)-1</f>
        <v>#REF!</v>
      </c>
    </row>
    <row r="114" spans="1:46">
      <c r="A114" s="202" t="s">
        <v>163</v>
      </c>
      <c r="B114" s="326">
        <v>7511812185.1700001</v>
      </c>
      <c r="C114" s="327">
        <v>101.68</v>
      </c>
      <c r="D114" s="326">
        <v>54330953714</v>
      </c>
      <c r="E114" s="327">
        <v>101.68</v>
      </c>
      <c r="F114" s="23">
        <f>((D114-B114)/B114)</f>
        <v>6.2327359064250132</v>
      </c>
      <c r="G114" s="23">
        <f>((E114-C114)/C114)</f>
        <v>0</v>
      </c>
      <c r="H114" s="326">
        <v>54330953714</v>
      </c>
      <c r="I114" s="327">
        <v>101.68</v>
      </c>
      <c r="J114" s="23">
        <f t="shared" ref="J114:J117" si="106">((H114-D114)/D114)</f>
        <v>0</v>
      </c>
      <c r="K114" s="23">
        <f t="shared" ref="K114:K117" si="107">((I114-E114)/E114)</f>
        <v>0</v>
      </c>
      <c r="L114" s="326">
        <v>54330953714</v>
      </c>
      <c r="M114" s="327">
        <v>101.54</v>
      </c>
      <c r="N114" s="23">
        <f t="shared" ref="N114:N117" si="108">((L114-H114)/H114)</f>
        <v>0</v>
      </c>
      <c r="O114" s="23">
        <f t="shared" ref="O114:O117" si="109">((M114-I114)/I114)</f>
        <v>-1.3768686073957568E-3</v>
      </c>
      <c r="P114" s="326">
        <v>54330953714</v>
      </c>
      <c r="Q114" s="327">
        <v>101.54</v>
      </c>
      <c r="R114" s="23">
        <f t="shared" ref="R114:R117" si="110">((P114-L114)/L114)</f>
        <v>0</v>
      </c>
      <c r="S114" s="23">
        <f t="shared" ref="S114:S117" si="111">((Q114-M114)/M114)</f>
        <v>0</v>
      </c>
      <c r="T114" s="326">
        <v>54330953714</v>
      </c>
      <c r="U114" s="327">
        <v>101.54</v>
      </c>
      <c r="V114" s="23">
        <f t="shared" ref="V114:V117" si="112">((T114-P114)/P114)</f>
        <v>0</v>
      </c>
      <c r="W114" s="23">
        <f t="shared" ref="W114:W117" si="113">((U114-Q114)/Q114)</f>
        <v>0</v>
      </c>
      <c r="X114" s="326">
        <v>54330953714</v>
      </c>
      <c r="Y114" s="327">
        <v>101.54</v>
      </c>
      <c r="Z114" s="23">
        <f t="shared" ref="Z114:Z117" si="114">((X114-T114)/T114)</f>
        <v>0</v>
      </c>
      <c r="AA114" s="23">
        <f t="shared" ref="AA114:AA117" si="115">((Y114-U114)/U114)</f>
        <v>0</v>
      </c>
      <c r="AB114" s="326">
        <v>54330953714</v>
      </c>
      <c r="AC114" s="327">
        <v>101.54</v>
      </c>
      <c r="AD114" s="23">
        <f t="shared" ref="AD114:AD117" si="116">((AB114-X114)/X114)</f>
        <v>0</v>
      </c>
      <c r="AE114" s="23">
        <f t="shared" ref="AE114:AE117" si="117">((AC114-Y114)/Y114)</f>
        <v>0</v>
      </c>
      <c r="AF114" s="326">
        <v>54330953714</v>
      </c>
      <c r="AG114" s="327">
        <v>101.72</v>
      </c>
      <c r="AH114" s="23">
        <f t="shared" ref="AH114:AH117" si="118">((AF114-AB114)/AB114)</f>
        <v>0</v>
      </c>
      <c r="AI114" s="23">
        <f t="shared" ref="AI114:AI117" si="119">((AG114-AC114)/AC114)</f>
        <v>1.7727004136300236E-3</v>
      </c>
      <c r="AJ114" s="24">
        <f t="shared" si="72"/>
        <v>0.77909198830312665</v>
      </c>
      <c r="AK114" s="24">
        <f t="shared" si="73"/>
        <v>4.9478975779283346E-5</v>
      </c>
      <c r="AL114" s="25">
        <f t="shared" si="74"/>
        <v>0</v>
      </c>
      <c r="AM114" s="25">
        <f t="shared" si="75"/>
        <v>3.9339103068442211E-4</v>
      </c>
      <c r="AN114" s="466">
        <f t="shared" si="76"/>
        <v>2.2036049123890051</v>
      </c>
      <c r="AO114" s="467">
        <f t="shared" si="77"/>
        <v>8.4672887937408455E-4</v>
      </c>
      <c r="AP114" s="30"/>
      <c r="AQ114" s="40"/>
      <c r="AR114" s="13"/>
      <c r="AS114" s="29" t="e">
        <f>(#REF!/AQ114)-1</f>
        <v>#REF!</v>
      </c>
      <c r="AT114" s="29" t="e">
        <f>(#REF!/AR114)-1</f>
        <v>#REF!</v>
      </c>
    </row>
    <row r="115" spans="1:46">
      <c r="A115" s="202" t="s">
        <v>140</v>
      </c>
      <c r="B115" s="326">
        <v>2352866820.48</v>
      </c>
      <c r="C115" s="327">
        <v>77</v>
      </c>
      <c r="D115" s="326">
        <v>2359826154.1500001</v>
      </c>
      <c r="E115" s="327">
        <v>77</v>
      </c>
      <c r="F115" s="23">
        <f>((D115-B115)/B115)</f>
        <v>2.9578102803882148E-3</v>
      </c>
      <c r="G115" s="23">
        <f>((E115-C115)/C115)</f>
        <v>0</v>
      </c>
      <c r="H115" s="326">
        <v>2364368561.3600001</v>
      </c>
      <c r="I115" s="327">
        <v>77</v>
      </c>
      <c r="J115" s="23">
        <f t="shared" si="106"/>
        <v>1.9248906119680646E-3</v>
      </c>
      <c r="K115" s="23">
        <f t="shared" si="107"/>
        <v>0</v>
      </c>
      <c r="L115" s="326">
        <v>2369507527.9499998</v>
      </c>
      <c r="M115" s="327">
        <v>77</v>
      </c>
      <c r="N115" s="23">
        <f t="shared" si="108"/>
        <v>2.1735048731335309E-3</v>
      </c>
      <c r="O115" s="23">
        <f t="shared" si="109"/>
        <v>0</v>
      </c>
      <c r="P115" s="326">
        <v>2373943045.9400001</v>
      </c>
      <c r="Q115" s="327">
        <v>77</v>
      </c>
      <c r="R115" s="23">
        <f t="shared" si="110"/>
        <v>1.8719155510924564E-3</v>
      </c>
      <c r="S115" s="23">
        <f t="shared" si="111"/>
        <v>0</v>
      </c>
      <c r="T115" s="326">
        <v>2381147156.7399998</v>
      </c>
      <c r="U115" s="327">
        <v>77</v>
      </c>
      <c r="V115" s="23">
        <f t="shared" si="112"/>
        <v>3.0346603353944967E-3</v>
      </c>
      <c r="W115" s="23">
        <f t="shared" si="113"/>
        <v>0</v>
      </c>
      <c r="X115" s="326">
        <v>2384096753.52</v>
      </c>
      <c r="Y115" s="327">
        <v>77</v>
      </c>
      <c r="Z115" s="23">
        <f t="shared" si="114"/>
        <v>1.2387293123195576E-3</v>
      </c>
      <c r="AA115" s="23">
        <f t="shared" si="115"/>
        <v>0</v>
      </c>
      <c r="AB115" s="326">
        <v>2388045303.77</v>
      </c>
      <c r="AC115" s="327">
        <v>77</v>
      </c>
      <c r="AD115" s="23">
        <f t="shared" si="116"/>
        <v>1.6562038617644868E-3</v>
      </c>
      <c r="AE115" s="23">
        <f t="shared" si="117"/>
        <v>0</v>
      </c>
      <c r="AF115" s="326">
        <v>2392753042.1500001</v>
      </c>
      <c r="AG115" s="327">
        <v>77</v>
      </c>
      <c r="AH115" s="23">
        <f t="shared" si="118"/>
        <v>1.9713773321502828E-3</v>
      </c>
      <c r="AI115" s="23">
        <f t="shared" si="119"/>
        <v>0</v>
      </c>
      <c r="AJ115" s="24">
        <f t="shared" si="72"/>
        <v>2.1036365197763863E-3</v>
      </c>
      <c r="AK115" s="24">
        <f t="shared" si="73"/>
        <v>0</v>
      </c>
      <c r="AL115" s="25">
        <f t="shared" si="74"/>
        <v>1.3953099020491249E-2</v>
      </c>
      <c r="AM115" s="25">
        <f t="shared" si="75"/>
        <v>0</v>
      </c>
      <c r="AN115" s="466">
        <f t="shared" si="76"/>
        <v>6.1559464932356455E-4</v>
      </c>
      <c r="AO115" s="467">
        <f t="shared" si="77"/>
        <v>0</v>
      </c>
      <c r="AP115" s="30"/>
      <c r="AQ115" s="28">
        <v>640873657.65999997</v>
      </c>
      <c r="AR115" s="32">
        <v>11.5358</v>
      </c>
      <c r="AS115" s="29" t="e">
        <f>(#REF!/AQ115)-1</f>
        <v>#REF!</v>
      </c>
      <c r="AT115" s="29" t="e">
        <f>(#REF!/AR115)-1</f>
        <v>#REF!</v>
      </c>
    </row>
    <row r="116" spans="1:46">
      <c r="A116" s="202" t="s">
        <v>21</v>
      </c>
      <c r="B116" s="326">
        <v>10188447956.73</v>
      </c>
      <c r="C116" s="327">
        <v>36.6</v>
      </c>
      <c r="D116" s="326">
        <v>10204268194.49</v>
      </c>
      <c r="E116" s="327">
        <v>36.6</v>
      </c>
      <c r="F116" s="23">
        <f>((D116-B116)/B116)</f>
        <v>1.5527622879547753E-3</v>
      </c>
      <c r="G116" s="23">
        <f>((E116-C116)/C116)</f>
        <v>0</v>
      </c>
      <c r="H116" s="326">
        <v>10224711101.32</v>
      </c>
      <c r="I116" s="327">
        <v>36.6</v>
      </c>
      <c r="J116" s="23">
        <f t="shared" si="106"/>
        <v>2.0033682416381884E-3</v>
      </c>
      <c r="K116" s="23">
        <f t="shared" si="107"/>
        <v>0</v>
      </c>
      <c r="L116" s="326">
        <v>10229848237.83</v>
      </c>
      <c r="M116" s="327">
        <v>36.6</v>
      </c>
      <c r="N116" s="23">
        <f t="shared" si="108"/>
        <v>5.0242363418336879E-4</v>
      </c>
      <c r="O116" s="23">
        <f t="shared" si="109"/>
        <v>0</v>
      </c>
      <c r="P116" s="326">
        <v>10233092077.66</v>
      </c>
      <c r="Q116" s="327">
        <v>36.6</v>
      </c>
      <c r="R116" s="23">
        <f t="shared" si="110"/>
        <v>3.1709559659000584E-4</v>
      </c>
      <c r="S116" s="23">
        <f t="shared" si="111"/>
        <v>0</v>
      </c>
      <c r="T116" s="326">
        <v>9852861991.4799995</v>
      </c>
      <c r="U116" s="327">
        <v>36.6</v>
      </c>
      <c r="V116" s="23">
        <f t="shared" si="112"/>
        <v>-3.7156910471868587E-2</v>
      </c>
      <c r="W116" s="23">
        <f t="shared" si="113"/>
        <v>0</v>
      </c>
      <c r="X116" s="326">
        <v>9858731069.2900009</v>
      </c>
      <c r="Y116" s="327">
        <v>36.6</v>
      </c>
      <c r="Z116" s="23">
        <f t="shared" si="114"/>
        <v>5.9567238585869796E-4</v>
      </c>
      <c r="AA116" s="23">
        <f t="shared" si="115"/>
        <v>0</v>
      </c>
      <c r="AB116" s="326">
        <v>9873020532.8299999</v>
      </c>
      <c r="AC116" s="327">
        <v>36.6</v>
      </c>
      <c r="AD116" s="23">
        <f t="shared" si="116"/>
        <v>1.4494221862396432E-3</v>
      </c>
      <c r="AE116" s="23">
        <f t="shared" si="117"/>
        <v>0</v>
      </c>
      <c r="AF116" s="326">
        <v>9875245071.0699997</v>
      </c>
      <c r="AG116" s="327">
        <v>36.6</v>
      </c>
      <c r="AH116" s="23">
        <f t="shared" si="118"/>
        <v>2.2531486008792187E-4</v>
      </c>
      <c r="AI116" s="23">
        <f t="shared" si="119"/>
        <v>0</v>
      </c>
      <c r="AJ116" s="24">
        <f t="shared" si="72"/>
        <v>-3.8138564099144986E-3</v>
      </c>
      <c r="AK116" s="24">
        <f t="shared" si="73"/>
        <v>0</v>
      </c>
      <c r="AL116" s="25">
        <f t="shared" si="74"/>
        <v>-3.2243676582085795E-2</v>
      </c>
      <c r="AM116" s="25">
        <f t="shared" si="75"/>
        <v>0</v>
      </c>
      <c r="AN116" s="466">
        <f t="shared" si="76"/>
        <v>1.3488386228277837E-2</v>
      </c>
      <c r="AO116" s="467">
        <f t="shared" si="77"/>
        <v>0</v>
      </c>
      <c r="AP116" s="30"/>
      <c r="AQ116" s="28">
        <v>2128320668.46</v>
      </c>
      <c r="AR116" s="35">
        <v>1.04</v>
      </c>
      <c r="AS116" s="29" t="e">
        <f>(#REF!/AQ116)-1</f>
        <v>#REF!</v>
      </c>
      <c r="AT116" s="29" t="e">
        <f>(#REF!/AR116)-1</f>
        <v>#REF!</v>
      </c>
    </row>
    <row r="117" spans="1:46">
      <c r="A117" s="202" t="s">
        <v>182</v>
      </c>
      <c r="B117" s="326">
        <v>27163422055.529999</v>
      </c>
      <c r="C117" s="327">
        <v>3.15</v>
      </c>
      <c r="D117" s="326">
        <v>27268732309.669998</v>
      </c>
      <c r="E117" s="327">
        <v>3.15</v>
      </c>
      <c r="F117" s="23">
        <f>((D117-B117)/B117)</f>
        <v>3.876914106209238E-3</v>
      </c>
      <c r="G117" s="23">
        <f>((E117-C117)/C117)</f>
        <v>0</v>
      </c>
      <c r="H117" s="326">
        <v>27273204629.889999</v>
      </c>
      <c r="I117" s="327">
        <v>3.35</v>
      </c>
      <c r="J117" s="23">
        <f t="shared" si="106"/>
        <v>1.640090991107516E-4</v>
      </c>
      <c r="K117" s="23">
        <f t="shared" si="107"/>
        <v>6.3492063492063544E-2</v>
      </c>
      <c r="L117" s="326">
        <v>27272188865.650002</v>
      </c>
      <c r="M117" s="327">
        <v>3.35</v>
      </c>
      <c r="N117" s="23">
        <f t="shared" si="108"/>
        <v>-3.7244036913969383E-5</v>
      </c>
      <c r="O117" s="23">
        <f t="shared" si="109"/>
        <v>0</v>
      </c>
      <c r="P117" s="326">
        <v>27292225435.630001</v>
      </c>
      <c r="Q117" s="327">
        <v>3.2</v>
      </c>
      <c r="R117" s="23">
        <f t="shared" si="110"/>
        <v>7.3468873652587886E-4</v>
      </c>
      <c r="S117" s="23">
        <f t="shared" si="111"/>
        <v>-4.4776119402985044E-2</v>
      </c>
      <c r="T117" s="326">
        <v>26786172175.610001</v>
      </c>
      <c r="U117" s="327">
        <v>3.35</v>
      </c>
      <c r="V117" s="23">
        <f t="shared" si="112"/>
        <v>-1.8542029898351488E-2</v>
      </c>
      <c r="W117" s="23">
        <f t="shared" si="113"/>
        <v>4.6874999999999972E-2</v>
      </c>
      <c r="X117" s="326">
        <v>26854922970.27</v>
      </c>
      <c r="Y117" s="327">
        <v>3.35</v>
      </c>
      <c r="Z117" s="23">
        <f t="shared" si="114"/>
        <v>2.5666524581888749E-3</v>
      </c>
      <c r="AA117" s="23">
        <f t="shared" si="115"/>
        <v>0</v>
      </c>
      <c r="AB117" s="326">
        <v>26857877014.560001</v>
      </c>
      <c r="AC117" s="327">
        <v>3.6</v>
      </c>
      <c r="AD117" s="23">
        <f t="shared" si="116"/>
        <v>1.1000010289626295E-4</v>
      </c>
      <c r="AE117" s="23">
        <f t="shared" si="117"/>
        <v>7.4626865671641784E-2</v>
      </c>
      <c r="AF117" s="326">
        <v>26864270591.25</v>
      </c>
      <c r="AG117" s="327">
        <v>3.6</v>
      </c>
      <c r="AH117" s="23">
        <f t="shared" si="118"/>
        <v>2.3805219923125667E-4</v>
      </c>
      <c r="AI117" s="23">
        <f t="shared" si="119"/>
        <v>0</v>
      </c>
      <c r="AJ117" s="24">
        <f t="shared" si="72"/>
        <v>-1.3611196541378993E-3</v>
      </c>
      <c r="AK117" s="24">
        <f t="shared" si="73"/>
        <v>1.7527226220090033E-2</v>
      </c>
      <c r="AL117" s="25">
        <f t="shared" si="74"/>
        <v>-1.4832435693263545E-2</v>
      </c>
      <c r="AM117" s="25">
        <f t="shared" si="75"/>
        <v>0.1428571428571429</v>
      </c>
      <c r="AN117" s="466">
        <f t="shared" si="76"/>
        <v>7.0835895802604269E-3</v>
      </c>
      <c r="AO117" s="467">
        <f t="shared" si="77"/>
        <v>4.0258004401045468E-2</v>
      </c>
      <c r="AP117" s="30"/>
      <c r="AQ117" s="28">
        <v>1789192828.73</v>
      </c>
      <c r="AR117" s="32">
        <v>0.79</v>
      </c>
      <c r="AS117" s="29" t="e">
        <f>(#REF!/AQ117)-1</f>
        <v>#REF!</v>
      </c>
      <c r="AT117" s="29" t="e">
        <f>(#REF!/AR117)-1</f>
        <v>#REF!</v>
      </c>
    </row>
    <row r="118" spans="1:46">
      <c r="A118" s="204" t="s">
        <v>42</v>
      </c>
      <c r="B118" s="70">
        <f>SUM(B114:B117)</f>
        <v>47216549017.909996</v>
      </c>
      <c r="C118" s="85"/>
      <c r="D118" s="70">
        <f>SUM(D114:D117)</f>
        <v>94163780372.309998</v>
      </c>
      <c r="E118" s="85"/>
      <c r="F118" s="23">
        <f>((D118-B118)/B118)</f>
        <v>0.99429611716417821</v>
      </c>
      <c r="G118" s="23"/>
      <c r="H118" s="70">
        <f>SUM(H114:H117)</f>
        <v>94193238006.570007</v>
      </c>
      <c r="I118" s="85"/>
      <c r="J118" s="23">
        <f>((H118-D118)/D118)</f>
        <v>3.128340232681667E-4</v>
      </c>
      <c r="K118" s="23"/>
      <c r="L118" s="70">
        <f>SUM(L114:L117)</f>
        <v>94202498345.429993</v>
      </c>
      <c r="M118" s="85"/>
      <c r="N118" s="23">
        <f>((L118-H118)/H118)</f>
        <v>9.8312140616075224E-5</v>
      </c>
      <c r="O118" s="23"/>
      <c r="P118" s="70">
        <f>SUM(P114:P117)</f>
        <v>94230214273.230011</v>
      </c>
      <c r="Q118" s="85"/>
      <c r="R118" s="23">
        <f>((P118-L118)/L118)</f>
        <v>2.9421648349905875E-4</v>
      </c>
      <c r="S118" s="23"/>
      <c r="T118" s="70">
        <f>SUM(T114:T117)</f>
        <v>93351135037.830002</v>
      </c>
      <c r="U118" s="85"/>
      <c r="V118" s="23">
        <f>((T118-P118)/P118)</f>
        <v>-9.3290590728259438E-3</v>
      </c>
      <c r="W118" s="23"/>
      <c r="X118" s="70">
        <f>SUM(X114:X117)</f>
        <v>93428704507.080002</v>
      </c>
      <c r="Y118" s="85"/>
      <c r="Z118" s="23">
        <f>((X118-T118)/T118)</f>
        <v>8.3094296838024978E-4</v>
      </c>
      <c r="AA118" s="23"/>
      <c r="AB118" s="70">
        <f>SUM(AB114:AB117)</f>
        <v>93449896565.160004</v>
      </c>
      <c r="AC118" s="85"/>
      <c r="AD118" s="23">
        <f>((AB118-X118)/X118)</f>
        <v>2.2682598663664337E-4</v>
      </c>
      <c r="AE118" s="23"/>
      <c r="AF118" s="70">
        <f>SUM(AF114:AF117)</f>
        <v>93463222418.470001</v>
      </c>
      <c r="AG118" s="85"/>
      <c r="AH118" s="23">
        <f>((AF118-AB118)/AB118)</f>
        <v>1.4259890914599156E-4</v>
      </c>
      <c r="AI118" s="23"/>
      <c r="AJ118" s="24">
        <f t="shared" si="72"/>
        <v>0.1233590985753623</v>
      </c>
      <c r="AK118" s="24"/>
      <c r="AL118" s="25">
        <f t="shared" si="74"/>
        <v>-7.4397815282064008E-3</v>
      </c>
      <c r="AM118" s="25"/>
      <c r="AN118" s="466">
        <f t="shared" si="76"/>
        <v>0.35192795908188246</v>
      </c>
      <c r="AO118" s="467"/>
      <c r="AP118" s="30"/>
      <c r="AQ118" s="28">
        <v>204378030.47999999</v>
      </c>
      <c r="AR118" s="32">
        <v>22.9087</v>
      </c>
      <c r="AS118" s="29" t="e">
        <f>(#REF!/AQ118)-1</f>
        <v>#REF!</v>
      </c>
      <c r="AT118" s="29" t="e">
        <f>(#REF!/AR118)-1</f>
        <v>#REF!</v>
      </c>
    </row>
    <row r="119" spans="1:46" s="370" customFormat="1" ht="7.5" customHeight="1">
      <c r="A119" s="204"/>
      <c r="B119" s="70"/>
      <c r="C119" s="85"/>
      <c r="D119" s="85"/>
      <c r="E119" s="85"/>
      <c r="F119" s="23"/>
      <c r="G119" s="23"/>
      <c r="H119" s="85"/>
      <c r="I119" s="85"/>
      <c r="J119" s="23"/>
      <c r="K119" s="23"/>
      <c r="L119" s="85"/>
      <c r="M119" s="85"/>
      <c r="N119" s="23"/>
      <c r="O119" s="23"/>
      <c r="P119" s="85"/>
      <c r="Q119" s="85"/>
      <c r="R119" s="23"/>
      <c r="S119" s="23"/>
      <c r="T119" s="85"/>
      <c r="U119" s="85"/>
      <c r="V119" s="23"/>
      <c r="W119" s="23"/>
      <c r="X119" s="85"/>
      <c r="Y119" s="85"/>
      <c r="Z119" s="23"/>
      <c r="AA119" s="23"/>
      <c r="AB119" s="85"/>
      <c r="AC119" s="85"/>
      <c r="AD119" s="23"/>
      <c r="AE119" s="23"/>
      <c r="AF119" s="85"/>
      <c r="AG119" s="85"/>
      <c r="AH119" s="23"/>
      <c r="AI119" s="23"/>
      <c r="AJ119" s="24"/>
      <c r="AK119" s="24"/>
      <c r="AL119" s="25"/>
      <c r="AM119" s="25"/>
      <c r="AN119" s="466"/>
      <c r="AO119" s="467"/>
      <c r="AP119" s="30"/>
      <c r="AQ119" s="28"/>
      <c r="AR119" s="32"/>
      <c r="AS119" s="29"/>
      <c r="AT119" s="29"/>
    </row>
    <row r="120" spans="1:46">
      <c r="A120" s="206" t="s">
        <v>221</v>
      </c>
      <c r="B120" s="85"/>
      <c r="C120" s="85"/>
      <c r="D120" s="85"/>
      <c r="E120" s="85"/>
      <c r="F120" s="23"/>
      <c r="G120" s="23"/>
      <c r="H120" s="85"/>
      <c r="I120" s="85"/>
      <c r="J120" s="23"/>
      <c r="K120" s="23"/>
      <c r="L120" s="85"/>
      <c r="M120" s="85"/>
      <c r="N120" s="23"/>
      <c r="O120" s="23"/>
      <c r="P120" s="85"/>
      <c r="Q120" s="85"/>
      <c r="R120" s="23"/>
      <c r="S120" s="23"/>
      <c r="T120" s="85"/>
      <c r="U120" s="85"/>
      <c r="V120" s="23"/>
      <c r="W120" s="23"/>
      <c r="X120" s="85"/>
      <c r="Y120" s="85"/>
      <c r="Z120" s="23"/>
      <c r="AA120" s="23"/>
      <c r="AB120" s="85"/>
      <c r="AC120" s="85"/>
      <c r="AD120" s="23"/>
      <c r="AE120" s="23"/>
      <c r="AF120" s="85"/>
      <c r="AG120" s="85"/>
      <c r="AH120" s="23"/>
      <c r="AI120" s="23"/>
      <c r="AJ120" s="24"/>
      <c r="AK120" s="24"/>
      <c r="AL120" s="25"/>
      <c r="AM120" s="25"/>
      <c r="AN120" s="466"/>
      <c r="AO120" s="467"/>
      <c r="AP120" s="30"/>
      <c r="AQ120" s="28">
        <v>160273731.87</v>
      </c>
      <c r="AR120" s="32">
        <v>133.94</v>
      </c>
      <c r="AS120" s="29" t="e">
        <f>(#REF!/AQ120)-1</f>
        <v>#REF!</v>
      </c>
      <c r="AT120" s="29" t="e">
        <f>(#REF!/AR120)-1</f>
        <v>#REF!</v>
      </c>
    </row>
    <row r="121" spans="1:46" s="93" customFormat="1">
      <c r="A121" s="202" t="s">
        <v>116</v>
      </c>
      <c r="B121" s="325">
        <v>170773706.19</v>
      </c>
      <c r="C121" s="325">
        <v>3.89</v>
      </c>
      <c r="D121" s="325">
        <v>171476888.66999999</v>
      </c>
      <c r="E121" s="325">
        <v>3.91</v>
      </c>
      <c r="F121" s="23">
        <f>((D121-B121)/B121)</f>
        <v>4.1176273308587688E-3</v>
      </c>
      <c r="G121" s="23">
        <f>((E121-C121)/C121)</f>
        <v>5.1413881748072028E-3</v>
      </c>
      <c r="H121" s="325">
        <v>171930951.83000001</v>
      </c>
      <c r="I121" s="325">
        <v>3.92</v>
      </c>
      <c r="J121" s="23">
        <f t="shared" ref="J121:J131" si="120">((H121-D121)/D121)</f>
        <v>2.6479554389037905E-3</v>
      </c>
      <c r="K121" s="23">
        <f t="shared" ref="K121:K131" si="121">((I121-E121)/E121)</f>
        <v>2.5575447570331936E-3</v>
      </c>
      <c r="L121" s="325">
        <v>173805872.94</v>
      </c>
      <c r="M121" s="325">
        <v>3.96</v>
      </c>
      <c r="N121" s="23">
        <f t="shared" ref="N121:N131" si="122">((L121-H121)/H121)</f>
        <v>1.0905081895049637E-2</v>
      </c>
      <c r="O121" s="23">
        <f t="shared" ref="O121:O131" si="123">((M121-I121)/I121)</f>
        <v>1.0204081632653071E-2</v>
      </c>
      <c r="P121" s="325">
        <v>175841799.91999999</v>
      </c>
      <c r="Q121" s="325">
        <v>4.01</v>
      </c>
      <c r="R121" s="23">
        <f t="shared" ref="R121:R131" si="124">((P121-L121)/L121)</f>
        <v>1.1713798536041514E-2</v>
      </c>
      <c r="S121" s="23">
        <f t="shared" ref="S121:S131" si="125">((Q121-M121)/M121)</f>
        <v>1.2626262626262581E-2</v>
      </c>
      <c r="T121" s="325">
        <v>180051411.02000001</v>
      </c>
      <c r="U121" s="325">
        <v>4.09</v>
      </c>
      <c r="V121" s="23">
        <f t="shared" ref="V121:V131" si="126">((T121-P121)/P121)</f>
        <v>2.3939763480100892E-2</v>
      </c>
      <c r="W121" s="23">
        <f t="shared" ref="W121:W131" si="127">((U121-Q121)/Q121)</f>
        <v>1.9950124688279322E-2</v>
      </c>
      <c r="X121" s="325">
        <v>180314220.96000001</v>
      </c>
      <c r="Y121" s="325">
        <v>4.0999999999999996</v>
      </c>
      <c r="Z121" s="23">
        <f t="shared" ref="Z121:Z131" si="128">((X121-T121)/T121)</f>
        <v>1.4596383250270936E-3</v>
      </c>
      <c r="AA121" s="23">
        <f t="shared" ref="AA121:AA131" si="129">((Y121-U121)/U121)</f>
        <v>2.4449877750610726E-3</v>
      </c>
      <c r="AB121" s="325">
        <v>186288631.78999999</v>
      </c>
      <c r="AC121" s="325">
        <v>4.24</v>
      </c>
      <c r="AD121" s="23">
        <f t="shared" ref="AD121:AD131" si="130">((AB121-X121)/X121)</f>
        <v>3.3133331348975052E-2</v>
      </c>
      <c r="AE121" s="23">
        <f t="shared" ref="AE121:AE131" si="131">((AC121-Y121)/Y121)</f>
        <v>3.4146341463414775E-2</v>
      </c>
      <c r="AF121" s="325">
        <v>187052986.65000001</v>
      </c>
      <c r="AG121" s="325">
        <v>4.25</v>
      </c>
      <c r="AH121" s="23">
        <f t="shared" ref="AH121:AH131" si="132">((AF121-AB121)/AB121)</f>
        <v>4.1030676571915487E-3</v>
      </c>
      <c r="AI121" s="23">
        <f t="shared" ref="AI121:AI131" si="133">((AG121-AC121)/AC121)</f>
        <v>2.3584905660376855E-3</v>
      </c>
      <c r="AJ121" s="24">
        <f t="shared" si="72"/>
        <v>1.1502533001518538E-2</v>
      </c>
      <c r="AK121" s="24">
        <f t="shared" si="73"/>
        <v>1.1178652710443613E-2</v>
      </c>
      <c r="AL121" s="25">
        <f t="shared" si="74"/>
        <v>9.0834969661570897E-2</v>
      </c>
      <c r="AM121" s="25">
        <f t="shared" si="75"/>
        <v>8.6956521739130391E-2</v>
      </c>
      <c r="AN121" s="466">
        <f t="shared" si="76"/>
        <v>1.1411334694180816E-2</v>
      </c>
      <c r="AO121" s="467">
        <f t="shared" si="77"/>
        <v>1.1163352283509195E-2</v>
      </c>
      <c r="AP121" s="30"/>
      <c r="AQ121" s="28"/>
      <c r="AR121" s="32"/>
      <c r="AS121" s="29"/>
      <c r="AT121" s="29"/>
    </row>
    <row r="122" spans="1:46" s="103" customFormat="1">
      <c r="A122" s="202" t="s">
        <v>155</v>
      </c>
      <c r="B122" s="325">
        <v>4908955750.3999996</v>
      </c>
      <c r="C122" s="325">
        <v>556.91679999999997</v>
      </c>
      <c r="D122" s="325">
        <v>4938418482.0100002</v>
      </c>
      <c r="E122" s="325">
        <v>559.78129999999999</v>
      </c>
      <c r="F122" s="23">
        <f>((D122-B122)/B122)</f>
        <v>6.0018327946019636E-3</v>
      </c>
      <c r="G122" s="23">
        <f>((E122-C122)/C122)</f>
        <v>5.1434971974270143E-3</v>
      </c>
      <c r="H122" s="325">
        <v>4935775290.6000004</v>
      </c>
      <c r="I122" s="325">
        <v>559.86249999999995</v>
      </c>
      <c r="J122" s="23">
        <f t="shared" si="120"/>
        <v>-5.3523034137925758E-4</v>
      </c>
      <c r="K122" s="23">
        <f t="shared" si="121"/>
        <v>1.4505664980228364E-4</v>
      </c>
      <c r="L122" s="325">
        <v>4941603561.1999998</v>
      </c>
      <c r="M122" s="325">
        <v>560.7441</v>
      </c>
      <c r="N122" s="23">
        <f t="shared" si="122"/>
        <v>1.1808217061864935E-3</v>
      </c>
      <c r="O122" s="23">
        <f t="shared" si="123"/>
        <v>1.5746723525866596E-3</v>
      </c>
      <c r="P122" s="325">
        <v>5047198471.25</v>
      </c>
      <c r="Q122" s="325">
        <v>570.83989999999994</v>
      </c>
      <c r="R122" s="23">
        <f t="shared" si="124"/>
        <v>2.1368551471651832E-2</v>
      </c>
      <c r="S122" s="23">
        <f t="shared" si="125"/>
        <v>1.8004291083936398E-2</v>
      </c>
      <c r="T122" s="325">
        <v>5215056273.8800001</v>
      </c>
      <c r="U122" s="325">
        <v>589.41840000000002</v>
      </c>
      <c r="V122" s="23">
        <f t="shared" si="126"/>
        <v>3.325761877329704E-2</v>
      </c>
      <c r="W122" s="23">
        <f t="shared" si="127"/>
        <v>3.2545902975598021E-2</v>
      </c>
      <c r="X122" s="325">
        <v>5218857777.5299997</v>
      </c>
      <c r="Y122" s="325">
        <v>589.77639999999997</v>
      </c>
      <c r="Z122" s="23">
        <f t="shared" si="128"/>
        <v>7.2894777167405351E-4</v>
      </c>
      <c r="AA122" s="23">
        <f t="shared" si="129"/>
        <v>6.0737839198767333E-4</v>
      </c>
      <c r="AB122" s="325">
        <v>5423260890.4499998</v>
      </c>
      <c r="AC122" s="325">
        <v>613.34460000000001</v>
      </c>
      <c r="AD122" s="23">
        <f t="shared" si="130"/>
        <v>3.9166254692754005E-2</v>
      </c>
      <c r="AE122" s="23">
        <f t="shared" si="131"/>
        <v>3.996124632996513E-2</v>
      </c>
      <c r="AF122" s="325">
        <v>5379490467.0699997</v>
      </c>
      <c r="AG122" s="325">
        <v>608.30999999999995</v>
      </c>
      <c r="AH122" s="23">
        <f t="shared" si="132"/>
        <v>-8.0708681113012479E-3</v>
      </c>
      <c r="AI122" s="23">
        <f t="shared" si="133"/>
        <v>-8.2084361711182718E-3</v>
      </c>
      <c r="AJ122" s="24">
        <f t="shared" si="72"/>
        <v>1.163724109468561E-2</v>
      </c>
      <c r="AK122" s="24">
        <f t="shared" si="73"/>
        <v>1.1221701101273112E-2</v>
      </c>
      <c r="AL122" s="25">
        <f t="shared" si="74"/>
        <v>8.9314420530938368E-2</v>
      </c>
      <c r="AM122" s="25">
        <f t="shared" si="75"/>
        <v>8.6692249276637073E-2</v>
      </c>
      <c r="AN122" s="466">
        <f t="shared" si="76"/>
        <v>1.7389034919396328E-2</v>
      </c>
      <c r="AO122" s="467">
        <f t="shared" si="77"/>
        <v>1.719461058455634E-2</v>
      </c>
      <c r="AP122" s="30"/>
      <c r="AQ122" s="28"/>
      <c r="AR122" s="32"/>
      <c r="AS122" s="29"/>
      <c r="AT122" s="29"/>
    </row>
    <row r="123" spans="1:46" s="370" customFormat="1">
      <c r="A123" s="202" t="s">
        <v>241</v>
      </c>
      <c r="B123" s="325">
        <v>2681164804.3800001</v>
      </c>
      <c r="C123" s="325">
        <v>14.798400000000001</v>
      </c>
      <c r="D123" s="325">
        <v>2697991011.23</v>
      </c>
      <c r="E123" s="325">
        <v>14.9048</v>
      </c>
      <c r="F123" s="23">
        <f>((D123-B123)/B123)</f>
        <v>6.2757077903276602E-3</v>
      </c>
      <c r="G123" s="23">
        <f>((E123-C123)/C123)</f>
        <v>7.1899664828629405E-3</v>
      </c>
      <c r="H123" s="325">
        <v>2699776971.6500001</v>
      </c>
      <c r="I123" s="325">
        <v>14.969200000000001</v>
      </c>
      <c r="J123" s="23">
        <f t="shared" si="120"/>
        <v>6.6195936627152304E-4</v>
      </c>
      <c r="K123" s="23">
        <f t="shared" si="121"/>
        <v>4.3207557296978758E-3</v>
      </c>
      <c r="L123" s="325">
        <v>2718917482.6599998</v>
      </c>
      <c r="M123" s="325">
        <v>15.014799999999999</v>
      </c>
      <c r="N123" s="23">
        <f t="shared" si="122"/>
        <v>7.0896637800054296E-3</v>
      </c>
      <c r="O123" s="23">
        <f t="shared" si="123"/>
        <v>3.0462549768857741E-3</v>
      </c>
      <c r="P123" s="325">
        <v>2722075524.23</v>
      </c>
      <c r="Q123" s="325">
        <v>15.203900000000001</v>
      </c>
      <c r="R123" s="23">
        <f t="shared" si="124"/>
        <v>1.1615069564047834E-3</v>
      </c>
      <c r="S123" s="23">
        <f t="shared" si="125"/>
        <v>1.2594240349521913E-2</v>
      </c>
      <c r="T123" s="325">
        <v>2808501820.6199999</v>
      </c>
      <c r="U123" s="325">
        <v>15.6739</v>
      </c>
      <c r="V123" s="23">
        <f t="shared" si="126"/>
        <v>3.175014639406358E-2</v>
      </c>
      <c r="W123" s="23">
        <f t="shared" si="127"/>
        <v>3.0913120975539093E-2</v>
      </c>
      <c r="X123" s="325">
        <v>2806863067.3200002</v>
      </c>
      <c r="Y123" s="325">
        <v>15.6533</v>
      </c>
      <c r="Z123" s="23">
        <f t="shared" si="128"/>
        <v>-5.8349732514609721E-4</v>
      </c>
      <c r="AA123" s="23">
        <f t="shared" si="129"/>
        <v>-1.3142868080056624E-3</v>
      </c>
      <c r="AB123" s="325">
        <v>2912210240.25</v>
      </c>
      <c r="AC123" s="325">
        <v>16.3429</v>
      </c>
      <c r="AD123" s="23">
        <f t="shared" si="130"/>
        <v>3.7531995827137218E-2</v>
      </c>
      <c r="AE123" s="23">
        <f t="shared" si="131"/>
        <v>4.4054608293458919E-2</v>
      </c>
      <c r="AF123" s="325">
        <v>2916603768.6599998</v>
      </c>
      <c r="AG123" s="325">
        <v>16.128499999999999</v>
      </c>
      <c r="AH123" s="23">
        <f t="shared" si="132"/>
        <v>1.5086577024132307E-3</v>
      </c>
      <c r="AI123" s="23">
        <f t="shared" si="133"/>
        <v>-1.3118846716311135E-2</v>
      </c>
      <c r="AJ123" s="24">
        <f t="shared" si="72"/>
        <v>1.0674517561434668E-2</v>
      </c>
      <c r="AK123" s="24">
        <f t="shared" si="73"/>
        <v>1.0960726660456215E-2</v>
      </c>
      <c r="AL123" s="25">
        <f t="shared" si="74"/>
        <v>8.1027978418036092E-2</v>
      </c>
      <c r="AM123" s="25">
        <f t="shared" si="75"/>
        <v>8.2101068112285916E-2</v>
      </c>
      <c r="AN123" s="466">
        <f t="shared" si="76"/>
        <v>1.5114853394897316E-2</v>
      </c>
      <c r="AO123" s="467">
        <f t="shared" si="77"/>
        <v>1.8312446685958203E-2</v>
      </c>
      <c r="AP123" s="30"/>
      <c r="AQ123" s="28"/>
      <c r="AR123" s="32"/>
      <c r="AS123" s="29"/>
      <c r="AT123" s="29"/>
    </row>
    <row r="124" spans="1:46">
      <c r="A124" s="202" t="s">
        <v>143</v>
      </c>
      <c r="B124" s="326">
        <v>1012602240.15</v>
      </c>
      <c r="C124" s="325">
        <v>2.4079000000000002</v>
      </c>
      <c r="D124" s="326">
        <v>1032654596.37</v>
      </c>
      <c r="E124" s="325">
        <v>2.4561000000000002</v>
      </c>
      <c r="F124" s="23">
        <f>((D124-B124)/B124)</f>
        <v>1.9802796621336341E-2</v>
      </c>
      <c r="G124" s="23">
        <f>((E124-C124)/C124)</f>
        <v>2.0017442584824959E-2</v>
      </c>
      <c r="H124" s="326">
        <v>1047558751.25</v>
      </c>
      <c r="I124" s="325">
        <v>2.4914000000000001</v>
      </c>
      <c r="J124" s="23">
        <f t="shared" si="120"/>
        <v>1.4432855799404043E-2</v>
      </c>
      <c r="K124" s="23">
        <f t="shared" si="121"/>
        <v>1.4372378974797395E-2</v>
      </c>
      <c r="L124" s="326">
        <v>1072807293.22</v>
      </c>
      <c r="M124" s="325">
        <v>2.5520999999999998</v>
      </c>
      <c r="N124" s="23">
        <f t="shared" si="122"/>
        <v>2.4102268192473398E-2</v>
      </c>
      <c r="O124" s="23">
        <f t="shared" si="123"/>
        <v>2.4363811511599803E-2</v>
      </c>
      <c r="P124" s="326">
        <v>1082077115.4200001</v>
      </c>
      <c r="Q124" s="325">
        <v>2.5746000000000002</v>
      </c>
      <c r="R124" s="23">
        <f t="shared" si="124"/>
        <v>8.6407151205851185E-3</v>
      </c>
      <c r="S124" s="23">
        <f t="shared" si="125"/>
        <v>8.8162689549784144E-3</v>
      </c>
      <c r="T124" s="326">
        <v>1099121728.96</v>
      </c>
      <c r="U124" s="325">
        <v>2.6156999999999999</v>
      </c>
      <c r="V124" s="23">
        <f t="shared" si="126"/>
        <v>1.5751754932349923E-2</v>
      </c>
      <c r="W124" s="23">
        <f t="shared" si="127"/>
        <v>1.5963644838032972E-2</v>
      </c>
      <c r="X124" s="326">
        <v>1101968822.7</v>
      </c>
      <c r="Y124" s="325">
        <v>2.6223999999999998</v>
      </c>
      <c r="Z124" s="23">
        <f t="shared" si="128"/>
        <v>2.5903352331083092E-3</v>
      </c>
      <c r="AA124" s="23">
        <f t="shared" si="129"/>
        <v>2.5614558244446721E-3</v>
      </c>
      <c r="AB124" s="326">
        <v>1142804967.6199999</v>
      </c>
      <c r="AC124" s="325">
        <v>2.7210000000000001</v>
      </c>
      <c r="AD124" s="23">
        <f t="shared" si="130"/>
        <v>3.7057441262217154E-2</v>
      </c>
      <c r="AE124" s="23">
        <f t="shared" si="131"/>
        <v>3.7599145820622425E-2</v>
      </c>
      <c r="AF124" s="326">
        <v>1152185540.3800001</v>
      </c>
      <c r="AG124" s="325">
        <v>2.7435</v>
      </c>
      <c r="AH124" s="23">
        <f t="shared" si="132"/>
        <v>8.2083759047146647E-3</v>
      </c>
      <c r="AI124" s="23">
        <f t="shared" si="133"/>
        <v>8.269018743109138E-3</v>
      </c>
      <c r="AJ124" s="24">
        <f t="shared" si="72"/>
        <v>1.6323317883273618E-2</v>
      </c>
      <c r="AK124" s="24">
        <f t="shared" si="73"/>
        <v>1.6495395906551222E-2</v>
      </c>
      <c r="AL124" s="25">
        <f t="shared" si="74"/>
        <v>0.11575113734076886</v>
      </c>
      <c r="AM124" s="25">
        <f t="shared" si="75"/>
        <v>0.11701477952852077</v>
      </c>
      <c r="AN124" s="466">
        <f t="shared" si="76"/>
        <v>1.0822547393465769E-2</v>
      </c>
      <c r="AO124" s="467">
        <f t="shared" si="77"/>
        <v>1.0988773203658255E-2</v>
      </c>
      <c r="AP124" s="30"/>
      <c r="AQ124" s="56">
        <f>SUM(AQ115:AQ120)</f>
        <v>4923038917.1999998</v>
      </c>
      <c r="AR124" s="13"/>
      <c r="AS124" s="29" t="e">
        <f>(#REF!/AQ124)-1</f>
        <v>#REF!</v>
      </c>
      <c r="AT124" s="29" t="e">
        <f>(#REF!/AR124)-1</f>
        <v>#REF!</v>
      </c>
    </row>
    <row r="125" spans="1:46">
      <c r="A125" s="202" t="s">
        <v>266</v>
      </c>
      <c r="B125" s="326">
        <v>2367475279.2972498</v>
      </c>
      <c r="C125" s="325">
        <v>4470.5542497194201</v>
      </c>
      <c r="D125" s="326">
        <v>2381743169.8162699</v>
      </c>
      <c r="E125" s="325">
        <v>4497.5691687045801</v>
      </c>
      <c r="F125" s="23">
        <f>((D125-B125)/B125)</f>
        <v>6.0266270333582082E-3</v>
      </c>
      <c r="G125" s="23">
        <f>((E125-C125)/C125)</f>
        <v>6.0428567636452392E-3</v>
      </c>
      <c r="H125" s="326">
        <v>2369343849.3488002</v>
      </c>
      <c r="I125" s="325">
        <v>4469.4253479082499</v>
      </c>
      <c r="J125" s="23">
        <f t="shared" si="120"/>
        <v>-5.2059855254780428E-3</v>
      </c>
      <c r="K125" s="23">
        <f t="shared" si="121"/>
        <v>-6.2575626389835643E-3</v>
      </c>
      <c r="L125" s="326">
        <v>2386581991.5784502</v>
      </c>
      <c r="M125" s="325">
        <v>4504.8489558523297</v>
      </c>
      <c r="N125" s="23">
        <f t="shared" si="122"/>
        <v>7.2754920035721362E-3</v>
      </c>
      <c r="O125" s="23">
        <f t="shared" si="123"/>
        <v>7.9257634229551437E-3</v>
      </c>
      <c r="P125" s="326">
        <v>2430174060.5251298</v>
      </c>
      <c r="Q125" s="325">
        <v>4587.3988998184304</v>
      </c>
      <c r="R125" s="23">
        <f t="shared" si="124"/>
        <v>1.8265481387399744E-2</v>
      </c>
      <c r="S125" s="23">
        <f t="shared" si="125"/>
        <v>1.8324686304711419E-2</v>
      </c>
      <c r="T125" s="326">
        <v>2487244601.2964201</v>
      </c>
      <c r="U125" s="325">
        <v>4695.8647294641996</v>
      </c>
      <c r="V125" s="23">
        <f t="shared" si="126"/>
        <v>2.3484137082328202E-2</v>
      </c>
      <c r="W125" s="23">
        <f t="shared" si="127"/>
        <v>2.3644298656927847E-2</v>
      </c>
      <c r="X125" s="326">
        <v>2510565113.12186</v>
      </c>
      <c r="Y125" s="325">
        <v>4723.0348347712297</v>
      </c>
      <c r="Z125" s="23">
        <f t="shared" si="128"/>
        <v>9.3760427958250025E-3</v>
      </c>
      <c r="AA125" s="23">
        <f t="shared" si="129"/>
        <v>5.7859642200831073E-3</v>
      </c>
      <c r="AB125" s="326">
        <v>2615945343.5957499</v>
      </c>
      <c r="AC125" s="325">
        <v>4919.8318449966901</v>
      </c>
      <c r="AD125" s="23">
        <f t="shared" si="130"/>
        <v>4.1974705186136628E-2</v>
      </c>
      <c r="AE125" s="23">
        <f t="shared" si="131"/>
        <v>4.1667490736386363E-2</v>
      </c>
      <c r="AF125" s="326">
        <v>2631605616.6355901</v>
      </c>
      <c r="AG125" s="325">
        <v>4939.3351779398099</v>
      </c>
      <c r="AH125" s="23">
        <f t="shared" si="132"/>
        <v>5.9864679811369378E-3</v>
      </c>
      <c r="AI125" s="23">
        <f t="shared" si="133"/>
        <v>3.96422755036925E-3</v>
      </c>
      <c r="AJ125" s="24">
        <f t="shared" si="72"/>
        <v>1.3397870993034851E-2</v>
      </c>
      <c r="AK125" s="24">
        <f t="shared" si="73"/>
        <v>1.2637215627011851E-2</v>
      </c>
      <c r="AL125" s="25">
        <f t="shared" si="74"/>
        <v>0.10490738463568045</v>
      </c>
      <c r="AM125" s="25">
        <f t="shared" si="75"/>
        <v>9.8223282992325883E-2</v>
      </c>
      <c r="AN125" s="466">
        <f t="shared" si="76"/>
        <v>1.439785739562428E-2</v>
      </c>
      <c r="AO125" s="467">
        <f t="shared" si="77"/>
        <v>1.483777244011647E-2</v>
      </c>
      <c r="AP125" s="30"/>
      <c r="AQ125" s="12" t="e">
        <f>SUM(AQ21,AQ53,#REF!,#REF!,AQ91,AQ113,AQ124)</f>
        <v>#REF!</v>
      </c>
      <c r="AR125" s="13"/>
      <c r="AS125" s="29" t="e">
        <f>(#REF!/AQ125)-1</f>
        <v>#REF!</v>
      </c>
      <c r="AT125" s="29" t="e">
        <f>(#REF!/AR125)-1</f>
        <v>#REF!</v>
      </c>
    </row>
    <row r="126" spans="1:46" ht="15" customHeight="1">
      <c r="A126" s="202" t="s">
        <v>156</v>
      </c>
      <c r="B126" s="325">
        <v>357118167.88</v>
      </c>
      <c r="C126" s="325">
        <v>142.54</v>
      </c>
      <c r="D126" s="325">
        <v>360101576.60000002</v>
      </c>
      <c r="E126" s="325">
        <v>143.65</v>
      </c>
      <c r="F126" s="23">
        <f>((D126-B126)/B126)</f>
        <v>8.3541219359148464E-3</v>
      </c>
      <c r="G126" s="23">
        <f>((E126-C126)/C126)</f>
        <v>7.7872877788691857E-3</v>
      </c>
      <c r="H126" s="325">
        <v>361009987.01999998</v>
      </c>
      <c r="I126" s="325">
        <v>144.01</v>
      </c>
      <c r="J126" s="23">
        <f t="shared" si="120"/>
        <v>2.5226504937217124E-3</v>
      </c>
      <c r="K126" s="23">
        <f t="shared" si="121"/>
        <v>2.5060911938738963E-3</v>
      </c>
      <c r="L126" s="325">
        <v>354647768.31999999</v>
      </c>
      <c r="M126" s="325">
        <v>134.91</v>
      </c>
      <c r="N126" s="23">
        <f t="shared" si="122"/>
        <v>-1.7623386966431821E-2</v>
      </c>
      <c r="O126" s="23">
        <f t="shared" si="123"/>
        <v>-6.3190056246093987E-2</v>
      </c>
      <c r="P126" s="325">
        <v>359886928.88999999</v>
      </c>
      <c r="Q126" s="325">
        <v>136.91999999999999</v>
      </c>
      <c r="R126" s="23">
        <f t="shared" si="124"/>
        <v>1.4772856445194599E-2</v>
      </c>
      <c r="S126" s="23">
        <f t="shared" si="125"/>
        <v>1.4898821436513164E-2</v>
      </c>
      <c r="T126" s="325">
        <v>371021554.06</v>
      </c>
      <c r="U126" s="325">
        <v>141.03</v>
      </c>
      <c r="V126" s="23">
        <f t="shared" si="126"/>
        <v>3.0939231953609887E-2</v>
      </c>
      <c r="W126" s="23">
        <f t="shared" si="127"/>
        <v>3.0017528483786256E-2</v>
      </c>
      <c r="X126" s="325">
        <v>385471981.02999997</v>
      </c>
      <c r="Y126" s="325">
        <v>140.94999999999999</v>
      </c>
      <c r="Z126" s="23">
        <f t="shared" si="128"/>
        <v>3.8947675173780089E-2</v>
      </c>
      <c r="AA126" s="23">
        <f t="shared" si="129"/>
        <v>-5.6725519393045808E-4</v>
      </c>
      <c r="AB126" s="325">
        <v>407139017.07999998</v>
      </c>
      <c r="AC126" s="325">
        <v>149.12</v>
      </c>
      <c r="AD126" s="23">
        <f t="shared" si="130"/>
        <v>5.6209107577948031E-2</v>
      </c>
      <c r="AE126" s="23">
        <f t="shared" si="131"/>
        <v>5.7963816956367625E-2</v>
      </c>
      <c r="AF126" s="325">
        <v>408833544.89999998</v>
      </c>
      <c r="AG126" s="325">
        <v>149.69999999999999</v>
      </c>
      <c r="AH126" s="23">
        <f t="shared" si="132"/>
        <v>4.1620374096129186E-3</v>
      </c>
      <c r="AI126" s="23">
        <f t="shared" si="133"/>
        <v>3.8894849785406655E-3</v>
      </c>
      <c r="AJ126" s="24">
        <f t="shared" si="72"/>
        <v>1.728553675291878E-2</v>
      </c>
      <c r="AK126" s="24">
        <f t="shared" si="73"/>
        <v>6.663214923490794E-3</v>
      </c>
      <c r="AL126" s="25">
        <f t="shared" si="74"/>
        <v>0.13532839472716696</v>
      </c>
      <c r="AM126" s="25">
        <f t="shared" si="75"/>
        <v>4.2116254785937925E-2</v>
      </c>
      <c r="AN126" s="466">
        <f t="shared" si="76"/>
        <v>2.3499549336986995E-2</v>
      </c>
      <c r="AO126" s="467">
        <f t="shared" si="77"/>
        <v>3.4232396794246292E-2</v>
      </c>
      <c r="AP126" s="30"/>
      <c r="AQ126" s="57"/>
      <c r="AR126" s="58"/>
      <c r="AS126" s="29" t="e">
        <f>(#REF!/AQ126)-1</f>
        <v>#REF!</v>
      </c>
      <c r="AT126" s="29" t="e">
        <f>(#REF!/AR126)-1</f>
        <v>#REF!</v>
      </c>
    </row>
    <row r="127" spans="1:46" ht="17.25" customHeight="1">
      <c r="A127" s="202" t="s">
        <v>180</v>
      </c>
      <c r="B127" s="325">
        <v>3734808.11</v>
      </c>
      <c r="C127" s="325">
        <v>102.99</v>
      </c>
      <c r="D127" s="325">
        <v>3734808.11</v>
      </c>
      <c r="E127" s="325">
        <v>102.99</v>
      </c>
      <c r="F127" s="23">
        <f>((D127-B127)/B127)</f>
        <v>0</v>
      </c>
      <c r="G127" s="23">
        <f>((E127-C127)/C127)</f>
        <v>0</v>
      </c>
      <c r="H127" s="325">
        <v>3734808.11</v>
      </c>
      <c r="I127" s="325">
        <v>102.99</v>
      </c>
      <c r="J127" s="23">
        <f t="shared" si="120"/>
        <v>0</v>
      </c>
      <c r="K127" s="23">
        <f t="shared" si="121"/>
        <v>0</v>
      </c>
      <c r="L127" s="325">
        <v>3734808.11</v>
      </c>
      <c r="M127" s="325">
        <v>102.99</v>
      </c>
      <c r="N127" s="23">
        <f t="shared" si="122"/>
        <v>0</v>
      </c>
      <c r="O127" s="23">
        <f t="shared" si="123"/>
        <v>0</v>
      </c>
      <c r="P127" s="325">
        <v>3734808.11</v>
      </c>
      <c r="Q127" s="325">
        <v>102.99</v>
      </c>
      <c r="R127" s="23">
        <f t="shared" si="124"/>
        <v>0</v>
      </c>
      <c r="S127" s="23">
        <f t="shared" si="125"/>
        <v>0</v>
      </c>
      <c r="T127" s="325">
        <v>3734808.11</v>
      </c>
      <c r="U127" s="325">
        <v>102.99</v>
      </c>
      <c r="V127" s="23">
        <f t="shared" si="126"/>
        <v>0</v>
      </c>
      <c r="W127" s="23">
        <f t="shared" si="127"/>
        <v>0</v>
      </c>
      <c r="X127" s="325">
        <v>3734808.11</v>
      </c>
      <c r="Y127" s="325">
        <v>102.99</v>
      </c>
      <c r="Z127" s="23">
        <f t="shared" si="128"/>
        <v>0</v>
      </c>
      <c r="AA127" s="23">
        <f t="shared" si="129"/>
        <v>0</v>
      </c>
      <c r="AB127" s="325">
        <v>3734808.11</v>
      </c>
      <c r="AC127" s="325">
        <v>102.99</v>
      </c>
      <c r="AD127" s="23">
        <f t="shared" si="130"/>
        <v>0</v>
      </c>
      <c r="AE127" s="23">
        <f t="shared" si="131"/>
        <v>0</v>
      </c>
      <c r="AF127" s="325">
        <v>3734808.11</v>
      </c>
      <c r="AG127" s="325">
        <v>102.99</v>
      </c>
      <c r="AH127" s="23">
        <f t="shared" si="132"/>
        <v>0</v>
      </c>
      <c r="AI127" s="23">
        <f t="shared" si="133"/>
        <v>0</v>
      </c>
      <c r="AJ127" s="24">
        <f t="shared" si="72"/>
        <v>0</v>
      </c>
      <c r="AK127" s="24">
        <f t="shared" si="73"/>
        <v>0</v>
      </c>
      <c r="AL127" s="25">
        <f t="shared" si="74"/>
        <v>0</v>
      </c>
      <c r="AM127" s="25">
        <f t="shared" si="75"/>
        <v>0</v>
      </c>
      <c r="AN127" s="466">
        <f t="shared" si="76"/>
        <v>0</v>
      </c>
      <c r="AO127" s="467">
        <f t="shared" si="77"/>
        <v>0</v>
      </c>
      <c r="AP127" s="30"/>
      <c r="AQ127" s="461" t="s">
        <v>84</v>
      </c>
      <c r="AR127" s="461"/>
      <c r="AS127" s="29" t="e">
        <f>(#REF!/AQ127)-1</f>
        <v>#REF!</v>
      </c>
      <c r="AT127" s="29" t="e">
        <f>(#REF!/AR127)-1</f>
        <v>#REF!</v>
      </c>
    </row>
    <row r="128" spans="1:46" ht="16.5" customHeight="1">
      <c r="A128" s="202" t="s">
        <v>109</v>
      </c>
      <c r="B128" s="325">
        <v>126281353.8</v>
      </c>
      <c r="C128" s="325">
        <v>1.1772</v>
      </c>
      <c r="D128" s="325">
        <v>127529083.97</v>
      </c>
      <c r="E128" s="325">
        <v>1.1888000000000001</v>
      </c>
      <c r="F128" s="23">
        <f>((D128-B128)/B128)</f>
        <v>9.8805574414106562E-3</v>
      </c>
      <c r="G128" s="23">
        <f>((E128-C128)/C128)</f>
        <v>9.8538905878355881E-3</v>
      </c>
      <c r="H128" s="325">
        <v>127934595.36</v>
      </c>
      <c r="I128" s="325">
        <v>1.1929000000000001</v>
      </c>
      <c r="J128" s="23">
        <f t="shared" si="120"/>
        <v>3.1797561573906801E-3</v>
      </c>
      <c r="K128" s="23">
        <f t="shared" si="121"/>
        <v>3.4488559892328335E-3</v>
      </c>
      <c r="L128" s="325">
        <v>129271344.36</v>
      </c>
      <c r="M128" s="325">
        <v>1.2055</v>
      </c>
      <c r="N128" s="23">
        <f t="shared" si="122"/>
        <v>1.0448690569102683E-2</v>
      </c>
      <c r="O128" s="23">
        <f t="shared" si="123"/>
        <v>1.0562494760667234E-2</v>
      </c>
      <c r="P128" s="325">
        <v>131862240.18000001</v>
      </c>
      <c r="Q128" s="325">
        <v>1.2297</v>
      </c>
      <c r="R128" s="23">
        <f t="shared" si="124"/>
        <v>2.0042305839914357E-2</v>
      </c>
      <c r="S128" s="23">
        <f t="shared" si="125"/>
        <v>2.007465781833264E-2</v>
      </c>
      <c r="T128" s="325">
        <v>136169184.94</v>
      </c>
      <c r="U128" s="325">
        <v>1.2698</v>
      </c>
      <c r="V128" s="23">
        <f t="shared" si="126"/>
        <v>3.2662457077331224E-2</v>
      </c>
      <c r="W128" s="23">
        <f t="shared" si="127"/>
        <v>3.2609579572253418E-2</v>
      </c>
      <c r="X128" s="325">
        <v>136434892.22999999</v>
      </c>
      <c r="Y128" s="325">
        <v>1.2724</v>
      </c>
      <c r="Z128" s="23">
        <f t="shared" si="128"/>
        <v>1.9513026395587946E-3</v>
      </c>
      <c r="AA128" s="23">
        <f t="shared" si="129"/>
        <v>2.0475665459126916E-3</v>
      </c>
      <c r="AB128" s="325">
        <v>142270957.31999999</v>
      </c>
      <c r="AC128" s="325">
        <v>1.3270999999999999</v>
      </c>
      <c r="AD128" s="23">
        <f t="shared" si="130"/>
        <v>4.2775458642659012E-2</v>
      </c>
      <c r="AE128" s="23">
        <f t="shared" si="131"/>
        <v>4.2989625903803813E-2</v>
      </c>
      <c r="AF128" s="325">
        <v>143228293.69</v>
      </c>
      <c r="AG128" s="325">
        <v>1.3361000000000001</v>
      </c>
      <c r="AH128" s="23">
        <f t="shared" si="132"/>
        <v>6.7289655459809401E-3</v>
      </c>
      <c r="AI128" s="23">
        <f t="shared" si="133"/>
        <v>6.7817044683898117E-3</v>
      </c>
      <c r="AJ128" s="24">
        <f t="shared" si="72"/>
        <v>1.5958686739168542E-2</v>
      </c>
      <c r="AK128" s="24">
        <f t="shared" si="73"/>
        <v>1.6046046955803504E-2</v>
      </c>
      <c r="AL128" s="25">
        <f t="shared" si="74"/>
        <v>0.12310297566077624</v>
      </c>
      <c r="AM128" s="25">
        <f t="shared" si="75"/>
        <v>0.12390646029609688</v>
      </c>
      <c r="AN128" s="466">
        <f t="shared" si="76"/>
        <v>1.4768840203908907E-2</v>
      </c>
      <c r="AO128" s="467">
        <f t="shared" si="77"/>
        <v>1.4762034440055086E-2</v>
      </c>
      <c r="AP128" s="30"/>
      <c r="AQ128" s="59" t="s">
        <v>72</v>
      </c>
      <c r="AR128" s="60" t="s">
        <v>73</v>
      </c>
      <c r="AS128" s="29" t="e">
        <f>(#REF!/AQ128)-1</f>
        <v>#REF!</v>
      </c>
      <c r="AT128" s="29" t="e">
        <f>(#REF!/AR128)-1</f>
        <v>#REF!</v>
      </c>
    </row>
    <row r="129" spans="1:46" ht="14.25" customHeight="1">
      <c r="A129" s="202" t="s">
        <v>234</v>
      </c>
      <c r="B129" s="321">
        <v>167666168.72999999</v>
      </c>
      <c r="C129" s="325">
        <v>108.05</v>
      </c>
      <c r="D129" s="321">
        <v>167947239.72</v>
      </c>
      <c r="E129" s="325">
        <v>108.37</v>
      </c>
      <c r="F129" s="23">
        <f>((D129-B129)/B129)</f>
        <v>1.6763727120921465E-3</v>
      </c>
      <c r="G129" s="23">
        <f>((E129-C129)/C129)</f>
        <v>2.9615918556224656E-3</v>
      </c>
      <c r="H129" s="321">
        <v>168041733.13999999</v>
      </c>
      <c r="I129" s="325">
        <v>108.5</v>
      </c>
      <c r="J129" s="23">
        <f t="shared" si="120"/>
        <v>5.6263752924743152E-4</v>
      </c>
      <c r="K129" s="23">
        <f t="shared" si="121"/>
        <v>1.199593983574748E-3</v>
      </c>
      <c r="L129" s="321">
        <v>168041733.13999999</v>
      </c>
      <c r="M129" s="325">
        <v>108.8</v>
      </c>
      <c r="N129" s="23">
        <f t="shared" si="122"/>
        <v>0</v>
      </c>
      <c r="O129" s="23">
        <f t="shared" si="123"/>
        <v>2.7649769585253196E-3</v>
      </c>
      <c r="P129" s="321">
        <v>169748497.41999999</v>
      </c>
      <c r="Q129" s="325">
        <v>108.51</v>
      </c>
      <c r="R129" s="23">
        <f t="shared" si="124"/>
        <v>1.0156788127018727E-2</v>
      </c>
      <c r="S129" s="23">
        <f t="shared" si="125"/>
        <v>-2.665441176470515E-3</v>
      </c>
      <c r="T129" s="321">
        <v>171050273.27000001</v>
      </c>
      <c r="U129" s="325">
        <v>109.39</v>
      </c>
      <c r="V129" s="23">
        <f t="shared" si="126"/>
        <v>7.6688505040436779E-3</v>
      </c>
      <c r="W129" s="23">
        <f t="shared" si="127"/>
        <v>8.1098516265781535E-3</v>
      </c>
      <c r="X129" s="321">
        <v>171702088.84999999</v>
      </c>
      <c r="Y129" s="325">
        <v>109.64</v>
      </c>
      <c r="Z129" s="23">
        <f t="shared" si="128"/>
        <v>3.8106666978023666E-3</v>
      </c>
      <c r="AA129" s="23">
        <f t="shared" si="129"/>
        <v>2.2854008593107232E-3</v>
      </c>
      <c r="AB129" s="321">
        <v>173351861.15000001</v>
      </c>
      <c r="AC129" s="325">
        <v>110.74</v>
      </c>
      <c r="AD129" s="23">
        <f t="shared" si="130"/>
        <v>9.6083414654393826E-3</v>
      </c>
      <c r="AE129" s="23">
        <f t="shared" si="131"/>
        <v>1.0032834731849637E-2</v>
      </c>
      <c r="AF129" s="321">
        <v>174004703.66999999</v>
      </c>
      <c r="AG129" s="325">
        <v>111.04</v>
      </c>
      <c r="AH129" s="23">
        <f t="shared" si="132"/>
        <v>3.7659966017617856E-3</v>
      </c>
      <c r="AI129" s="23">
        <f t="shared" si="133"/>
        <v>2.7090482210584375E-3</v>
      </c>
      <c r="AJ129" s="24">
        <f t="shared" si="72"/>
        <v>4.6562067046756897E-3</v>
      </c>
      <c r="AK129" s="24">
        <f t="shared" si="73"/>
        <v>3.4247321325061213E-3</v>
      </c>
      <c r="AL129" s="25">
        <f t="shared" si="74"/>
        <v>3.6067660058593E-2</v>
      </c>
      <c r="AM129" s="25">
        <f t="shared" si="75"/>
        <v>2.4637814893420703E-2</v>
      </c>
      <c r="AN129" s="466">
        <f t="shared" si="76"/>
        <v>4.0121324817724117E-3</v>
      </c>
      <c r="AO129" s="467">
        <f t="shared" si="77"/>
        <v>3.9662661528956193E-3</v>
      </c>
      <c r="AP129" s="30"/>
      <c r="AQ129" s="53">
        <v>1901056000</v>
      </c>
      <c r="AR129" s="47">
        <v>12.64</v>
      </c>
      <c r="AS129" s="29" t="e">
        <f>(#REF!/AQ129)-1</f>
        <v>#REF!</v>
      </c>
      <c r="AT129" s="29" t="e">
        <f>(#REF!/AR129)-1</f>
        <v>#REF!</v>
      </c>
    </row>
    <row r="130" spans="1:46">
      <c r="A130" s="202" t="s">
        <v>264</v>
      </c>
      <c r="B130" s="326">
        <v>233783277.56999999</v>
      </c>
      <c r="C130" s="325">
        <v>1.1387</v>
      </c>
      <c r="D130" s="326">
        <v>233938002.75999999</v>
      </c>
      <c r="E130" s="325">
        <v>1.1393</v>
      </c>
      <c r="F130" s="23">
        <f>((D130-B130)/B130)</f>
        <v>6.6183172555474756E-4</v>
      </c>
      <c r="G130" s="23">
        <f>((E130-C130)/C130)</f>
        <v>5.269166593483217E-4</v>
      </c>
      <c r="H130" s="326">
        <v>234160705.58000001</v>
      </c>
      <c r="I130" s="325">
        <v>1.0678000000000001</v>
      </c>
      <c r="J130" s="23">
        <f t="shared" si="120"/>
        <v>9.519736741041443E-4</v>
      </c>
      <c r="K130" s="23">
        <f t="shared" si="121"/>
        <v>-6.2757833757570353E-2</v>
      </c>
      <c r="L130" s="326">
        <v>246046830.84</v>
      </c>
      <c r="M130" s="325">
        <v>1.1779000000000002</v>
      </c>
      <c r="N130" s="23">
        <f t="shared" si="122"/>
        <v>5.0760545970165542E-2</v>
      </c>
      <c r="O130" s="23">
        <f t="shared" si="123"/>
        <v>0.10310919647874141</v>
      </c>
      <c r="P130" s="326">
        <v>253312714.22999999</v>
      </c>
      <c r="Q130" s="325">
        <v>1.1336999999999999</v>
      </c>
      <c r="R130" s="23">
        <f t="shared" si="124"/>
        <v>2.9530489643757551E-2</v>
      </c>
      <c r="S130" s="23">
        <f t="shared" si="125"/>
        <v>-3.7524407844469171E-2</v>
      </c>
      <c r="T130" s="326">
        <v>281646845.86000001</v>
      </c>
      <c r="U130" s="325">
        <v>1.1623000000000001</v>
      </c>
      <c r="V130" s="23">
        <f t="shared" si="126"/>
        <v>0.11185436039453402</v>
      </c>
      <c r="W130" s="23">
        <f t="shared" si="127"/>
        <v>2.5227132398341873E-2</v>
      </c>
      <c r="X130" s="326">
        <v>290493064.36000001</v>
      </c>
      <c r="Y130" s="325">
        <v>1.1649</v>
      </c>
      <c r="Z130" s="23">
        <f t="shared" si="128"/>
        <v>3.140890313537275E-2</v>
      </c>
      <c r="AA130" s="23">
        <f t="shared" si="129"/>
        <v>2.2369439903638781E-3</v>
      </c>
      <c r="AB130" s="326">
        <v>299758685.69</v>
      </c>
      <c r="AC130" s="325">
        <v>1.2028000000000001</v>
      </c>
      <c r="AD130" s="23">
        <f t="shared" si="130"/>
        <v>3.1896187781328078E-2</v>
      </c>
      <c r="AE130" s="23">
        <f t="shared" si="131"/>
        <v>3.2534981543480161E-2</v>
      </c>
      <c r="AF130" s="326">
        <v>357832515.00999999</v>
      </c>
      <c r="AG130" s="325">
        <v>1.2020999999999999</v>
      </c>
      <c r="AH130" s="23">
        <f t="shared" si="132"/>
        <v>0.19373526804176719</v>
      </c>
      <c r="AI130" s="23">
        <f t="shared" si="133"/>
        <v>-5.8197539075502565E-4</v>
      </c>
      <c r="AJ130" s="24">
        <f t="shared" si="72"/>
        <v>5.6349945045823011E-2</v>
      </c>
      <c r="AK130" s="24">
        <f t="shared" si="73"/>
        <v>7.8463692596851368E-3</v>
      </c>
      <c r="AL130" s="25">
        <f t="shared" si="74"/>
        <v>0.52960404375643477</v>
      </c>
      <c r="AM130" s="25">
        <f t="shared" si="75"/>
        <v>5.512156587378212E-2</v>
      </c>
      <c r="AN130" s="466">
        <f t="shared" si="76"/>
        <v>6.5570174710757642E-2</v>
      </c>
      <c r="AO130" s="467">
        <f t="shared" si="77"/>
        <v>4.954963266989889E-2</v>
      </c>
      <c r="AP130" s="30"/>
      <c r="AQ130" s="53">
        <v>106884243.56</v>
      </c>
      <c r="AR130" s="47">
        <v>2.92</v>
      </c>
      <c r="AS130" s="29" t="e">
        <f>(#REF!/AQ130)-1</f>
        <v>#REF!</v>
      </c>
      <c r="AT130" s="29" t="e">
        <f>(#REF!/AR130)-1</f>
        <v>#REF!</v>
      </c>
    </row>
    <row r="131" spans="1:46">
      <c r="A131" s="203" t="s">
        <v>126</v>
      </c>
      <c r="B131" s="325">
        <v>5159744796.3000002</v>
      </c>
      <c r="C131" s="325">
        <v>213.13</v>
      </c>
      <c r="D131" s="325">
        <v>5197018896.0799999</v>
      </c>
      <c r="E131" s="325">
        <v>214.68</v>
      </c>
      <c r="F131" s="23">
        <f>((D131-B131)/B131)</f>
        <v>7.2240200342328182E-3</v>
      </c>
      <c r="G131" s="23">
        <f>((E131-C131)/C131)</f>
        <v>7.272556655562386E-3</v>
      </c>
      <c r="H131" s="325">
        <v>5206895677.54</v>
      </c>
      <c r="I131" s="325">
        <v>215.13</v>
      </c>
      <c r="J131" s="23">
        <f t="shared" si="120"/>
        <v>1.9004705692815323E-3</v>
      </c>
      <c r="K131" s="23">
        <f t="shared" si="121"/>
        <v>2.0961430967020153E-3</v>
      </c>
      <c r="L131" s="325">
        <v>5224725272.5</v>
      </c>
      <c r="M131" s="325">
        <v>215.92</v>
      </c>
      <c r="N131" s="23">
        <f t="shared" si="122"/>
        <v>3.4242274215149316E-3</v>
      </c>
      <c r="O131" s="23">
        <f t="shared" si="123"/>
        <v>3.6721982057360296E-3</v>
      </c>
      <c r="P131" s="325">
        <v>5308343464.6800003</v>
      </c>
      <c r="Q131" s="325">
        <v>219.39</v>
      </c>
      <c r="R131" s="23">
        <f t="shared" si="124"/>
        <v>1.6004323255065525E-2</v>
      </c>
      <c r="S131" s="23">
        <f t="shared" si="125"/>
        <v>1.6070766950722487E-2</v>
      </c>
      <c r="T131" s="325">
        <v>5419986571.1000004</v>
      </c>
      <c r="U131" s="325">
        <v>224.1</v>
      </c>
      <c r="V131" s="23">
        <f t="shared" si="126"/>
        <v>2.1031628258954452E-2</v>
      </c>
      <c r="W131" s="23">
        <f t="shared" si="127"/>
        <v>2.1468617530425307E-2</v>
      </c>
      <c r="X131" s="325">
        <v>5474830147.6899996</v>
      </c>
      <c r="Y131" s="325">
        <v>226.32</v>
      </c>
      <c r="Z131" s="23">
        <f t="shared" si="128"/>
        <v>1.0118766139095535E-2</v>
      </c>
      <c r="AA131" s="23">
        <f t="shared" si="129"/>
        <v>9.9062918340026718E-3</v>
      </c>
      <c r="AB131" s="325">
        <v>5728613100.7399998</v>
      </c>
      <c r="AC131" s="325">
        <v>236.85</v>
      </c>
      <c r="AD131" s="23">
        <f t="shared" si="130"/>
        <v>4.6354488852422042E-2</v>
      </c>
      <c r="AE131" s="23">
        <f t="shared" si="131"/>
        <v>4.6527041357370104E-2</v>
      </c>
      <c r="AF131" s="325">
        <v>5742781290.2600002</v>
      </c>
      <c r="AG131" s="325">
        <v>237.45</v>
      </c>
      <c r="AH131" s="23">
        <f t="shared" si="132"/>
        <v>2.4732320495112975E-3</v>
      </c>
      <c r="AI131" s="23">
        <f t="shared" si="133"/>
        <v>2.5332488917035861E-3</v>
      </c>
      <c r="AJ131" s="24">
        <f t="shared" si="72"/>
        <v>1.3566394572509768E-2</v>
      </c>
      <c r="AK131" s="24">
        <f t="shared" si="73"/>
        <v>1.3693358065278074E-2</v>
      </c>
      <c r="AL131" s="25">
        <f t="shared" si="74"/>
        <v>0.10501451025926752</v>
      </c>
      <c r="AM131" s="25">
        <f t="shared" si="75"/>
        <v>0.10606484069312457</v>
      </c>
      <c r="AN131" s="466">
        <f t="shared" si="76"/>
        <v>1.4884602713115589E-2</v>
      </c>
      <c r="AO131" s="467">
        <f t="shared" si="77"/>
        <v>1.4924539377392576E-2</v>
      </c>
      <c r="AP131" s="30"/>
      <c r="AQ131" s="53">
        <v>84059843.040000007</v>
      </c>
      <c r="AR131" s="47">
        <v>7.19</v>
      </c>
      <c r="AS131" s="29" t="e">
        <f>(#REF!/AQ131)-1</f>
        <v>#REF!</v>
      </c>
      <c r="AT131" s="29" t="e">
        <f>(#REF!/AR131)-1</f>
        <v>#REF!</v>
      </c>
    </row>
    <row r="132" spans="1:46" s="370" customFormat="1">
      <c r="A132" s="202" t="s">
        <v>265</v>
      </c>
      <c r="B132" s="325">
        <v>1944623783.6800001</v>
      </c>
      <c r="C132" s="325">
        <v>1.3633999999999999</v>
      </c>
      <c r="D132" s="325">
        <v>1964282080.48</v>
      </c>
      <c r="E132" s="325">
        <v>1.3775999999999999</v>
      </c>
      <c r="F132" s="23">
        <f>((D132-B132)/B132)</f>
        <v>1.0109048837610456E-2</v>
      </c>
      <c r="G132" s="23">
        <f>((E132-C132)/C132)</f>
        <v>1.0415138624028158E-2</v>
      </c>
      <c r="H132" s="325">
        <v>1974540457.4000001</v>
      </c>
      <c r="I132" s="325">
        <v>1.3720000000000001</v>
      </c>
      <c r="J132" s="23">
        <f>((H132-D132)/D132)</f>
        <v>5.2224560932171704E-3</v>
      </c>
      <c r="K132" s="23">
        <f>((I132-E132)/E132)</f>
        <v>-4.0650406504063787E-3</v>
      </c>
      <c r="L132" s="325">
        <v>2010814602.6300001</v>
      </c>
      <c r="M132" s="325">
        <v>1.4098999999999999</v>
      </c>
      <c r="N132" s="23">
        <f>((L132-H132)/H132)</f>
        <v>1.837093035701301E-2</v>
      </c>
      <c r="O132" s="23">
        <f>((M132-I132)/I132)</f>
        <v>2.7623906705539228E-2</v>
      </c>
      <c r="P132" s="325">
        <v>2053624244.6700001</v>
      </c>
      <c r="Q132" s="325">
        <v>1.4401999999999999</v>
      </c>
      <c r="R132" s="23">
        <f>((P132-L132)/L132)</f>
        <v>2.1289701190755253E-2</v>
      </c>
      <c r="S132" s="23">
        <f>((Q132-M132)/M132)</f>
        <v>2.149088587843109E-2</v>
      </c>
      <c r="T132" s="325">
        <v>2132448431.23</v>
      </c>
      <c r="U132" s="325">
        <v>1.496</v>
      </c>
      <c r="V132" s="23">
        <f>((T132-P132)/P132)</f>
        <v>3.8382964539195104E-2</v>
      </c>
      <c r="W132" s="23">
        <f>((U132-Q132)/Q132)</f>
        <v>3.8744618802944088E-2</v>
      </c>
      <c r="X132" s="325">
        <v>2031609807.0799999</v>
      </c>
      <c r="Y132" s="325">
        <v>1.4977</v>
      </c>
      <c r="Z132" s="23">
        <f>((X132-T132)/T132)</f>
        <v>-4.7287719915382054E-2</v>
      </c>
      <c r="AA132" s="23">
        <f>((Y132-U132)/U132)</f>
        <v>1.1363636363636597E-3</v>
      </c>
      <c r="AB132" s="325">
        <v>2212901834.29</v>
      </c>
      <c r="AC132" s="325">
        <v>1.5541</v>
      </c>
      <c r="AD132" s="23">
        <f>((AB132-X132)/X132)</f>
        <v>8.9235652721409209E-2</v>
      </c>
      <c r="AE132" s="23">
        <f>((AC132-Y132)/Y132)</f>
        <v>3.765774187086867E-2</v>
      </c>
      <c r="AF132" s="325">
        <v>2223045608.6399999</v>
      </c>
      <c r="AG132" s="325">
        <v>1.5613999999999999</v>
      </c>
      <c r="AH132" s="23">
        <f>((AF132-AB132)/AB132)</f>
        <v>4.5839242359589309E-3</v>
      </c>
      <c r="AI132" s="23">
        <f>((AG132-AC132)/AC132)</f>
        <v>4.6972524290585307E-3</v>
      </c>
      <c r="AJ132" s="24">
        <f t="shared" si="72"/>
        <v>1.7488369757472137E-2</v>
      </c>
      <c r="AK132" s="24">
        <f t="shared" si="73"/>
        <v>1.721260841210338E-2</v>
      </c>
      <c r="AL132" s="25">
        <f t="shared" si="74"/>
        <v>0.13173440349095245</v>
      </c>
      <c r="AM132" s="25">
        <f t="shared" si="75"/>
        <v>0.1334204413472706</v>
      </c>
      <c r="AN132" s="466">
        <f t="shared" si="76"/>
        <v>3.8110477112989365E-2</v>
      </c>
      <c r="AO132" s="467">
        <f t="shared" si="77"/>
        <v>1.6571720621376722E-2</v>
      </c>
      <c r="AP132" s="30"/>
      <c r="AQ132" s="53"/>
      <c r="AR132" s="47"/>
      <c r="AS132" s="29"/>
      <c r="AT132" s="29"/>
    </row>
    <row r="133" spans="1:46" s="370" customFormat="1">
      <c r="A133" s="202" t="s">
        <v>256</v>
      </c>
      <c r="B133" s="325">
        <v>135447646.7558611</v>
      </c>
      <c r="C133" s="325">
        <v>92.66</v>
      </c>
      <c r="D133" s="325">
        <v>135894178.53519499</v>
      </c>
      <c r="E133" s="325">
        <v>92.99</v>
      </c>
      <c r="F133" s="23">
        <f>((D133-B133)/B133)</f>
        <v>3.2967112388356582E-3</v>
      </c>
      <c r="G133" s="23">
        <f>((E133-C133)/C133)</f>
        <v>3.561407295488866E-3</v>
      </c>
      <c r="H133" s="325">
        <v>137636606.43044761</v>
      </c>
      <c r="I133" s="325">
        <v>94.17</v>
      </c>
      <c r="J133" s="23">
        <f>((H133-D133)/D133)</f>
        <v>1.2821946561907705E-2</v>
      </c>
      <c r="K133" s="23">
        <f>((I133-E133)/E133)</f>
        <v>1.268953650930215E-2</v>
      </c>
      <c r="L133" s="325">
        <v>144623718.08643621</v>
      </c>
      <c r="M133" s="325">
        <v>94.47</v>
      </c>
      <c r="N133" s="23">
        <f>((L133-H133)/H133)</f>
        <v>5.0764922480992916E-2</v>
      </c>
      <c r="O133" s="23">
        <f>((M133-I133)/I133)</f>
        <v>3.1857279388339934E-3</v>
      </c>
      <c r="P133" s="325">
        <v>147209821.27539378</v>
      </c>
      <c r="Q133" s="325">
        <v>96.163372862178392</v>
      </c>
      <c r="R133" s="23">
        <f>((P133-L133)/L133)</f>
        <v>1.7881598006019694E-2</v>
      </c>
      <c r="S133" s="23">
        <f>((Q133-M133)/M133)</f>
        <v>1.7924980016707875E-2</v>
      </c>
      <c r="T133" s="325">
        <v>142720743.82588279</v>
      </c>
      <c r="U133" s="325">
        <v>97.603224205715847</v>
      </c>
      <c r="V133" s="23">
        <f>((T133-P133)/P133)</f>
        <v>-3.0494415458279914E-2</v>
      </c>
      <c r="W133" s="23">
        <f>((U133-Q133)/Q133)</f>
        <v>1.4972970484313754E-2</v>
      </c>
      <c r="X133" s="325">
        <v>142386973.00004962</v>
      </c>
      <c r="Y133" s="325">
        <v>97.42</v>
      </c>
      <c r="Z133" s="23">
        <f>((X133-T133)/T133)</f>
        <v>-2.3386286876445031E-3</v>
      </c>
      <c r="AA133" s="23">
        <f>((Y133-U133)/U133)</f>
        <v>-1.877235175445314E-3</v>
      </c>
      <c r="AB133" s="325">
        <v>147775495.79803234</v>
      </c>
      <c r="AC133" s="325">
        <v>100.98</v>
      </c>
      <c r="AD133" s="23">
        <f>((AB133-X133)/X133)</f>
        <v>3.784421204024644E-2</v>
      </c>
      <c r="AE133" s="23">
        <f>((AC133-Y133)/Y133)</f>
        <v>3.6542804352289078E-2</v>
      </c>
      <c r="AF133" s="325">
        <v>150219813.0785183</v>
      </c>
      <c r="AG133" s="325">
        <v>102.6188722056816</v>
      </c>
      <c r="AH133" s="23">
        <f>((AF133-AB133)/AB133)</f>
        <v>1.6540748297178134E-2</v>
      </c>
      <c r="AI133" s="23">
        <f>((AG133-AC133)/AC133)</f>
        <v>1.6229671278288706E-2</v>
      </c>
      <c r="AJ133" s="24">
        <f t="shared" si="72"/>
        <v>1.3289636809907017E-2</v>
      </c>
      <c r="AK133" s="24">
        <f t="shared" si="73"/>
        <v>1.2903732837472388E-2</v>
      </c>
      <c r="AL133" s="25">
        <f t="shared" si="74"/>
        <v>0.10541757342175727</v>
      </c>
      <c r="AM133" s="25">
        <f t="shared" si="75"/>
        <v>0.10354739440457687</v>
      </c>
      <c r="AN133" s="466">
        <f t="shared" si="76"/>
        <v>2.4785777158695253E-2</v>
      </c>
      <c r="AO133" s="467">
        <f t="shared" si="77"/>
        <v>1.1949918095816504E-2</v>
      </c>
      <c r="AP133" s="30"/>
      <c r="AQ133" s="53"/>
      <c r="AR133" s="47"/>
      <c r="AS133" s="29"/>
      <c r="AT133" s="29"/>
    </row>
    <row r="134" spans="1:46" s="370" customFormat="1">
      <c r="A134" s="202" t="s">
        <v>281</v>
      </c>
      <c r="B134" s="326">
        <v>2226709276.98</v>
      </c>
      <c r="C134" s="325">
        <v>3.2</v>
      </c>
      <c r="D134" s="326">
        <v>2266365732.1999998</v>
      </c>
      <c r="E134" s="325">
        <v>3.26</v>
      </c>
      <c r="F134" s="23">
        <f>((D134-B134)/B134)</f>
        <v>1.7809444470355068E-2</v>
      </c>
      <c r="G134" s="23">
        <f>((E134-C134)/C134)</f>
        <v>1.8749999999999878E-2</v>
      </c>
      <c r="H134" s="326">
        <v>2269310744</v>
      </c>
      <c r="I134" s="325">
        <v>3.26</v>
      </c>
      <c r="J134" s="23">
        <f t="shared" ref="J134" si="134">((H134-D134)/D134)</f>
        <v>1.2994424325068741E-3</v>
      </c>
      <c r="K134" s="23">
        <f t="shared" ref="K134" si="135">((I134-E134)/E134)</f>
        <v>0</v>
      </c>
      <c r="L134" s="326">
        <v>2290635751.6900001</v>
      </c>
      <c r="M134" s="325">
        <v>3.29</v>
      </c>
      <c r="N134" s="23">
        <f t="shared" ref="N134" si="136">((L134-H134)/H134)</f>
        <v>9.3971298317706529E-3</v>
      </c>
      <c r="O134" s="23">
        <f t="shared" ref="O134" si="137">((M134-I134)/I134)</f>
        <v>9.2024539877301383E-3</v>
      </c>
      <c r="P134" s="326">
        <v>2342468422.2600002</v>
      </c>
      <c r="Q134" s="325">
        <v>3.36</v>
      </c>
      <c r="R134" s="23">
        <f t="shared" ref="R134" si="138">((P134-L134)/L134)</f>
        <v>2.262807193669213E-2</v>
      </c>
      <c r="S134" s="23">
        <f t="shared" ref="S134" si="139">((Q134-M134)/M134)</f>
        <v>2.1276595744680802E-2</v>
      </c>
      <c r="T134" s="326">
        <v>2432351801.9099998</v>
      </c>
      <c r="U134" s="325">
        <v>3.49</v>
      </c>
      <c r="V134" s="23">
        <f t="shared" ref="V134" si="140">((T134-P134)/P134)</f>
        <v>3.8371223618579517E-2</v>
      </c>
      <c r="W134" s="23">
        <f t="shared" ref="W134" si="141">((U134-Q134)/Q134)</f>
        <v>3.8690476190476289E-2</v>
      </c>
      <c r="X134" s="326">
        <v>2424447525.5799999</v>
      </c>
      <c r="Y134" s="325">
        <v>3.5</v>
      </c>
      <c r="Z134" s="23">
        <f t="shared" ref="Z134" si="142">((X134-T134)/T134)</f>
        <v>-3.2496435440766032E-3</v>
      </c>
      <c r="AA134" s="23">
        <f t="shared" ref="AA134" si="143">((Y134-U134)/U134)</f>
        <v>2.8653295128939216E-3</v>
      </c>
      <c r="AB134" s="326">
        <v>2539942714.96</v>
      </c>
      <c r="AC134" s="325">
        <v>3.66</v>
      </c>
      <c r="AD134" s="23">
        <f t="shared" ref="AD134" si="144">((AB134-X134)/X134)</f>
        <v>4.7637735261921263E-2</v>
      </c>
      <c r="AE134" s="23">
        <f t="shared" ref="AE134" si="145">((AC134-Y134)/Y134)</f>
        <v>4.5714285714285756E-2</v>
      </c>
      <c r="AF134" s="326">
        <v>2532068548.21</v>
      </c>
      <c r="AG134" s="325">
        <v>3.65</v>
      </c>
      <c r="AH134" s="23">
        <f t="shared" ref="AH134:AH144" si="146">((AF134-AB134)/AB134)</f>
        <v>-3.1001355674763731E-3</v>
      </c>
      <c r="AI134" s="23">
        <f t="shared" ref="AI134:AI144" si="147">((AG134-AC134)/AC134)</f>
        <v>-2.7322404371585328E-3</v>
      </c>
      <c r="AJ134" s="24">
        <f t="shared" ref="AJ134:AJ172" si="148">AVERAGE(F134,J134,N134,R134,V134,Z134,AD134,AH134)</f>
        <v>1.6349158555034066E-2</v>
      </c>
      <c r="AK134" s="24">
        <f t="shared" ref="AK134:AK172" si="149">AVERAGE(G134,K134,O134,S134,W134,AA134,AE134,AI134)</f>
        <v>1.6720862589113532E-2</v>
      </c>
      <c r="AL134" s="25">
        <f t="shared" ref="AL134:AL172" si="150">((AF134-D134)/D134)</f>
        <v>0.11723739563961637</v>
      </c>
      <c r="AM134" s="25">
        <f t="shared" ref="AM134:AM172" si="151">((AG134-E134)/E134)</f>
        <v>0.11963190184049084</v>
      </c>
      <c r="AN134" s="466">
        <f t="shared" ref="AN134:AN172" si="152">STDEV(F134,J134,N134,R134,V134,Z134,AD134,AH134)</f>
        <v>1.9058992307856005E-2</v>
      </c>
      <c r="AO134" s="467">
        <f t="shared" ref="AO134:AO172" si="153">STDEV(G134,K134,O134,S134,W134,AA134,AE134,AI134)</f>
        <v>1.7947014623702705E-2</v>
      </c>
      <c r="AP134" s="30"/>
      <c r="AQ134" s="53"/>
      <c r="AR134" s="47"/>
      <c r="AS134" s="29"/>
      <c r="AT134" s="29"/>
    </row>
    <row r="135" spans="1:46">
      <c r="A135" s="202" t="s">
        <v>129</v>
      </c>
      <c r="B135" s="326">
        <v>163397509.31</v>
      </c>
      <c r="C135" s="325">
        <v>152.22498100000001</v>
      </c>
      <c r="D135" s="326">
        <v>163839422</v>
      </c>
      <c r="E135" s="325">
        <v>152.71399700000001</v>
      </c>
      <c r="F135" s="23">
        <f>((D135-B135)/B135)</f>
        <v>2.7045252517380468E-3</v>
      </c>
      <c r="G135" s="23">
        <f>((E135-C135)/C135)</f>
        <v>3.2124556481303965E-3</v>
      </c>
      <c r="H135" s="326">
        <v>164324644.02000001</v>
      </c>
      <c r="I135" s="325">
        <v>153.242255</v>
      </c>
      <c r="J135" s="23">
        <f t="shared" ref="J135:J144" si="154">((H135-D135)/D135)</f>
        <v>2.9615706285878543E-3</v>
      </c>
      <c r="K135" s="23">
        <f t="shared" ref="K135:K144" si="155">((I135-E135)/E135)</f>
        <v>3.4591328259189883E-3</v>
      </c>
      <c r="L135" s="326">
        <v>164855421.06</v>
      </c>
      <c r="M135" s="325">
        <v>153.811879</v>
      </c>
      <c r="N135" s="23">
        <f t="shared" ref="N135:N144" si="156">((L135-H135)/H135)</f>
        <v>3.230051360618743E-3</v>
      </c>
      <c r="O135" s="23">
        <f t="shared" ref="O135:O144" si="157">((M135-I135)/I135)</f>
        <v>3.7171470753938236E-3</v>
      </c>
      <c r="P135" s="326">
        <v>168316120.13</v>
      </c>
      <c r="Q135" s="325">
        <v>156.96600599999999</v>
      </c>
      <c r="R135" s="23">
        <f t="shared" ref="R135:R144" si="158">((P135-L135)/L135)</f>
        <v>2.0992327991085309E-2</v>
      </c>
      <c r="S135" s="23">
        <f t="shared" ref="S135:S144" si="159">((Q135-M135)/M135)</f>
        <v>2.0506394047757445E-2</v>
      </c>
      <c r="T135" s="326">
        <v>172780267.41999999</v>
      </c>
      <c r="U135" s="325">
        <v>160.43005500000001</v>
      </c>
      <c r="V135" s="23">
        <f t="shared" ref="V135:V144" si="160">((T135-P135)/P135)</f>
        <v>2.6522398963046912E-2</v>
      </c>
      <c r="W135" s="23">
        <f t="shared" ref="W135:W144" si="161">((U135-Q135)/Q135)</f>
        <v>2.2068784753305228E-2</v>
      </c>
      <c r="X135" s="326">
        <v>172913596.40000001</v>
      </c>
      <c r="Y135" s="325">
        <v>160.64320000000001</v>
      </c>
      <c r="Z135" s="23">
        <f t="shared" ref="Z135:Z144" si="162">((X135-T135)/T135)</f>
        <v>7.7166786457112365E-4</v>
      </c>
      <c r="AA135" s="23">
        <f t="shared" ref="AA135:AA144" si="163">((Y135-U135)/U135)</f>
        <v>1.3285852205186693E-3</v>
      </c>
      <c r="AB135" s="326">
        <v>177488889.27000001</v>
      </c>
      <c r="AC135" s="325">
        <v>164.869553</v>
      </c>
      <c r="AD135" s="23">
        <f t="shared" ref="AD135:AD144" si="164">((AB135-X135)/X135)</f>
        <v>2.6459994848617958E-2</v>
      </c>
      <c r="AE135" s="23">
        <f t="shared" ref="AE135:AE144" si="165">((AC135-Y135)/Y135)</f>
        <v>2.6308944293938298E-2</v>
      </c>
      <c r="AF135" s="326">
        <v>177516001.75</v>
      </c>
      <c r="AG135" s="325">
        <v>164.988911</v>
      </c>
      <c r="AH135" s="23">
        <f t="shared" si="146"/>
        <v>1.527559280555594E-4</v>
      </c>
      <c r="AI135" s="23">
        <f t="shared" si="147"/>
        <v>7.2395416757153094E-4</v>
      </c>
      <c r="AJ135" s="24">
        <f t="shared" si="148"/>
        <v>1.0474411604540188E-2</v>
      </c>
      <c r="AK135" s="24">
        <f t="shared" si="149"/>
        <v>1.0165674754066796E-2</v>
      </c>
      <c r="AL135" s="25">
        <f t="shared" si="150"/>
        <v>8.3475512688271081E-2</v>
      </c>
      <c r="AM135" s="25">
        <f t="shared" si="151"/>
        <v>8.0378447562995781E-2</v>
      </c>
      <c r="AN135" s="466">
        <f t="shared" si="152"/>
        <v>1.191444391018746E-2</v>
      </c>
      <c r="AO135" s="467">
        <f t="shared" si="153"/>
        <v>1.0766139800656688E-2</v>
      </c>
      <c r="AP135" s="30"/>
      <c r="AQ135" s="53">
        <v>82672021.189999998</v>
      </c>
      <c r="AR135" s="47">
        <v>18.53</v>
      </c>
      <c r="AS135" s="29" t="e">
        <f>(#REF!/AQ135)-1</f>
        <v>#REF!</v>
      </c>
      <c r="AT135" s="29" t="e">
        <f>(#REF!/AR135)-1</f>
        <v>#REF!</v>
      </c>
    </row>
    <row r="136" spans="1:46">
      <c r="A136" s="202" t="s">
        <v>27</v>
      </c>
      <c r="B136" s="326">
        <v>1200049394</v>
      </c>
      <c r="C136" s="325">
        <v>552.20000000000005</v>
      </c>
      <c r="D136" s="326">
        <v>1210159040.8599999</v>
      </c>
      <c r="E136" s="325">
        <v>552.20000000000005</v>
      </c>
      <c r="F136" s="23">
        <f>((D136-B136)/B136)</f>
        <v>8.4243589560113515E-3</v>
      </c>
      <c r="G136" s="23">
        <f>((E136-C136)/C136)</f>
        <v>0</v>
      </c>
      <c r="H136" s="326">
        <v>1222906333</v>
      </c>
      <c r="I136" s="325">
        <v>552.20000000000005</v>
      </c>
      <c r="J136" s="23">
        <f t="shared" si="154"/>
        <v>1.0533567663090991E-2</v>
      </c>
      <c r="K136" s="23">
        <f t="shared" si="155"/>
        <v>0</v>
      </c>
      <c r="L136" s="326">
        <v>1224031404.8800001</v>
      </c>
      <c r="M136" s="325">
        <v>552.20000000000005</v>
      </c>
      <c r="N136" s="23">
        <f t="shared" si="156"/>
        <v>9.1999840841458329E-4</v>
      </c>
      <c r="O136" s="23">
        <f t="shared" si="157"/>
        <v>0</v>
      </c>
      <c r="P136" s="326">
        <v>1230963453</v>
      </c>
      <c r="Q136" s="325">
        <v>552.20000000000005</v>
      </c>
      <c r="R136" s="23">
        <f t="shared" si="158"/>
        <v>5.6632927001407122E-3</v>
      </c>
      <c r="S136" s="23">
        <f t="shared" si="159"/>
        <v>0</v>
      </c>
      <c r="T136" s="326">
        <v>1276995744</v>
      </c>
      <c r="U136" s="325">
        <v>552.20000000000005</v>
      </c>
      <c r="V136" s="23">
        <f t="shared" si="160"/>
        <v>3.7395335245586692E-2</v>
      </c>
      <c r="W136" s="23">
        <f t="shared" si="161"/>
        <v>0</v>
      </c>
      <c r="X136" s="326">
        <v>1312850544</v>
      </c>
      <c r="Y136" s="325">
        <v>552.20000000000005</v>
      </c>
      <c r="Z136" s="23">
        <f t="shared" si="162"/>
        <v>2.8077462410086153E-2</v>
      </c>
      <c r="AA136" s="23">
        <f t="shared" si="163"/>
        <v>0</v>
      </c>
      <c r="AB136" s="326">
        <v>1337078750</v>
      </c>
      <c r="AC136" s="325">
        <v>552.20000000000005</v>
      </c>
      <c r="AD136" s="23">
        <f t="shared" si="164"/>
        <v>1.8454656633024938E-2</v>
      </c>
      <c r="AE136" s="23">
        <f t="shared" si="165"/>
        <v>0</v>
      </c>
      <c r="AF136" s="326">
        <v>1337078750</v>
      </c>
      <c r="AG136" s="325">
        <v>552.20000000000005</v>
      </c>
      <c r="AH136" s="23">
        <f t="shared" si="146"/>
        <v>0</v>
      </c>
      <c r="AI136" s="23">
        <f t="shared" si="147"/>
        <v>0</v>
      </c>
      <c r="AJ136" s="24">
        <f t="shared" si="148"/>
        <v>1.3683584002044427E-2</v>
      </c>
      <c r="AK136" s="24">
        <f t="shared" si="149"/>
        <v>0</v>
      </c>
      <c r="AL136" s="25">
        <f t="shared" si="150"/>
        <v>0.10487853650194984</v>
      </c>
      <c r="AM136" s="25">
        <f t="shared" si="151"/>
        <v>0</v>
      </c>
      <c r="AN136" s="466">
        <f t="shared" si="152"/>
        <v>1.3332295529738617E-2</v>
      </c>
      <c r="AO136" s="467">
        <f t="shared" si="153"/>
        <v>0</v>
      </c>
      <c r="AP136" s="30"/>
      <c r="AQ136" s="53">
        <v>541500000</v>
      </c>
      <c r="AR136" s="47">
        <v>3610</v>
      </c>
      <c r="AS136" s="29" t="e">
        <f>(#REF!/AQ136)-1</f>
        <v>#REF!</v>
      </c>
      <c r="AT136" s="29" t="e">
        <f>(#REF!/AR136)-1</f>
        <v>#REF!</v>
      </c>
    </row>
    <row r="137" spans="1:46">
      <c r="A137" s="202" t="s">
        <v>187</v>
      </c>
      <c r="B137" s="326">
        <v>19606340.510000002</v>
      </c>
      <c r="C137" s="325">
        <v>1.23</v>
      </c>
      <c r="D137" s="326">
        <v>20061234.27</v>
      </c>
      <c r="E137" s="325">
        <v>1.25</v>
      </c>
      <c r="F137" s="23">
        <f>((D137-B137)/B137)</f>
        <v>2.3201359772772705E-2</v>
      </c>
      <c r="G137" s="23">
        <f>((E137-C137)/C137)</f>
        <v>1.6260162601626032E-2</v>
      </c>
      <c r="H137" s="326">
        <v>20434272.059999999</v>
      </c>
      <c r="I137" s="325">
        <v>1.27</v>
      </c>
      <c r="J137" s="23">
        <f t="shared" si="154"/>
        <v>1.8594957068910154E-2</v>
      </c>
      <c r="K137" s="23">
        <f t="shared" si="155"/>
        <v>1.6000000000000014E-2</v>
      </c>
      <c r="L137" s="326">
        <v>20648687.989999998</v>
      </c>
      <c r="M137" s="325">
        <v>1.29</v>
      </c>
      <c r="N137" s="23">
        <f t="shared" si="156"/>
        <v>1.0492956605961902E-2</v>
      </c>
      <c r="O137" s="23">
        <f t="shared" si="157"/>
        <v>1.5748031496063006E-2</v>
      </c>
      <c r="P137" s="326">
        <v>21145404.879999999</v>
      </c>
      <c r="Q137" s="325">
        <v>1.31</v>
      </c>
      <c r="R137" s="23">
        <f t="shared" si="158"/>
        <v>2.4055615070582539E-2</v>
      </c>
      <c r="S137" s="23">
        <f t="shared" si="159"/>
        <v>1.5503875968992262E-2</v>
      </c>
      <c r="T137" s="326">
        <v>21695894.5</v>
      </c>
      <c r="U137" s="325">
        <v>1.34</v>
      </c>
      <c r="V137" s="23">
        <f t="shared" si="160"/>
        <v>2.6033534147207167E-2</v>
      </c>
      <c r="W137" s="23">
        <f t="shared" si="161"/>
        <v>2.2900763358778647E-2</v>
      </c>
      <c r="X137" s="326">
        <v>21711853.800000001</v>
      </c>
      <c r="Y137" s="325">
        <v>1.34</v>
      </c>
      <c r="Z137" s="23">
        <f t="shared" si="162"/>
        <v>7.3559078193345499E-4</v>
      </c>
      <c r="AA137" s="23">
        <f t="shared" si="163"/>
        <v>0</v>
      </c>
      <c r="AB137" s="326">
        <v>22579800.219999999</v>
      </c>
      <c r="AC137" s="325">
        <v>1.39</v>
      </c>
      <c r="AD137" s="23">
        <f t="shared" si="164"/>
        <v>3.9975693830436441E-2</v>
      </c>
      <c r="AE137" s="23">
        <f t="shared" si="165"/>
        <v>3.731343283582076E-2</v>
      </c>
      <c r="AF137" s="326">
        <v>22672982.620000001</v>
      </c>
      <c r="AG137" s="325">
        <v>1.4</v>
      </c>
      <c r="AH137" s="23">
        <f t="shared" si="146"/>
        <v>4.1268035630123148E-3</v>
      </c>
      <c r="AI137" s="23">
        <f t="shared" si="147"/>
        <v>7.1942446043165541E-3</v>
      </c>
      <c r="AJ137" s="24">
        <f t="shared" si="148"/>
        <v>1.8402063855102086E-2</v>
      </c>
      <c r="AK137" s="24">
        <f t="shared" si="149"/>
        <v>1.636506385819966E-2</v>
      </c>
      <c r="AL137" s="25">
        <f t="shared" si="150"/>
        <v>0.13018881664253659</v>
      </c>
      <c r="AM137" s="25">
        <f t="shared" si="151"/>
        <v>0.11999999999999993</v>
      </c>
      <c r="AN137" s="466">
        <f t="shared" si="152"/>
        <v>1.2857100563532977E-2</v>
      </c>
      <c r="AO137" s="467">
        <f t="shared" si="153"/>
        <v>1.0920069472995958E-2</v>
      </c>
      <c r="AP137" s="30"/>
      <c r="AQ137" s="28">
        <v>913647681</v>
      </c>
      <c r="AR137" s="32">
        <v>81</v>
      </c>
      <c r="AS137" s="29" t="e">
        <f>(#REF!/AQ137)-1</f>
        <v>#REF!</v>
      </c>
      <c r="AT137" s="29" t="e">
        <f>(#REF!/AR137)-1</f>
        <v>#REF!</v>
      </c>
    </row>
    <row r="138" spans="1:46">
      <c r="A138" s="203" t="s">
        <v>48</v>
      </c>
      <c r="B138" s="325">
        <v>161878402.22999999</v>
      </c>
      <c r="C138" s="325">
        <v>1.97</v>
      </c>
      <c r="D138" s="325">
        <v>166494118.93000001</v>
      </c>
      <c r="E138" s="325">
        <v>1.7363219999999999</v>
      </c>
      <c r="F138" s="23">
        <f>((D138-B138)/B138)</f>
        <v>2.8513480714010987E-2</v>
      </c>
      <c r="G138" s="23">
        <f>((E138-C138)/C138)</f>
        <v>-0.11861827411167515</v>
      </c>
      <c r="H138" s="325">
        <v>194737320.71000001</v>
      </c>
      <c r="I138" s="325">
        <v>2.0239989999999999</v>
      </c>
      <c r="J138" s="23">
        <f t="shared" si="154"/>
        <v>0.16963483131722171</v>
      </c>
      <c r="K138" s="23">
        <f t="shared" si="155"/>
        <v>0.16568182629719602</v>
      </c>
      <c r="L138" s="325">
        <v>198997979.69</v>
      </c>
      <c r="M138" s="325">
        <v>2.0679259999999999</v>
      </c>
      <c r="N138" s="23">
        <f t="shared" si="156"/>
        <v>2.187900585499428E-2</v>
      </c>
      <c r="O138" s="23">
        <f t="shared" si="157"/>
        <v>2.1703073963969376E-2</v>
      </c>
      <c r="P138" s="325">
        <v>171767441.30000001</v>
      </c>
      <c r="Q138" s="325">
        <v>1.7920469999999999</v>
      </c>
      <c r="R138" s="23">
        <f t="shared" si="158"/>
        <v>-0.13683826555636316</v>
      </c>
      <c r="S138" s="23">
        <f t="shared" si="159"/>
        <v>-0.13340854556691101</v>
      </c>
      <c r="T138" s="325">
        <v>176430075.44999999</v>
      </c>
      <c r="U138" s="325">
        <v>1.84</v>
      </c>
      <c r="V138" s="23">
        <f t="shared" si="160"/>
        <v>2.7145040496099979E-2</v>
      </c>
      <c r="W138" s="23">
        <f t="shared" si="161"/>
        <v>2.6758784786336594E-2</v>
      </c>
      <c r="X138" s="325">
        <v>176865661.78</v>
      </c>
      <c r="Y138" s="325">
        <v>1.85</v>
      </c>
      <c r="Z138" s="23">
        <f t="shared" si="162"/>
        <v>2.4688893256380067E-3</v>
      </c>
      <c r="AA138" s="23">
        <f t="shared" si="163"/>
        <v>5.4347826086956564E-3</v>
      </c>
      <c r="AB138" s="325">
        <v>183803993.02000001</v>
      </c>
      <c r="AC138" s="325">
        <v>1.9093869999999999</v>
      </c>
      <c r="AD138" s="23">
        <f t="shared" si="164"/>
        <v>3.9229385569656106E-2</v>
      </c>
      <c r="AE138" s="23">
        <f t="shared" si="165"/>
        <v>3.2101081081081E-2</v>
      </c>
      <c r="AF138" s="325">
        <v>185802207.03</v>
      </c>
      <c r="AG138" s="325">
        <v>1.94</v>
      </c>
      <c r="AH138" s="23">
        <f t="shared" si="146"/>
        <v>1.0871439608945609E-2</v>
      </c>
      <c r="AI138" s="23">
        <f t="shared" si="147"/>
        <v>1.6032894326817981E-2</v>
      </c>
      <c r="AJ138" s="24">
        <f t="shared" si="148"/>
        <v>2.0362975916275436E-2</v>
      </c>
      <c r="AK138" s="24">
        <f t="shared" si="149"/>
        <v>1.9607029231888092E-3</v>
      </c>
      <c r="AL138" s="25">
        <f t="shared" si="150"/>
        <v>0.11596858930565467</v>
      </c>
      <c r="AM138" s="25">
        <f t="shared" si="151"/>
        <v>0.11730427881464385</v>
      </c>
      <c r="AN138" s="466">
        <f t="shared" si="152"/>
        <v>8.2700208688779295E-2</v>
      </c>
      <c r="AO138" s="467">
        <f t="shared" si="153"/>
        <v>9.3954376202237594E-2</v>
      </c>
      <c r="AP138" s="30"/>
      <c r="AQ138" s="61">
        <f>SUM(AQ129:AQ137)</f>
        <v>3629819788.79</v>
      </c>
      <c r="AR138" s="62"/>
      <c r="AS138" s="29" t="e">
        <f>(#REF!/AQ138)-1</f>
        <v>#REF!</v>
      </c>
      <c r="AT138" s="29" t="e">
        <f>(#REF!/AR138)-1</f>
        <v>#REF!</v>
      </c>
    </row>
    <row r="139" spans="1:46">
      <c r="A139" s="202" t="s">
        <v>22</v>
      </c>
      <c r="B139" s="326">
        <v>1676822193.02</v>
      </c>
      <c r="C139" s="325">
        <v>3852.48</v>
      </c>
      <c r="D139" s="326">
        <v>1715674888.0799999</v>
      </c>
      <c r="E139" s="325">
        <v>3913.49</v>
      </c>
      <c r="F139" s="23">
        <f>((D139-B139)/B139)</f>
        <v>2.3170432274649967E-2</v>
      </c>
      <c r="G139" s="23">
        <f>((E139-C139)/C139)</f>
        <v>1.5836552039205854E-2</v>
      </c>
      <c r="H139" s="326">
        <v>1724095028.71</v>
      </c>
      <c r="I139" s="325">
        <v>3916.1</v>
      </c>
      <c r="J139" s="23">
        <f t="shared" si="154"/>
        <v>4.9077716812787513E-3</v>
      </c>
      <c r="K139" s="23">
        <f t="shared" si="155"/>
        <v>6.6692389657316807E-4</v>
      </c>
      <c r="L139" s="326">
        <v>1751839197.8299999</v>
      </c>
      <c r="M139" s="325">
        <v>3977.15</v>
      </c>
      <c r="N139" s="23">
        <f t="shared" si="156"/>
        <v>1.609201851289983E-2</v>
      </c>
      <c r="O139" s="23">
        <f t="shared" si="157"/>
        <v>1.5589489543167995E-2</v>
      </c>
      <c r="P139" s="326">
        <v>1776451327.9200001</v>
      </c>
      <c r="Q139" s="325">
        <v>4025.82</v>
      </c>
      <c r="R139" s="23">
        <f t="shared" si="158"/>
        <v>1.4049308932285082E-2</v>
      </c>
      <c r="S139" s="23">
        <f t="shared" si="159"/>
        <v>1.2237406182819374E-2</v>
      </c>
      <c r="T139" s="326">
        <v>1817510323.21</v>
      </c>
      <c r="U139" s="325">
        <v>4111.67</v>
      </c>
      <c r="V139" s="23">
        <f t="shared" si="160"/>
        <v>2.3112930055941838E-2</v>
      </c>
      <c r="W139" s="23">
        <f t="shared" si="161"/>
        <v>2.1324848105479109E-2</v>
      </c>
      <c r="X139" s="326">
        <v>1819324567.46</v>
      </c>
      <c r="Y139" s="325">
        <v>4115.17</v>
      </c>
      <c r="Z139" s="23">
        <f t="shared" si="162"/>
        <v>9.9820299606098988E-4</v>
      </c>
      <c r="AA139" s="23">
        <f t="shared" si="163"/>
        <v>8.5123562931850073E-4</v>
      </c>
      <c r="AB139" s="326">
        <v>1873804276.25</v>
      </c>
      <c r="AC139" s="325">
        <v>4252.3500000000004</v>
      </c>
      <c r="AD139" s="23">
        <f t="shared" si="164"/>
        <v>2.9945019027616555E-2</v>
      </c>
      <c r="AE139" s="23">
        <f t="shared" si="165"/>
        <v>3.3335196358838221E-2</v>
      </c>
      <c r="AF139" s="326">
        <v>1891175524.28</v>
      </c>
      <c r="AG139" s="325">
        <v>4288.38</v>
      </c>
      <c r="AH139" s="23">
        <f t="shared" si="146"/>
        <v>9.2705776425938344E-3</v>
      </c>
      <c r="AI139" s="23">
        <f t="shared" si="147"/>
        <v>8.4729620092418873E-3</v>
      </c>
      <c r="AJ139" s="24">
        <f t="shared" si="148"/>
        <v>1.5193282640415855E-2</v>
      </c>
      <c r="AK139" s="24">
        <f t="shared" si="149"/>
        <v>1.3539326720580514E-2</v>
      </c>
      <c r="AL139" s="25">
        <f t="shared" si="150"/>
        <v>0.10229247826574044</v>
      </c>
      <c r="AM139" s="25">
        <f t="shared" si="151"/>
        <v>9.5794291029234868E-2</v>
      </c>
      <c r="AN139" s="466">
        <f t="shared" si="152"/>
        <v>9.9172023432258314E-3</v>
      </c>
      <c r="AO139" s="467">
        <f t="shared" si="153"/>
        <v>1.0796961663964783E-2</v>
      </c>
      <c r="AP139" s="30"/>
      <c r="AQ139" s="79"/>
      <c r="AR139" s="80"/>
      <c r="AS139" s="29"/>
      <c r="AT139" s="29"/>
    </row>
    <row r="140" spans="1:46" s="86" customFormat="1">
      <c r="A140" s="202" t="s">
        <v>248</v>
      </c>
      <c r="B140" s="321">
        <v>58210130.109999999</v>
      </c>
      <c r="C140" s="325">
        <v>108.08920000000001</v>
      </c>
      <c r="D140" s="321">
        <v>59067169.149999999</v>
      </c>
      <c r="E140" s="325">
        <v>109.27119999999999</v>
      </c>
      <c r="F140" s="23">
        <f>((D140-B140)/B140)</f>
        <v>1.4723194027920015E-2</v>
      </c>
      <c r="G140" s="23">
        <f>((E140-C140)/C140)</f>
        <v>1.0935412603664268E-2</v>
      </c>
      <c r="H140" s="321">
        <v>59095586</v>
      </c>
      <c r="I140" s="325">
        <v>109.3357</v>
      </c>
      <c r="J140" s="23">
        <f t="shared" si="154"/>
        <v>4.8109381927272354E-4</v>
      </c>
      <c r="K140" s="23">
        <f t="shared" si="155"/>
        <v>5.9027447305428651E-4</v>
      </c>
      <c r="L140" s="321">
        <v>59941821.270000003</v>
      </c>
      <c r="M140" s="325">
        <v>110.8775</v>
      </c>
      <c r="N140" s="23">
        <f t="shared" si="156"/>
        <v>1.4319771192386574E-2</v>
      </c>
      <c r="O140" s="23">
        <f t="shared" si="157"/>
        <v>1.4101524021888504E-2</v>
      </c>
      <c r="P140" s="321">
        <v>69707629.760000005</v>
      </c>
      <c r="Q140" s="325">
        <v>111.9246</v>
      </c>
      <c r="R140" s="23">
        <f t="shared" si="158"/>
        <v>0.16292145088503751</v>
      </c>
      <c r="S140" s="23">
        <f t="shared" si="159"/>
        <v>9.4437554959301961E-3</v>
      </c>
      <c r="T140" s="321">
        <v>71124198.609999999</v>
      </c>
      <c r="U140" s="325">
        <v>114.1909</v>
      </c>
      <c r="V140" s="23">
        <f t="shared" si="160"/>
        <v>2.0321575340851095E-2</v>
      </c>
      <c r="W140" s="23">
        <f t="shared" si="161"/>
        <v>2.0248452976378752E-2</v>
      </c>
      <c r="X140" s="321">
        <v>71591997.810000002</v>
      </c>
      <c r="Y140" s="325">
        <v>114.0872</v>
      </c>
      <c r="Z140" s="23">
        <f t="shared" si="162"/>
        <v>6.5772157597882705E-3</v>
      </c>
      <c r="AA140" s="23">
        <f t="shared" si="163"/>
        <v>-9.0812840602888197E-4</v>
      </c>
      <c r="AB140" s="321">
        <v>76234019.920000002</v>
      </c>
      <c r="AC140" s="325">
        <v>118.3126</v>
      </c>
      <c r="AD140" s="23">
        <f t="shared" si="164"/>
        <v>6.4839957704764598E-2</v>
      </c>
      <c r="AE140" s="23">
        <f t="shared" si="165"/>
        <v>3.7036582543878788E-2</v>
      </c>
      <c r="AF140" s="321">
        <v>76175476.219999999</v>
      </c>
      <c r="AG140" s="325">
        <v>118.0415</v>
      </c>
      <c r="AH140" s="23">
        <f t="shared" si="146"/>
        <v>-7.6794717189830413E-4</v>
      </c>
      <c r="AI140" s="23">
        <f t="shared" si="147"/>
        <v>-2.2913873923825876E-3</v>
      </c>
      <c r="AJ140" s="24">
        <f t="shared" si="148"/>
        <v>3.5427038944765309E-2</v>
      </c>
      <c r="AK140" s="24">
        <f t="shared" si="149"/>
        <v>1.1144560789547914E-2</v>
      </c>
      <c r="AL140" s="25">
        <f t="shared" si="150"/>
        <v>0.28964156089068305</v>
      </c>
      <c r="AM140" s="25">
        <f t="shared" si="151"/>
        <v>8.0261770713600716E-2</v>
      </c>
      <c r="AN140" s="466">
        <f t="shared" si="152"/>
        <v>5.55310649758732E-2</v>
      </c>
      <c r="AO140" s="467">
        <f t="shared" si="153"/>
        <v>1.3104757787521695E-2</v>
      </c>
      <c r="AP140" s="30"/>
      <c r="AQ140" s="79"/>
      <c r="AR140" s="80"/>
      <c r="AS140" s="29"/>
      <c r="AT140" s="29"/>
    </row>
    <row r="141" spans="1:46" s="105" customFormat="1">
      <c r="A141" s="202" t="s">
        <v>74</v>
      </c>
      <c r="B141" s="325">
        <v>1222429240.7</v>
      </c>
      <c r="C141" s="325">
        <v>1.5859000000000001</v>
      </c>
      <c r="D141" s="325">
        <v>1224516702.3199999</v>
      </c>
      <c r="E141" s="325">
        <v>1.5862000000000001</v>
      </c>
      <c r="F141" s="23">
        <f>((D141-B141)/B141)</f>
        <v>1.7076339067319281E-3</v>
      </c>
      <c r="G141" s="23">
        <f>((E141-C141)/C141)</f>
        <v>1.8916703449143511E-4</v>
      </c>
      <c r="H141" s="325">
        <v>1223917806.3</v>
      </c>
      <c r="I141" s="325">
        <v>1.5713999999999999</v>
      </c>
      <c r="J141" s="23">
        <f t="shared" si="154"/>
        <v>-4.8908766933541828E-4</v>
      </c>
      <c r="K141" s="23">
        <f t="shared" si="155"/>
        <v>-9.330475349892918E-3</v>
      </c>
      <c r="L141" s="325">
        <v>1225013501.0599999</v>
      </c>
      <c r="M141" s="325">
        <v>1.5728</v>
      </c>
      <c r="N141" s="23">
        <f t="shared" si="156"/>
        <v>8.9523557412107769E-4</v>
      </c>
      <c r="O141" s="23">
        <f t="shared" si="157"/>
        <v>8.9092528955076237E-4</v>
      </c>
      <c r="P141" s="325">
        <v>1254401350.8599999</v>
      </c>
      <c r="Q141" s="325">
        <v>1.5933999999999999</v>
      </c>
      <c r="R141" s="23">
        <f t="shared" si="158"/>
        <v>2.3989817071053295E-2</v>
      </c>
      <c r="S141" s="23">
        <f t="shared" si="159"/>
        <v>1.3097660223804649E-2</v>
      </c>
      <c r="T141" s="325">
        <v>1290041374.21</v>
      </c>
      <c r="U141" s="325">
        <v>1.6355999999999999</v>
      </c>
      <c r="V141" s="23">
        <f t="shared" si="160"/>
        <v>2.841197781361272E-2</v>
      </c>
      <c r="W141" s="23">
        <f t="shared" si="161"/>
        <v>2.6484247521024237E-2</v>
      </c>
      <c r="X141" s="325">
        <v>1301591854.51</v>
      </c>
      <c r="Y141" s="325">
        <v>1.6366000000000001</v>
      </c>
      <c r="Z141" s="23">
        <f t="shared" si="162"/>
        <v>8.9535735294329413E-3</v>
      </c>
      <c r="AA141" s="23">
        <f t="shared" si="163"/>
        <v>6.1139642944492043E-4</v>
      </c>
      <c r="AB141" s="325">
        <v>1376838813.76</v>
      </c>
      <c r="AC141" s="325">
        <v>1.7182999999999999</v>
      </c>
      <c r="AD141" s="23">
        <f t="shared" si="164"/>
        <v>5.7811485981008714E-2</v>
      </c>
      <c r="AE141" s="23">
        <f t="shared" si="165"/>
        <v>4.9920567029206817E-2</v>
      </c>
      <c r="AF141" s="325">
        <v>1452708336.0799999</v>
      </c>
      <c r="AG141" s="325">
        <v>1.6106</v>
      </c>
      <c r="AH141" s="23">
        <f t="shared" si="146"/>
        <v>5.5104142592267834E-2</v>
      </c>
      <c r="AI141" s="23">
        <f t="shared" si="147"/>
        <v>-6.2678228481638773E-2</v>
      </c>
      <c r="AJ141" s="24">
        <f t="shared" si="148"/>
        <v>2.2048097349861639E-2</v>
      </c>
      <c r="AK141" s="24">
        <f t="shared" si="149"/>
        <v>2.3981574619988903E-3</v>
      </c>
      <c r="AL141" s="25">
        <f t="shared" si="150"/>
        <v>0.18635240607797543</v>
      </c>
      <c r="AM141" s="25">
        <f t="shared" si="151"/>
        <v>1.5382675576850319E-2</v>
      </c>
      <c r="AN141" s="466">
        <f t="shared" si="152"/>
        <v>2.3774417885441542E-2</v>
      </c>
      <c r="AO141" s="467">
        <f t="shared" si="153"/>
        <v>3.2372473409175068E-2</v>
      </c>
      <c r="AP141" s="30"/>
      <c r="AQ141" s="79"/>
      <c r="AR141" s="80"/>
      <c r="AS141" s="29"/>
      <c r="AT141" s="29"/>
    </row>
    <row r="142" spans="1:46" s="105" customFormat="1">
      <c r="A142" s="202" t="s">
        <v>240</v>
      </c>
      <c r="B142" s="325">
        <v>696016789.77999997</v>
      </c>
      <c r="C142" s="325">
        <v>1.2786999999999999</v>
      </c>
      <c r="D142" s="325">
        <v>692236800.63</v>
      </c>
      <c r="E142" s="325">
        <v>1.2716000000000001</v>
      </c>
      <c r="F142" s="23">
        <f>((D142-B142)/B142)</f>
        <v>-5.4308878830276091E-3</v>
      </c>
      <c r="G142" s="23">
        <f>((E142-C142)/C142)</f>
        <v>-5.5525142723077221E-3</v>
      </c>
      <c r="H142" s="325">
        <v>690170453.63999999</v>
      </c>
      <c r="I142" s="325">
        <v>1.2557</v>
      </c>
      <c r="J142" s="23">
        <f t="shared" si="154"/>
        <v>-2.9850290942628897E-3</v>
      </c>
      <c r="K142" s="23">
        <f t="shared" si="155"/>
        <v>-1.2503932054105084E-2</v>
      </c>
      <c r="L142" s="325">
        <v>692553026.64999998</v>
      </c>
      <c r="M142" s="325">
        <v>1.26</v>
      </c>
      <c r="N142" s="23">
        <f t="shared" si="156"/>
        <v>3.4521515626091482E-3</v>
      </c>
      <c r="O142" s="23">
        <f t="shared" si="157"/>
        <v>3.4243848052878637E-3</v>
      </c>
      <c r="P142" s="325">
        <v>695348996.87</v>
      </c>
      <c r="Q142" s="325">
        <v>1.2639</v>
      </c>
      <c r="R142" s="23">
        <f t="shared" si="158"/>
        <v>4.0371929836544437E-3</v>
      </c>
      <c r="S142" s="23">
        <f t="shared" si="159"/>
        <v>3.0952380952381066E-3</v>
      </c>
      <c r="T142" s="325">
        <v>724437265.99000001</v>
      </c>
      <c r="U142" s="325">
        <v>1.3163</v>
      </c>
      <c r="V142" s="23">
        <f t="shared" si="160"/>
        <v>4.1832618226151329E-2</v>
      </c>
      <c r="W142" s="23">
        <f t="shared" si="161"/>
        <v>4.1458976184824747E-2</v>
      </c>
      <c r="X142" s="325">
        <v>725087860.13</v>
      </c>
      <c r="Y142" s="325">
        <v>1.3177000000000001</v>
      </c>
      <c r="Z142" s="23">
        <f t="shared" si="162"/>
        <v>8.9806829458296579E-4</v>
      </c>
      <c r="AA142" s="23">
        <f t="shared" si="163"/>
        <v>1.0635873281167423E-3</v>
      </c>
      <c r="AB142" s="325">
        <v>751680875.74000001</v>
      </c>
      <c r="AC142" s="325">
        <v>1.3664000000000001</v>
      </c>
      <c r="AD142" s="23">
        <f t="shared" si="164"/>
        <v>3.6675576950401828E-2</v>
      </c>
      <c r="AE142" s="23">
        <f t="shared" si="165"/>
        <v>3.6958336495408639E-2</v>
      </c>
      <c r="AF142" s="325">
        <v>809746131.21000004</v>
      </c>
      <c r="AG142" s="325">
        <v>1.25</v>
      </c>
      <c r="AH142" s="23">
        <f t="shared" si="146"/>
        <v>7.7247216663370727E-2</v>
      </c>
      <c r="AI142" s="23">
        <f t="shared" si="147"/>
        <v>-8.518735362997662E-2</v>
      </c>
      <c r="AJ142" s="24">
        <f t="shared" si="148"/>
        <v>1.9465863462934992E-2</v>
      </c>
      <c r="AK142" s="24">
        <f t="shared" si="149"/>
        <v>-2.155409630939166E-3</v>
      </c>
      <c r="AL142" s="25">
        <f t="shared" si="150"/>
        <v>0.16975308228781769</v>
      </c>
      <c r="AM142" s="25">
        <f t="shared" si="151"/>
        <v>-1.6986473733878626E-2</v>
      </c>
      <c r="AN142" s="466">
        <f t="shared" si="152"/>
        <v>2.9515776405722744E-2</v>
      </c>
      <c r="AO142" s="467">
        <f t="shared" si="153"/>
        <v>3.8755831073873877E-2</v>
      </c>
      <c r="AP142" s="30"/>
      <c r="AQ142" s="79"/>
      <c r="AR142" s="80"/>
      <c r="AS142" s="29"/>
      <c r="AT142" s="29"/>
    </row>
    <row r="143" spans="1:46" ht="15.75" customHeight="1" thickBot="1">
      <c r="A143" s="202" t="s">
        <v>124</v>
      </c>
      <c r="B143" s="325">
        <v>4429213580.5299997</v>
      </c>
      <c r="C143" s="325">
        <v>200.24</v>
      </c>
      <c r="D143" s="325">
        <v>4554277245.3000002</v>
      </c>
      <c r="E143" s="325">
        <v>205.89</v>
      </c>
      <c r="F143" s="23">
        <f>((D143-B143)/B143)</f>
        <v>2.8236088076618635E-2</v>
      </c>
      <c r="G143" s="23">
        <f>((E143-C143)/C143)</f>
        <v>2.8216140631242396E-2</v>
      </c>
      <c r="H143" s="325">
        <v>4553824280.3699999</v>
      </c>
      <c r="I143" s="325">
        <v>205.85040000000001</v>
      </c>
      <c r="J143" s="23">
        <f t="shared" si="154"/>
        <v>-9.9459234825408045E-5</v>
      </c>
      <c r="K143" s="23">
        <f t="shared" si="155"/>
        <v>-1.923357132448335E-4</v>
      </c>
      <c r="L143" s="325">
        <v>4611211944.9399996</v>
      </c>
      <c r="M143" s="325">
        <v>208.43921888664573</v>
      </c>
      <c r="N143" s="23">
        <f t="shared" si="156"/>
        <v>1.2602081467521387E-2</v>
      </c>
      <c r="O143" s="23">
        <f t="shared" si="157"/>
        <v>1.257621499227461E-2</v>
      </c>
      <c r="P143" s="325">
        <v>4764895532.46</v>
      </c>
      <c r="Q143" s="325">
        <v>214.95</v>
      </c>
      <c r="R143" s="23">
        <f t="shared" si="158"/>
        <v>3.3328241979560573E-2</v>
      </c>
      <c r="S143" s="23">
        <f t="shared" si="159"/>
        <v>3.1235873690809476E-2</v>
      </c>
      <c r="T143" s="325">
        <v>4985499253.8599997</v>
      </c>
      <c r="U143" s="325">
        <v>224.93469999999999</v>
      </c>
      <c r="V143" s="23">
        <f t="shared" si="160"/>
        <v>4.6297703674125938E-2</v>
      </c>
      <c r="W143" s="23">
        <f t="shared" si="161"/>
        <v>4.6451267736682969E-2</v>
      </c>
      <c r="X143" s="325">
        <v>5015003260.6491985</v>
      </c>
      <c r="Y143" s="325">
        <v>226.12626900868591</v>
      </c>
      <c r="Z143" s="23">
        <f t="shared" si="162"/>
        <v>5.9179643375446367E-3</v>
      </c>
      <c r="AA143" s="23">
        <f t="shared" si="163"/>
        <v>5.2973996839345699E-3</v>
      </c>
      <c r="AB143" s="325">
        <v>5768695636.8900003</v>
      </c>
      <c r="AC143" s="325">
        <v>259.8587</v>
      </c>
      <c r="AD143" s="23">
        <f t="shared" si="164"/>
        <v>0.1502875146970962</v>
      </c>
      <c r="AE143" s="23">
        <f t="shared" si="165"/>
        <v>0.14917519817221397</v>
      </c>
      <c r="AF143" s="325">
        <v>6035042270.3100004</v>
      </c>
      <c r="AG143" s="325">
        <v>271.95999999999998</v>
      </c>
      <c r="AH143" s="23">
        <f t="shared" si="146"/>
        <v>4.6171032445662528E-2</v>
      </c>
      <c r="AI143" s="23">
        <f t="shared" si="147"/>
        <v>4.6568769873781328E-2</v>
      </c>
      <c r="AJ143" s="24">
        <f t="shared" si="148"/>
        <v>4.0342645930413056E-2</v>
      </c>
      <c r="AK143" s="24">
        <f t="shared" si="149"/>
        <v>3.9916066133461811E-2</v>
      </c>
      <c r="AL143" s="25">
        <f t="shared" si="150"/>
        <v>0.3251372161275744</v>
      </c>
      <c r="AM143" s="25">
        <f t="shared" si="151"/>
        <v>0.32089950944679196</v>
      </c>
      <c r="AN143" s="466">
        <f t="shared" si="152"/>
        <v>4.772426616327935E-2</v>
      </c>
      <c r="AO143" s="467">
        <f t="shared" si="153"/>
        <v>4.7496409916020339E-2</v>
      </c>
      <c r="AP143" s="30"/>
      <c r="AQ143" s="64" t="e">
        <f>SUM(AQ125,AQ138)</f>
        <v>#REF!</v>
      </c>
      <c r="AR143" s="65"/>
      <c r="AS143" s="29" t="e">
        <f>(#REF!/AQ143)-1</f>
        <v>#REF!</v>
      </c>
      <c r="AT143" s="29" t="e">
        <f>(#REF!/AR143)-1</f>
        <v>#REF!</v>
      </c>
    </row>
    <row r="144" spans="1:46" s="302" customFormat="1" ht="15.75" customHeight="1">
      <c r="A144" s="202" t="s">
        <v>233</v>
      </c>
      <c r="B144" s="326">
        <v>197619997.56</v>
      </c>
      <c r="C144" s="325">
        <v>155.21</v>
      </c>
      <c r="D144" s="326">
        <v>199592627.5</v>
      </c>
      <c r="E144" s="325">
        <v>154.97999999999999</v>
      </c>
      <c r="F144" s="23">
        <f>((D144-B144)/B144)</f>
        <v>9.9819348464523765E-3</v>
      </c>
      <c r="G144" s="23">
        <f>((E144-C144)/C144)</f>
        <v>-1.4818632820051425E-3</v>
      </c>
      <c r="H144" s="326">
        <v>203000759.84999999</v>
      </c>
      <c r="I144" s="325">
        <v>154.97999999999999</v>
      </c>
      <c r="J144" s="23">
        <f t="shared" si="154"/>
        <v>1.7075442077638836E-2</v>
      </c>
      <c r="K144" s="23">
        <f t="shared" si="155"/>
        <v>0</v>
      </c>
      <c r="L144" s="326">
        <v>201903777.02000001</v>
      </c>
      <c r="M144" s="325">
        <v>154.97999999999999</v>
      </c>
      <c r="N144" s="23">
        <f t="shared" si="156"/>
        <v>-5.4038360783011784E-3</v>
      </c>
      <c r="O144" s="23">
        <f t="shared" si="157"/>
        <v>0</v>
      </c>
      <c r="P144" s="326">
        <v>206789179.93000001</v>
      </c>
      <c r="Q144" s="325">
        <v>160.56</v>
      </c>
      <c r="R144" s="23">
        <f t="shared" si="158"/>
        <v>2.4196689047159641E-2</v>
      </c>
      <c r="S144" s="23">
        <f t="shared" si="159"/>
        <v>3.6004645760743408E-2</v>
      </c>
      <c r="T144" s="326">
        <v>216870029.99000001</v>
      </c>
      <c r="U144" s="325">
        <v>160.56</v>
      </c>
      <c r="V144" s="23">
        <f t="shared" si="160"/>
        <v>4.8749407794994211E-2</v>
      </c>
      <c r="W144" s="23">
        <f t="shared" si="161"/>
        <v>0</v>
      </c>
      <c r="X144" s="326">
        <v>222458699.93000001</v>
      </c>
      <c r="Y144" s="325">
        <v>172.81</v>
      </c>
      <c r="Z144" s="23">
        <f t="shared" si="162"/>
        <v>2.5769673846855162E-2</v>
      </c>
      <c r="AA144" s="23">
        <f t="shared" si="163"/>
        <v>7.6295465869456902E-2</v>
      </c>
      <c r="AB144" s="326">
        <v>239911918.06999999</v>
      </c>
      <c r="AC144" s="325">
        <v>186.42</v>
      </c>
      <c r="AD144" s="23">
        <f t="shared" si="164"/>
        <v>7.8455992710071143E-2</v>
      </c>
      <c r="AE144" s="23">
        <f t="shared" si="165"/>
        <v>7.875701637636702E-2</v>
      </c>
      <c r="AF144" s="326">
        <v>237496891</v>
      </c>
      <c r="AG144" s="325">
        <v>183.89</v>
      </c>
      <c r="AH144" s="23">
        <f t="shared" si="146"/>
        <v>-1.0066307207361626E-2</v>
      </c>
      <c r="AI144" s="23">
        <f t="shared" si="147"/>
        <v>-1.3571505203304373E-2</v>
      </c>
      <c r="AJ144" s="24">
        <f t="shared" si="148"/>
        <v>2.359487462968857E-2</v>
      </c>
      <c r="AK144" s="24">
        <f t="shared" si="149"/>
        <v>2.2000469940157228E-2</v>
      </c>
      <c r="AL144" s="25">
        <f t="shared" si="150"/>
        <v>0.18990813425711328</v>
      </c>
      <c r="AM144" s="25">
        <f t="shared" si="151"/>
        <v>0.18654019873532068</v>
      </c>
      <c r="AN144" s="466">
        <f t="shared" si="152"/>
        <v>2.8907241464868734E-2</v>
      </c>
      <c r="AO144" s="467">
        <f t="shared" si="153"/>
        <v>3.7098741812837809E-2</v>
      </c>
      <c r="AP144" s="30"/>
      <c r="AQ144" s="336"/>
      <c r="AR144" s="337"/>
      <c r="AS144" s="29"/>
      <c r="AT144" s="29"/>
    </row>
    <row r="145" spans="1:41">
      <c r="A145" s="204" t="s">
        <v>42</v>
      </c>
      <c r="B145" s="216">
        <f>SUM(B121:B144)</f>
        <v>31321324637.973106</v>
      </c>
      <c r="C145" s="85"/>
      <c r="D145" s="216">
        <f>SUM(D121:D144)</f>
        <v>31685014995.591469</v>
      </c>
      <c r="E145" s="85"/>
      <c r="F145" s="23">
        <f>((D145-B145)/B145)</f>
        <v>1.161158928691778E-2</v>
      </c>
      <c r="G145" s="23"/>
      <c r="H145" s="216">
        <f>SUM(H121:H144)</f>
        <v>31764157613.919247</v>
      </c>
      <c r="I145" s="85"/>
      <c r="J145" s="23">
        <f>((H145-D145)/D145)</f>
        <v>2.497793305093574E-3</v>
      </c>
      <c r="K145" s="23"/>
      <c r="L145" s="216">
        <f>SUM(L121:L144)</f>
        <v>32017254793.664894</v>
      </c>
      <c r="M145" s="85"/>
      <c r="N145" s="23">
        <f>((L145-H145)/H145)</f>
        <v>7.9680117074705202E-3</v>
      </c>
      <c r="O145" s="23"/>
      <c r="P145" s="216">
        <f>SUM(P121:P144)</f>
        <v>32587344550.170525</v>
      </c>
      <c r="Q145" s="85"/>
      <c r="R145" s="23">
        <f>((P145-L145)/L145)</f>
        <v>1.7805703836246183E-2</v>
      </c>
      <c r="S145" s="23"/>
      <c r="T145" s="216">
        <f>SUM(T121:T144)</f>
        <v>33634490477.322308</v>
      </c>
      <c r="U145" s="85"/>
      <c r="V145" s="23">
        <f>((T145-P145)/P145)</f>
        <v>3.2133515068698763E-2</v>
      </c>
      <c r="W145" s="23"/>
      <c r="X145" s="216">
        <f>SUM(X121:X144)</f>
        <v>33719080186.031113</v>
      </c>
      <c r="Y145" s="85"/>
      <c r="Z145" s="23">
        <f>((X145-T145)/T145)</f>
        <v>2.5149692327237358E-3</v>
      </c>
      <c r="AA145" s="23"/>
      <c r="AB145" s="216">
        <f>SUM(AB121:AB144)</f>
        <v>35744115521.98378</v>
      </c>
      <c r="AC145" s="85"/>
      <c r="AD145" s="23">
        <f>((AB145-X145)/X145)</f>
        <v>6.0056066914648036E-2</v>
      </c>
      <c r="AE145" s="23"/>
      <c r="AF145" s="216">
        <f>SUM(AF121:AF144)</f>
        <v>36228102075.464104</v>
      </c>
      <c r="AG145" s="85"/>
      <c r="AH145" s="23">
        <f>((AF145-AB145)/AB145)</f>
        <v>1.354031415835864E-2</v>
      </c>
      <c r="AI145" s="23"/>
      <c r="AJ145" s="24">
        <f t="shared" si="148"/>
        <v>1.8515995438769653E-2</v>
      </c>
      <c r="AK145" s="24"/>
      <c r="AL145" s="25">
        <f t="shared" si="150"/>
        <v>0.14338282877583433</v>
      </c>
      <c r="AM145" s="25"/>
      <c r="AN145" s="466">
        <f t="shared" si="152"/>
        <v>1.9301453393850171E-2</v>
      </c>
      <c r="AO145" s="467"/>
    </row>
    <row r="146" spans="1:41" s="108" customFormat="1" ht="8.25" customHeight="1">
      <c r="A146" s="204"/>
      <c r="B146" s="85"/>
      <c r="C146" s="85"/>
      <c r="D146" s="85"/>
      <c r="E146" s="85"/>
      <c r="F146" s="23"/>
      <c r="G146" s="23"/>
      <c r="H146" s="85"/>
      <c r="I146" s="85"/>
      <c r="J146" s="23"/>
      <c r="K146" s="23"/>
      <c r="L146" s="85"/>
      <c r="M146" s="85"/>
      <c r="N146" s="23"/>
      <c r="O146" s="23"/>
      <c r="P146" s="85"/>
      <c r="Q146" s="85"/>
      <c r="R146" s="23"/>
      <c r="S146" s="23"/>
      <c r="T146" s="85"/>
      <c r="U146" s="85"/>
      <c r="V146" s="23"/>
      <c r="W146" s="23"/>
      <c r="X146" s="85"/>
      <c r="Y146" s="85"/>
      <c r="Z146" s="23"/>
      <c r="AA146" s="23"/>
      <c r="AB146" s="85"/>
      <c r="AC146" s="85"/>
      <c r="AD146" s="23"/>
      <c r="AE146" s="23"/>
      <c r="AF146" s="85"/>
      <c r="AG146" s="85"/>
      <c r="AH146" s="23"/>
      <c r="AI146" s="23"/>
      <c r="AJ146" s="24"/>
      <c r="AK146" s="24"/>
      <c r="AL146" s="25"/>
      <c r="AM146" s="25"/>
      <c r="AN146" s="466"/>
      <c r="AO146" s="467"/>
    </row>
    <row r="147" spans="1:41" s="108" customFormat="1">
      <c r="A147" s="206" t="s">
        <v>66</v>
      </c>
      <c r="B147" s="85"/>
      <c r="C147" s="85"/>
      <c r="D147" s="85"/>
      <c r="E147" s="85"/>
      <c r="F147" s="23"/>
      <c r="G147" s="23"/>
      <c r="H147" s="85"/>
      <c r="I147" s="85"/>
      <c r="J147" s="23"/>
      <c r="K147" s="23"/>
      <c r="L147" s="85"/>
      <c r="M147" s="85"/>
      <c r="N147" s="23"/>
      <c r="O147" s="23"/>
      <c r="P147" s="85"/>
      <c r="Q147" s="85"/>
      <c r="R147" s="23"/>
      <c r="S147" s="23"/>
      <c r="T147" s="85"/>
      <c r="U147" s="85"/>
      <c r="V147" s="23"/>
      <c r="W147" s="23"/>
      <c r="X147" s="85"/>
      <c r="Y147" s="85"/>
      <c r="Z147" s="23"/>
      <c r="AA147" s="23"/>
      <c r="AB147" s="85"/>
      <c r="AC147" s="85"/>
      <c r="AD147" s="23"/>
      <c r="AE147" s="23"/>
      <c r="AF147" s="85"/>
      <c r="AG147" s="85"/>
      <c r="AH147" s="23"/>
      <c r="AI147" s="23"/>
      <c r="AJ147" s="24"/>
      <c r="AK147" s="24"/>
      <c r="AL147" s="25"/>
      <c r="AM147" s="25"/>
      <c r="AN147" s="466"/>
      <c r="AO147" s="467"/>
    </row>
    <row r="148" spans="1:41" s="108" customFormat="1">
      <c r="A148" s="203" t="s">
        <v>26</v>
      </c>
      <c r="B148" s="322">
        <v>532477716.75</v>
      </c>
      <c r="C148" s="322">
        <v>47.486600000000003</v>
      </c>
      <c r="D148" s="322">
        <v>535215028.16000003</v>
      </c>
      <c r="E148" s="322">
        <v>47.703400000000002</v>
      </c>
      <c r="F148" s="23">
        <f>((D148-B148)/B148)</f>
        <v>5.140706031244501E-3</v>
      </c>
      <c r="G148" s="23">
        <f>((E148-C148)/C148)</f>
        <v>4.5654984774652048E-3</v>
      </c>
      <c r="H148" s="322">
        <v>529568607.05000001</v>
      </c>
      <c r="I148" s="322">
        <v>47.210099999999997</v>
      </c>
      <c r="J148" s="23">
        <f t="shared" ref="J148:J150" si="166">((H148-D148)/D148)</f>
        <v>-1.0549817947772653E-2</v>
      </c>
      <c r="K148" s="23">
        <f t="shared" ref="K148:K150" si="167">((I148-E148)/E148)</f>
        <v>-1.0340981984512738E-2</v>
      </c>
      <c r="L148" s="322">
        <v>527732117.74000001</v>
      </c>
      <c r="M148" s="322">
        <v>47.036000000000001</v>
      </c>
      <c r="N148" s="23">
        <f t="shared" ref="N148:N150" si="168">((L148-H148)/H148)</f>
        <v>-3.4678968608624632E-3</v>
      </c>
      <c r="O148" s="23">
        <f t="shared" ref="O148:O150" si="169">((M148-I148)/I148)</f>
        <v>-3.68777020171522E-3</v>
      </c>
      <c r="P148" s="322">
        <v>530584831.11000001</v>
      </c>
      <c r="Q148" s="322">
        <v>47.287999999999997</v>
      </c>
      <c r="R148" s="23">
        <f t="shared" ref="R148:R150" si="170">((P148-L148)/L148)</f>
        <v>5.4056087816232992E-3</v>
      </c>
      <c r="S148" s="23">
        <f t="shared" ref="S148:S150" si="171">((Q148-M148)/M148)</f>
        <v>5.3575984352409924E-3</v>
      </c>
      <c r="T148" s="322">
        <v>552739546.01999998</v>
      </c>
      <c r="U148" s="322">
        <v>49.226199999999999</v>
      </c>
      <c r="V148" s="23">
        <f t="shared" ref="V148:V150" si="172">((T148-P148)/P148)</f>
        <v>4.1755273824265977E-2</v>
      </c>
      <c r="W148" s="23">
        <f t="shared" ref="W148:W150" si="173">((U148-Q148)/Q148)</f>
        <v>4.0987142615462741E-2</v>
      </c>
      <c r="X148" s="322">
        <v>553697096.74000001</v>
      </c>
      <c r="Y148" s="322">
        <v>49.293700000000001</v>
      </c>
      <c r="Z148" s="23">
        <f t="shared" ref="Z148:Z150" si="174">((X148-T148)/T148)</f>
        <v>1.7323723748280194E-3</v>
      </c>
      <c r="AA148" s="23">
        <f t="shared" ref="AA148:AA150" si="175">((Y148-U148)/U148)</f>
        <v>1.3712210164506414E-3</v>
      </c>
      <c r="AB148" s="322">
        <v>570051962.25</v>
      </c>
      <c r="AC148" s="322">
        <v>50.7348</v>
      </c>
      <c r="AD148" s="23">
        <f t="shared" ref="AD148:AD150" si="176">((AB148-X148)/X148)</f>
        <v>2.9537567753727553E-2</v>
      </c>
      <c r="AE148" s="23">
        <f t="shared" ref="AE148:AE150" si="177">((AC148-Y148)/Y148)</f>
        <v>2.9234973231873417E-2</v>
      </c>
      <c r="AF148" s="322">
        <v>560142407.38999999</v>
      </c>
      <c r="AG148" s="322">
        <v>49.010100000000001</v>
      </c>
      <c r="AH148" s="23">
        <f t="shared" ref="AH148:AH150" si="178">((AF148-AB148)/AB148)</f>
        <v>-1.7383599243982806E-2</v>
      </c>
      <c r="AI148" s="23">
        <f t="shared" ref="AI148:AI150" si="179">((AG148-AC148)/AC148)</f>
        <v>-3.3994418032592982E-2</v>
      </c>
      <c r="AJ148" s="24">
        <f t="shared" si="148"/>
        <v>6.5212768391339285E-3</v>
      </c>
      <c r="AK148" s="24">
        <f t="shared" si="149"/>
        <v>4.1866579447090071E-3</v>
      </c>
      <c r="AL148" s="25">
        <f t="shared" si="150"/>
        <v>4.6574512893812162E-2</v>
      </c>
      <c r="AM148" s="25">
        <f t="shared" si="151"/>
        <v>2.7392177496782185E-2</v>
      </c>
      <c r="AN148" s="466">
        <f t="shared" si="152"/>
        <v>1.9856332048468674E-2</v>
      </c>
      <c r="AO148" s="467">
        <f t="shared" si="153"/>
        <v>2.3058895342569535E-2</v>
      </c>
    </row>
    <row r="149" spans="1:41">
      <c r="A149" s="203" t="s">
        <v>189</v>
      </c>
      <c r="B149" s="321">
        <v>607669075.78999996</v>
      </c>
      <c r="C149" s="322">
        <v>16.986599999999999</v>
      </c>
      <c r="D149" s="321">
        <v>607669075.78999996</v>
      </c>
      <c r="E149" s="322">
        <v>17.139299999999999</v>
      </c>
      <c r="F149" s="23">
        <f>((D149-B149)/B149)</f>
        <v>0</v>
      </c>
      <c r="G149" s="23">
        <f>((E149-C149)/C149)</f>
        <v>8.9894387340609307E-3</v>
      </c>
      <c r="H149" s="321">
        <v>612120747.19000006</v>
      </c>
      <c r="I149" s="322">
        <v>17.2972</v>
      </c>
      <c r="J149" s="23">
        <f t="shared" si="166"/>
        <v>7.3258152790031342E-3</v>
      </c>
      <c r="K149" s="23">
        <f t="shared" si="167"/>
        <v>9.2127449779163383E-3</v>
      </c>
      <c r="L149" s="321">
        <v>615246797.87</v>
      </c>
      <c r="M149" s="322">
        <v>17.235700000000001</v>
      </c>
      <c r="N149" s="23">
        <f t="shared" si="168"/>
        <v>5.1069183561419668E-3</v>
      </c>
      <c r="O149" s="23">
        <f t="shared" si="169"/>
        <v>-3.5554887496241461E-3</v>
      </c>
      <c r="P149" s="321">
        <v>626073062.55999994</v>
      </c>
      <c r="Q149" s="322">
        <v>17.503299999999999</v>
      </c>
      <c r="R149" s="23">
        <f t="shared" si="170"/>
        <v>1.7596620945416929E-2</v>
      </c>
      <c r="S149" s="23">
        <f t="shared" si="171"/>
        <v>1.5525914236149274E-2</v>
      </c>
      <c r="T149" s="321">
        <v>642802512.97000003</v>
      </c>
      <c r="U149" s="322">
        <v>17.9407</v>
      </c>
      <c r="V149" s="23">
        <f t="shared" si="172"/>
        <v>2.6721242951411622E-2</v>
      </c>
      <c r="W149" s="23">
        <f t="shared" si="173"/>
        <v>2.4989573394731294E-2</v>
      </c>
      <c r="X149" s="321">
        <v>644464660.75</v>
      </c>
      <c r="Y149" s="322">
        <v>18.047000000000001</v>
      </c>
      <c r="Z149" s="23">
        <f t="shared" si="174"/>
        <v>2.5857829527146619E-3</v>
      </c>
      <c r="AA149" s="23">
        <f t="shared" si="175"/>
        <v>5.9250753872480419E-3</v>
      </c>
      <c r="AB149" s="321">
        <v>666894621.00999999</v>
      </c>
      <c r="AC149" s="322">
        <v>18.789100000000001</v>
      </c>
      <c r="AD149" s="23">
        <f t="shared" si="176"/>
        <v>3.4804018941701126E-2</v>
      </c>
      <c r="AE149" s="23">
        <f t="shared" si="177"/>
        <v>4.1120407824015104E-2</v>
      </c>
      <c r="AF149" s="321">
        <v>670148774.55999994</v>
      </c>
      <c r="AG149" s="322">
        <v>18.596599999999999</v>
      </c>
      <c r="AH149" s="23">
        <f t="shared" si="178"/>
        <v>4.8795618490243553E-3</v>
      </c>
      <c r="AI149" s="23">
        <f t="shared" si="179"/>
        <v>-1.0245301797318794E-2</v>
      </c>
      <c r="AJ149" s="24">
        <f t="shared" si="148"/>
        <v>1.2377495159426724E-2</v>
      </c>
      <c r="AK149" s="24">
        <f t="shared" si="149"/>
        <v>1.1495295500897255E-2</v>
      </c>
      <c r="AL149" s="25">
        <f t="shared" si="150"/>
        <v>0.10281862490496702</v>
      </c>
      <c r="AM149" s="25">
        <f t="shared" si="151"/>
        <v>8.5026809729685585E-2</v>
      </c>
      <c r="AN149" s="466">
        <f t="shared" si="152"/>
        <v>1.2646914466166188E-2</v>
      </c>
      <c r="AO149" s="467">
        <f t="shared" si="153"/>
        <v>1.611425760889865E-2</v>
      </c>
    </row>
    <row r="150" spans="1:41">
      <c r="A150" s="203" t="s">
        <v>25</v>
      </c>
      <c r="B150" s="321">
        <v>1879399528.9000001</v>
      </c>
      <c r="C150" s="322">
        <v>1.5</v>
      </c>
      <c r="D150" s="321">
        <v>1915614003.02</v>
      </c>
      <c r="E150" s="322">
        <v>1.53</v>
      </c>
      <c r="F150" s="23">
        <f>((D150-B150)/B150)</f>
        <v>1.9269172713476189E-2</v>
      </c>
      <c r="G150" s="23">
        <f>((E150-C150)/C150)</f>
        <v>2.0000000000000018E-2</v>
      </c>
      <c r="H150" s="321">
        <v>1910684810.6900001</v>
      </c>
      <c r="I150" s="322">
        <v>1.53</v>
      </c>
      <c r="J150" s="23">
        <f t="shared" si="166"/>
        <v>-2.5731657433224874E-3</v>
      </c>
      <c r="K150" s="23">
        <f t="shared" si="167"/>
        <v>0</v>
      </c>
      <c r="L150" s="321">
        <v>1942372554.4100001</v>
      </c>
      <c r="M150" s="322">
        <v>1.56</v>
      </c>
      <c r="N150" s="23">
        <f t="shared" si="168"/>
        <v>1.6584495539354146E-2</v>
      </c>
      <c r="O150" s="23">
        <f t="shared" si="169"/>
        <v>1.9607843137254919E-2</v>
      </c>
      <c r="P150" s="321">
        <v>1949046823.76</v>
      </c>
      <c r="Q150" s="322">
        <v>1.59</v>
      </c>
      <c r="R150" s="23">
        <f t="shared" si="170"/>
        <v>3.4361427393763957E-3</v>
      </c>
      <c r="S150" s="23">
        <f t="shared" si="171"/>
        <v>1.9230769230769246E-2</v>
      </c>
      <c r="T150" s="321">
        <v>2029359733.5899999</v>
      </c>
      <c r="U150" s="322">
        <v>1.65</v>
      </c>
      <c r="V150" s="23">
        <f t="shared" si="172"/>
        <v>4.1206249563088701E-2</v>
      </c>
      <c r="W150" s="23">
        <f t="shared" si="173"/>
        <v>3.7735849056603668E-2</v>
      </c>
      <c r="X150" s="321">
        <v>2028082306.55</v>
      </c>
      <c r="Y150" s="322">
        <v>1.65</v>
      </c>
      <c r="Z150" s="23">
        <f t="shared" si="174"/>
        <v>-6.294729410739584E-4</v>
      </c>
      <c r="AA150" s="23">
        <f t="shared" si="175"/>
        <v>0</v>
      </c>
      <c r="AB150" s="321">
        <v>2157448391.9299998</v>
      </c>
      <c r="AC150" s="322">
        <v>1.75</v>
      </c>
      <c r="AD150" s="23">
        <f t="shared" si="176"/>
        <v>6.3787394112256909E-2</v>
      </c>
      <c r="AE150" s="23">
        <f t="shared" si="177"/>
        <v>6.0606060606060663E-2</v>
      </c>
      <c r="AF150" s="321">
        <v>2148127307.8800001</v>
      </c>
      <c r="AG150" s="322">
        <v>1.76</v>
      </c>
      <c r="AH150" s="23">
        <f t="shared" si="178"/>
        <v>-4.3204204025762598E-3</v>
      </c>
      <c r="AI150" s="23">
        <f t="shared" si="179"/>
        <v>5.7142857142857195E-3</v>
      </c>
      <c r="AJ150" s="24">
        <f t="shared" si="148"/>
        <v>1.7095049447572452E-2</v>
      </c>
      <c r="AK150" s="24">
        <f t="shared" si="149"/>
        <v>2.0361850968121778E-2</v>
      </c>
      <c r="AL150" s="25">
        <f t="shared" si="150"/>
        <v>0.12137795218318446</v>
      </c>
      <c r="AM150" s="25">
        <f t="shared" si="151"/>
        <v>0.15032679738562091</v>
      </c>
      <c r="AN150" s="466">
        <f t="shared" si="152"/>
        <v>2.4238982659673034E-2</v>
      </c>
      <c r="AO150" s="467">
        <f t="shared" si="153"/>
        <v>2.058845774544232E-2</v>
      </c>
    </row>
    <row r="151" spans="1:41">
      <c r="A151" s="204" t="s">
        <v>42</v>
      </c>
      <c r="B151" s="216">
        <f>SUM(B148:B150)</f>
        <v>3019546321.4400001</v>
      </c>
      <c r="C151" s="85"/>
      <c r="D151" s="216">
        <f>SUM(D148:D150)</f>
        <v>3058498106.9700003</v>
      </c>
      <c r="E151" s="85"/>
      <c r="F151" s="23">
        <f>((D151-B151)/B151)</f>
        <v>1.2899880108951062E-2</v>
      </c>
      <c r="G151" s="23"/>
      <c r="H151" s="216">
        <f>SUM(H148:H150)</f>
        <v>3052374164.9300003</v>
      </c>
      <c r="I151" s="85"/>
      <c r="J151" s="23">
        <f>((H151-D151)/D151)</f>
        <v>-2.0022709924338786E-3</v>
      </c>
      <c r="K151" s="23"/>
      <c r="L151" s="216">
        <f>SUM(L148:L150)</f>
        <v>3085351470.0200005</v>
      </c>
      <c r="M151" s="85"/>
      <c r="N151" s="23">
        <f>((L151-H151)/H151)</f>
        <v>1.0803821323378426E-2</v>
      </c>
      <c r="O151" s="23"/>
      <c r="P151" s="216">
        <f>SUM(P148:P150)</f>
        <v>3105704717.4300003</v>
      </c>
      <c r="Q151" s="85"/>
      <c r="R151" s="23">
        <f>((P151-L151)/L151)</f>
        <v>6.5967354474101162E-3</v>
      </c>
      <c r="S151" s="23"/>
      <c r="T151" s="216">
        <f>SUM(T148:T150)</f>
        <v>3224901792.5799999</v>
      </c>
      <c r="U151" s="85"/>
      <c r="V151" s="23">
        <f>((T151-P151)/P151)</f>
        <v>3.8380041245078933E-2</v>
      </c>
      <c r="W151" s="23"/>
      <c r="X151" s="216">
        <f>SUM(X148:X150)</f>
        <v>3226244064.04</v>
      </c>
      <c r="Y151" s="85"/>
      <c r="Z151" s="23">
        <f>((X151-T151)/T151)</f>
        <v>4.1622087937325631E-4</v>
      </c>
      <c r="AA151" s="23"/>
      <c r="AB151" s="216">
        <f>SUM(AB148:AB150)</f>
        <v>3394394975.1899996</v>
      </c>
      <c r="AC151" s="85"/>
      <c r="AD151" s="23">
        <f>((AB151-X151)/X151)</f>
        <v>5.2119711904075848E-2</v>
      </c>
      <c r="AE151" s="23"/>
      <c r="AF151" s="216">
        <f>SUM(AF148:AF150)</f>
        <v>3378418489.8299999</v>
      </c>
      <c r="AG151" s="85"/>
      <c r="AH151" s="23">
        <f>((AF151-AB151)/AB151)</f>
        <v>-4.7067254921049316E-3</v>
      </c>
      <c r="AI151" s="23"/>
      <c r="AJ151" s="24">
        <f t="shared" si="148"/>
        <v>1.4313426802966104E-2</v>
      </c>
      <c r="AK151" s="24"/>
      <c r="AL151" s="25">
        <f t="shared" si="150"/>
        <v>0.1046004841823947</v>
      </c>
      <c r="AM151" s="25"/>
      <c r="AN151" s="466">
        <f t="shared" si="152"/>
        <v>2.0366219982287166E-2</v>
      </c>
      <c r="AO151" s="467"/>
    </row>
    <row r="152" spans="1:41" ht="8.25" customHeight="1">
      <c r="A152" s="204"/>
      <c r="B152" s="85"/>
      <c r="C152" s="85"/>
      <c r="D152" s="85"/>
      <c r="E152" s="85"/>
      <c r="F152" s="23"/>
      <c r="G152" s="23"/>
      <c r="H152" s="85"/>
      <c r="I152" s="85"/>
      <c r="J152" s="23"/>
      <c r="K152" s="23"/>
      <c r="L152" s="85"/>
      <c r="M152" s="85"/>
      <c r="N152" s="23"/>
      <c r="O152" s="23"/>
      <c r="P152" s="85"/>
      <c r="Q152" s="85"/>
      <c r="R152" s="23"/>
      <c r="S152" s="23"/>
      <c r="T152" s="85"/>
      <c r="U152" s="85"/>
      <c r="V152" s="23"/>
      <c r="W152" s="23"/>
      <c r="X152" s="85"/>
      <c r="Y152" s="85"/>
      <c r="Z152" s="23"/>
      <c r="AA152" s="23"/>
      <c r="AB152" s="85"/>
      <c r="AC152" s="85"/>
      <c r="AD152" s="23"/>
      <c r="AE152" s="23"/>
      <c r="AF152" s="85"/>
      <c r="AG152" s="85"/>
      <c r="AH152" s="23"/>
      <c r="AI152" s="23"/>
      <c r="AJ152" s="24"/>
      <c r="AK152" s="24"/>
      <c r="AL152" s="25"/>
      <c r="AM152" s="25"/>
      <c r="AN152" s="466"/>
      <c r="AO152" s="467"/>
    </row>
    <row r="153" spans="1:41">
      <c r="A153" s="207" t="s">
        <v>198</v>
      </c>
      <c r="B153" s="85"/>
      <c r="C153" s="85"/>
      <c r="D153" s="85"/>
      <c r="E153" s="85"/>
      <c r="F153" s="23"/>
      <c r="G153" s="23"/>
      <c r="H153" s="85"/>
      <c r="I153" s="85"/>
      <c r="J153" s="23"/>
      <c r="K153" s="23"/>
      <c r="L153" s="85"/>
      <c r="M153" s="85"/>
      <c r="N153" s="23"/>
      <c r="O153" s="23"/>
      <c r="P153" s="85"/>
      <c r="Q153" s="85"/>
      <c r="R153" s="23"/>
      <c r="S153" s="23"/>
      <c r="T153" s="85"/>
      <c r="U153" s="85"/>
      <c r="V153" s="23"/>
      <c r="W153" s="23"/>
      <c r="X153" s="85"/>
      <c r="Y153" s="85"/>
      <c r="Z153" s="23"/>
      <c r="AA153" s="23"/>
      <c r="AB153" s="85"/>
      <c r="AC153" s="85"/>
      <c r="AD153" s="23"/>
      <c r="AE153" s="23"/>
      <c r="AF153" s="85"/>
      <c r="AG153" s="85"/>
      <c r="AH153" s="23"/>
      <c r="AI153" s="23"/>
      <c r="AJ153" s="24"/>
      <c r="AK153" s="24"/>
      <c r="AL153" s="25"/>
      <c r="AM153" s="25"/>
      <c r="AN153" s="466"/>
      <c r="AO153" s="467"/>
    </row>
    <row r="154" spans="1:41">
      <c r="A154" s="208" t="s">
        <v>199</v>
      </c>
      <c r="B154" s="85"/>
      <c r="C154" s="85"/>
      <c r="D154" s="85"/>
      <c r="E154" s="85"/>
      <c r="F154" s="23"/>
      <c r="G154" s="23"/>
      <c r="H154" s="85"/>
      <c r="I154" s="85"/>
      <c r="J154" s="23"/>
      <c r="K154" s="23"/>
      <c r="L154" s="85"/>
      <c r="M154" s="85"/>
      <c r="N154" s="23"/>
      <c r="O154" s="23"/>
      <c r="P154" s="85"/>
      <c r="Q154" s="85"/>
      <c r="R154" s="23"/>
      <c r="S154" s="23"/>
      <c r="T154" s="85"/>
      <c r="U154" s="85"/>
      <c r="V154" s="23"/>
      <c r="W154" s="23"/>
      <c r="X154" s="85"/>
      <c r="Y154" s="85"/>
      <c r="Z154" s="23"/>
      <c r="AA154" s="23"/>
      <c r="AB154" s="85"/>
      <c r="AC154" s="85"/>
      <c r="AD154" s="23"/>
      <c r="AE154" s="23"/>
      <c r="AF154" s="85"/>
      <c r="AG154" s="85"/>
      <c r="AH154" s="23"/>
      <c r="AI154" s="23"/>
      <c r="AJ154" s="24"/>
      <c r="AK154" s="24"/>
      <c r="AL154" s="25"/>
      <c r="AM154" s="25"/>
      <c r="AN154" s="466"/>
      <c r="AO154" s="467"/>
    </row>
    <row r="155" spans="1:41">
      <c r="A155" s="203" t="s">
        <v>24</v>
      </c>
      <c r="B155" s="316">
        <v>3496297059.2199998</v>
      </c>
      <c r="C155" s="317">
        <v>1.74</v>
      </c>
      <c r="D155" s="316">
        <v>3519541965.3000002</v>
      </c>
      <c r="E155" s="317">
        <v>1.75</v>
      </c>
      <c r="F155" s="23">
        <f>((D148-B155)/B155)</f>
        <v>-0.84691946390865236</v>
      </c>
      <c r="G155" s="23">
        <f>((E155-C155)/C155)</f>
        <v>5.7471264367816143E-3</v>
      </c>
      <c r="H155" s="316">
        <v>3523014717.3200002</v>
      </c>
      <c r="I155" s="317">
        <v>1.75</v>
      </c>
      <c r="J155" s="23">
        <f>((H148-D155)/D155)</f>
        <v>-0.84953479393877307</v>
      </c>
      <c r="K155" s="23">
        <f>((I155-E155)/E155)</f>
        <v>0</v>
      </c>
      <c r="L155" s="316">
        <v>3493586160.0500002</v>
      </c>
      <c r="M155" s="317">
        <v>1.74</v>
      </c>
      <c r="N155" s="23">
        <f>((L148-H155)/H155)</f>
        <v>-0.85020439592672137</v>
      </c>
      <c r="O155" s="23">
        <f>((M155-I155)/I155)</f>
        <v>-5.7142857142857195E-3</v>
      </c>
      <c r="P155" s="316">
        <v>3508106505.0599999</v>
      </c>
      <c r="Q155" s="317">
        <v>1.74</v>
      </c>
      <c r="R155" s="23">
        <f>((P148-L155)/L155)</f>
        <v>-0.84812602099889056</v>
      </c>
      <c r="S155" s="23">
        <f>((Q155-M155)/M155)</f>
        <v>0</v>
      </c>
      <c r="T155" s="316">
        <v>3538739093.1399999</v>
      </c>
      <c r="U155" s="317">
        <v>1.76</v>
      </c>
      <c r="V155" s="23">
        <f>((T148-P155)/P155)</f>
        <v>-0.84243934862788716</v>
      </c>
      <c r="W155" s="23">
        <f>((U155-Q155)/Q155)</f>
        <v>1.1494252873563229E-2</v>
      </c>
      <c r="X155" s="316">
        <v>3541879598.8800001</v>
      </c>
      <c r="Y155" s="317">
        <v>1.76</v>
      </c>
      <c r="Z155" s="23">
        <f>((X148-T155)/T155)</f>
        <v>-0.84353265890289386</v>
      </c>
      <c r="AA155" s="23">
        <f>((Y155-U155)/U155)</f>
        <v>0</v>
      </c>
      <c r="AB155" s="316">
        <v>3589462168.4200001</v>
      </c>
      <c r="AC155" s="317">
        <v>1.79</v>
      </c>
      <c r="AD155" s="23">
        <f>((AB148-X155)/X155)</f>
        <v>-0.83905382824693997</v>
      </c>
      <c r="AE155" s="23">
        <f>((AC155-Y155)/Y155)</f>
        <v>1.7045454545454562E-2</v>
      </c>
      <c r="AF155" s="316">
        <v>3568165804.0900002</v>
      </c>
      <c r="AG155" s="317">
        <v>1.78</v>
      </c>
      <c r="AH155" s="23">
        <f>((AF148-AB155)/AB155)</f>
        <v>-0.84394809553416694</v>
      </c>
      <c r="AI155" s="23">
        <f>((AG155-AC155)/AC155)</f>
        <v>-5.5865921787709542E-3</v>
      </c>
      <c r="AJ155" s="24">
        <f t="shared" si="148"/>
        <v>-0.84546982576061569</v>
      </c>
      <c r="AK155" s="24">
        <f t="shared" si="149"/>
        <v>2.8732444953428415E-3</v>
      </c>
      <c r="AL155" s="25">
        <f t="shared" si="150"/>
        <v>1.3815388271938204E-2</v>
      </c>
      <c r="AM155" s="25">
        <f t="shared" si="151"/>
        <v>1.7142857142857158E-2</v>
      </c>
      <c r="AN155" s="466">
        <f t="shared" si="152"/>
        <v>3.8640104797904784E-3</v>
      </c>
      <c r="AO155" s="467">
        <f t="shared" si="153"/>
        <v>8.0490783325011753E-3</v>
      </c>
    </row>
    <row r="156" spans="1:41">
      <c r="A156" s="202" t="s">
        <v>65</v>
      </c>
      <c r="B156" s="316">
        <v>316030577.88999999</v>
      </c>
      <c r="C156" s="317">
        <v>281.64</v>
      </c>
      <c r="D156" s="316">
        <v>325327433.61000001</v>
      </c>
      <c r="E156" s="317">
        <v>282.93</v>
      </c>
      <c r="F156" s="23">
        <f>((D149-B156)/B156)</f>
        <v>0.92281734206589938</v>
      </c>
      <c r="G156" s="23">
        <f>((E156-C156)/C156)</f>
        <v>4.5803152961227831E-3</v>
      </c>
      <c r="H156" s="316">
        <v>324172929.52999997</v>
      </c>
      <c r="I156" s="317">
        <v>282.44</v>
      </c>
      <c r="J156" s="23">
        <f>((H149-D156)/D156)</f>
        <v>0.88155281095600946</v>
      </c>
      <c r="K156" s="23">
        <f>((I156-E156)/E156)</f>
        <v>-1.7318771427561909E-3</v>
      </c>
      <c r="L156" s="316">
        <v>327594257.86000001</v>
      </c>
      <c r="M156" s="317">
        <v>284.87</v>
      </c>
      <c r="N156" s="23">
        <f>((L149-H156)/H156)</f>
        <v>0.89789689954066065</v>
      </c>
      <c r="O156" s="23">
        <f>((M156-I156)/I156)</f>
        <v>8.6035972241892324E-3</v>
      </c>
      <c r="P156" s="316">
        <v>331894601.49000001</v>
      </c>
      <c r="Q156" s="317">
        <v>287.95999999999998</v>
      </c>
      <c r="R156" s="23">
        <f>((P149-L156)/L156)</f>
        <v>0.91112343253451411</v>
      </c>
      <c r="S156" s="23">
        <f>((Q156-M156)/M156)</f>
        <v>1.0847053041738249E-2</v>
      </c>
      <c r="T156" s="316">
        <v>347783495.20999998</v>
      </c>
      <c r="U156" s="317">
        <v>301.31</v>
      </c>
      <c r="V156" s="23">
        <f>((T149-P156)/P156)</f>
        <v>0.936767003995296</v>
      </c>
      <c r="W156" s="23">
        <f>((U156-Q156)/Q156)</f>
        <v>4.6360605639672259E-2</v>
      </c>
      <c r="X156" s="316">
        <v>360997946.67000002</v>
      </c>
      <c r="Y156" s="317">
        <v>301.24</v>
      </c>
      <c r="Z156" s="23">
        <f>((X149-T156)/T156)</f>
        <v>0.85306280955298597</v>
      </c>
      <c r="AA156" s="23">
        <f>((Y156-U156)/U156)</f>
        <v>-2.3231887424908957E-4</v>
      </c>
      <c r="AB156" s="316">
        <v>378637696.44</v>
      </c>
      <c r="AC156" s="317">
        <v>315.91000000000003</v>
      </c>
      <c r="AD156" s="23">
        <f>((AB149-X156)/X156)</f>
        <v>0.84736402841545821</v>
      </c>
      <c r="AE156" s="23">
        <f>((AC156-Y156)/Y156)</f>
        <v>4.8698711990439569E-2</v>
      </c>
      <c r="AF156" s="316">
        <v>371936594.10000002</v>
      </c>
      <c r="AG156" s="317">
        <v>315.75</v>
      </c>
      <c r="AH156" s="23">
        <f>((AF149-AB156)/AB156)</f>
        <v>0.76989449508283081</v>
      </c>
      <c r="AI156" s="23">
        <f>((AG156-AC156)/AC156)</f>
        <v>-5.0647336266666136E-4</v>
      </c>
      <c r="AJ156" s="24">
        <f t="shared" si="148"/>
        <v>0.87755985276795678</v>
      </c>
      <c r="AK156" s="24">
        <f t="shared" si="149"/>
        <v>1.4577451726561268E-2</v>
      </c>
      <c r="AL156" s="25">
        <f t="shared" si="150"/>
        <v>0.14326846024880494</v>
      </c>
      <c r="AM156" s="25">
        <f t="shared" si="151"/>
        <v>0.11600042413317779</v>
      </c>
      <c r="AN156" s="466">
        <f t="shared" si="152"/>
        <v>5.3736795517400432E-2</v>
      </c>
      <c r="AO156" s="467">
        <f t="shared" si="153"/>
        <v>2.0828631163258636E-2</v>
      </c>
    </row>
    <row r="157" spans="1:41" ht="8.25" customHeight="1">
      <c r="A157" s="204"/>
      <c r="B157" s="85"/>
      <c r="C157" s="85"/>
      <c r="D157" s="85"/>
      <c r="E157" s="85"/>
      <c r="F157" s="23"/>
      <c r="G157" s="23"/>
      <c r="H157" s="85"/>
      <c r="I157" s="85"/>
      <c r="J157" s="23"/>
      <c r="K157" s="23"/>
      <c r="L157" s="85"/>
      <c r="M157" s="85"/>
      <c r="N157" s="23"/>
      <c r="O157" s="23"/>
      <c r="P157" s="85"/>
      <c r="Q157" s="85"/>
      <c r="R157" s="23"/>
      <c r="S157" s="23"/>
      <c r="T157" s="85"/>
      <c r="U157" s="85"/>
      <c r="V157" s="23"/>
      <c r="W157" s="23"/>
      <c r="X157" s="85"/>
      <c r="Y157" s="85"/>
      <c r="Z157" s="23"/>
      <c r="AA157" s="23"/>
      <c r="AB157" s="85"/>
      <c r="AC157" s="85"/>
      <c r="AD157" s="23"/>
      <c r="AE157" s="23"/>
      <c r="AF157" s="85"/>
      <c r="AG157" s="85"/>
      <c r="AH157" s="23"/>
      <c r="AI157" s="23"/>
      <c r="AJ157" s="24"/>
      <c r="AK157" s="24"/>
      <c r="AL157" s="25"/>
      <c r="AM157" s="25"/>
      <c r="AN157" s="466"/>
      <c r="AO157" s="467"/>
    </row>
    <row r="158" spans="1:41">
      <c r="A158" s="208" t="s">
        <v>200</v>
      </c>
      <c r="B158" s="85"/>
      <c r="C158" s="85"/>
      <c r="D158" s="85"/>
      <c r="E158" s="85"/>
      <c r="F158" s="23"/>
      <c r="G158" s="23"/>
      <c r="H158" s="85"/>
      <c r="I158" s="85"/>
      <c r="J158" s="23"/>
      <c r="K158" s="23"/>
      <c r="L158" s="85"/>
      <c r="M158" s="85"/>
      <c r="N158" s="23"/>
      <c r="O158" s="23"/>
      <c r="P158" s="85"/>
      <c r="Q158" s="85"/>
      <c r="R158" s="23"/>
      <c r="S158" s="23"/>
      <c r="T158" s="85"/>
      <c r="U158" s="85"/>
      <c r="V158" s="23"/>
      <c r="W158" s="23"/>
      <c r="X158" s="85"/>
      <c r="Y158" s="85"/>
      <c r="Z158" s="23"/>
      <c r="AA158" s="23"/>
      <c r="AB158" s="85"/>
      <c r="AC158" s="85"/>
      <c r="AD158" s="23"/>
      <c r="AE158" s="23"/>
      <c r="AF158" s="85"/>
      <c r="AG158" s="85"/>
      <c r="AH158" s="23"/>
      <c r="AI158" s="23"/>
      <c r="AJ158" s="24"/>
      <c r="AK158" s="24"/>
      <c r="AL158" s="25"/>
      <c r="AM158" s="25"/>
      <c r="AN158" s="466"/>
      <c r="AO158" s="467"/>
    </row>
    <row r="159" spans="1:41">
      <c r="A159" s="202" t="s">
        <v>228</v>
      </c>
      <c r="B159" s="326">
        <v>499448705.5</v>
      </c>
      <c r="C159" s="326">
        <v>1029.3599999999999</v>
      </c>
      <c r="D159" s="326">
        <v>500931777.48000002</v>
      </c>
      <c r="E159" s="326">
        <v>1031.5899999999999</v>
      </c>
      <c r="F159" s="23">
        <f>((D159-B159)/B159)</f>
        <v>2.9694180076316546E-3</v>
      </c>
      <c r="G159" s="23">
        <f>((E159-C159)/C159)</f>
        <v>2.1663946529882822E-3</v>
      </c>
      <c r="H159" s="326">
        <v>505422763.86000001</v>
      </c>
      <c r="I159" s="326">
        <v>1040.8399999999999</v>
      </c>
      <c r="J159" s="23">
        <f t="shared" ref="J159:J167" si="180">((H159-D159)/D159)</f>
        <v>8.965265495019031E-3</v>
      </c>
      <c r="K159" s="23">
        <f t="shared" ref="K159:K161" si="181">((I159-E159)/E159)</f>
        <v>8.9667406624724943E-3</v>
      </c>
      <c r="L159" s="326">
        <v>506418656.02999997</v>
      </c>
      <c r="M159" s="326">
        <v>1042.8900000000001</v>
      </c>
      <c r="N159" s="23">
        <f t="shared" ref="N159:N167" si="182">((L159-H159)/H159)</f>
        <v>1.9704141586226911E-3</v>
      </c>
      <c r="O159" s="23">
        <f t="shared" ref="O159:O161" si="183">((M159-I159)/I159)</f>
        <v>1.9695630452328714E-3</v>
      </c>
      <c r="P159" s="326">
        <v>505028265.47000003</v>
      </c>
      <c r="Q159" s="326">
        <v>1040.03</v>
      </c>
      <c r="R159" s="23">
        <f t="shared" ref="R159:R167" si="184">((P159-L159)/L159)</f>
        <v>-2.7455358199078212E-3</v>
      </c>
      <c r="S159" s="23">
        <f t="shared" ref="S159:S161" si="185">((Q159-M159)/M159)</f>
        <v>-2.7423793496918437E-3</v>
      </c>
      <c r="T159" s="326">
        <v>506015795.07999998</v>
      </c>
      <c r="U159" s="326">
        <v>1046.97</v>
      </c>
      <c r="V159" s="23">
        <f t="shared" ref="V159:V167" si="186">((T159-P159)/P159)</f>
        <v>1.9553947323738782E-3</v>
      </c>
      <c r="W159" s="23">
        <f t="shared" ref="W159:W161" si="187">((U159-Q159)/Q159)</f>
        <v>6.6728844360259363E-3</v>
      </c>
      <c r="X159" s="326">
        <v>482005458.32999998</v>
      </c>
      <c r="Y159" s="326">
        <v>1049.06</v>
      </c>
      <c r="Z159" s="23">
        <f t="shared" ref="Z159:Z167" si="188">((X159-T159)/T159)</f>
        <v>-4.7449777227218805E-2</v>
      </c>
      <c r="AA159" s="23">
        <f t="shared" ref="AA159:AA161" si="189">((Y159-U159)/U159)</f>
        <v>1.996236759410411E-3</v>
      </c>
      <c r="AB159" s="326">
        <v>483001369.13</v>
      </c>
      <c r="AC159" s="326">
        <v>1051.23</v>
      </c>
      <c r="AD159" s="23">
        <f t="shared" ref="AD159:AD167" si="190">((AB159-X159)/X159)</f>
        <v>2.0661815811184696E-3</v>
      </c>
      <c r="AE159" s="23">
        <f t="shared" ref="AE159:AE161" si="191">((AC159-Y159)/Y159)</f>
        <v>2.0685184832136129E-3</v>
      </c>
      <c r="AF159" s="326">
        <v>481327602.69</v>
      </c>
      <c r="AG159" s="326">
        <v>1047.54</v>
      </c>
      <c r="AH159" s="23">
        <f t="shared" ref="AH159:AH167" si="192">((AF159-AB159)/AB159)</f>
        <v>-3.4653451252422904E-3</v>
      </c>
      <c r="AI159" s="23">
        <f t="shared" ref="AI159:AI161" si="193">((AG159-AC159)/AC159)</f>
        <v>-3.5101737964099715E-3</v>
      </c>
      <c r="AJ159" s="24">
        <f t="shared" si="148"/>
        <v>-4.4667480247003984E-3</v>
      </c>
      <c r="AK159" s="24">
        <f t="shared" si="149"/>
        <v>2.198473111655224E-3</v>
      </c>
      <c r="AL159" s="25">
        <f t="shared" si="150"/>
        <v>-3.913541857659994E-2</v>
      </c>
      <c r="AM159" s="25">
        <f t="shared" si="151"/>
        <v>1.5461569034209373E-2</v>
      </c>
      <c r="AN159" s="466">
        <f t="shared" si="152"/>
        <v>1.7778726753788342E-2</v>
      </c>
      <c r="AO159" s="467">
        <f t="shared" si="153"/>
        <v>4.1908350940476086E-3</v>
      </c>
    </row>
    <row r="160" spans="1:41">
      <c r="A160" s="202" t="s">
        <v>231</v>
      </c>
      <c r="B160" s="326">
        <v>61747437.560000002</v>
      </c>
      <c r="C160" s="326">
        <v>104.43</v>
      </c>
      <c r="D160" s="326">
        <v>62015270.850000001</v>
      </c>
      <c r="E160" s="326">
        <v>104.58</v>
      </c>
      <c r="F160" s="23">
        <f>((D160-B160)/B160)</f>
        <v>4.3375612103699916E-3</v>
      </c>
      <c r="G160" s="23">
        <f>((E160-C160)/C160)</f>
        <v>1.4363688595230438E-3</v>
      </c>
      <c r="H160" s="326">
        <v>62140757.649999999</v>
      </c>
      <c r="I160" s="326">
        <v>104.7</v>
      </c>
      <c r="J160" s="23">
        <f t="shared" si="180"/>
        <v>2.0234822533230462E-3</v>
      </c>
      <c r="K160" s="23">
        <f t="shared" si="181"/>
        <v>1.1474469305795042E-3</v>
      </c>
      <c r="L160" s="326">
        <v>62170128.969999999</v>
      </c>
      <c r="M160" s="326">
        <v>103.28</v>
      </c>
      <c r="N160" s="23">
        <f t="shared" si="182"/>
        <v>4.7265789975446654E-4</v>
      </c>
      <c r="O160" s="23">
        <f t="shared" si="183"/>
        <v>-1.3562559694364868E-2</v>
      </c>
      <c r="P160" s="326">
        <v>62668088.18</v>
      </c>
      <c r="Q160" s="326">
        <v>103.4</v>
      </c>
      <c r="R160" s="23">
        <f t="shared" si="184"/>
        <v>8.0096216342142312E-3</v>
      </c>
      <c r="S160" s="23">
        <f t="shared" si="185"/>
        <v>1.1618900077459773E-3</v>
      </c>
      <c r="T160" s="326">
        <v>63874587.5</v>
      </c>
      <c r="U160" s="326">
        <v>103.56</v>
      </c>
      <c r="V160" s="23">
        <f t="shared" si="186"/>
        <v>1.925221201155207E-2</v>
      </c>
      <c r="W160" s="23">
        <f t="shared" si="187"/>
        <v>1.5473887814313016E-3</v>
      </c>
      <c r="X160" s="326">
        <v>61998775.670000002</v>
      </c>
      <c r="Y160" s="326">
        <v>103.67</v>
      </c>
      <c r="Z160" s="23">
        <f t="shared" si="188"/>
        <v>-2.9367106754309737E-2</v>
      </c>
      <c r="AA160" s="23">
        <f t="shared" si="189"/>
        <v>1.0621861722672791E-3</v>
      </c>
      <c r="AB160" s="326">
        <v>62119720.93</v>
      </c>
      <c r="AC160" s="326">
        <v>103.78</v>
      </c>
      <c r="AD160" s="23">
        <f t="shared" si="190"/>
        <v>1.9507685223294009E-3</v>
      </c>
      <c r="AE160" s="23">
        <f t="shared" si="191"/>
        <v>1.0610591299315079E-3</v>
      </c>
      <c r="AF160" s="326">
        <v>61962424.829999998</v>
      </c>
      <c r="AG160" s="326">
        <v>103.78</v>
      </c>
      <c r="AH160" s="23">
        <f t="shared" si="192"/>
        <v>-2.5321443439395293E-3</v>
      </c>
      <c r="AI160" s="23">
        <f t="shared" si="193"/>
        <v>0</v>
      </c>
      <c r="AJ160" s="24">
        <f t="shared" si="148"/>
        <v>5.1838155416174259E-4</v>
      </c>
      <c r="AK160" s="24">
        <f t="shared" si="149"/>
        <v>-7.682774766107817E-4</v>
      </c>
      <c r="AL160" s="25">
        <f t="shared" si="150"/>
        <v>-8.5214527447320307E-4</v>
      </c>
      <c r="AM160" s="25">
        <f t="shared" si="151"/>
        <v>-7.649646203863044E-3</v>
      </c>
      <c r="AN160" s="466">
        <f t="shared" si="152"/>
        <v>1.3775902799942069E-2</v>
      </c>
      <c r="AO160" s="467">
        <f t="shared" si="153"/>
        <v>5.1906412973810176E-3</v>
      </c>
    </row>
    <row r="161" spans="1:41">
      <c r="A161" s="202" t="s">
        <v>235</v>
      </c>
      <c r="B161" s="321">
        <v>51957353.259999998</v>
      </c>
      <c r="C161" s="322">
        <v>103.54</v>
      </c>
      <c r="D161" s="321">
        <v>52024825.420000002</v>
      </c>
      <c r="E161" s="322">
        <v>103.79</v>
      </c>
      <c r="F161" s="23">
        <f>((D161-B161)/B161)</f>
        <v>1.2986065641636165E-3</v>
      </c>
      <c r="G161" s="23">
        <f>((E161-C161)/C161)</f>
        <v>2.4145257871354066E-3</v>
      </c>
      <c r="H161" s="321">
        <v>52092258.890000001</v>
      </c>
      <c r="I161" s="322">
        <v>104.04</v>
      </c>
      <c r="J161" s="23">
        <f t="shared" si="180"/>
        <v>1.2961786888394868E-3</v>
      </c>
      <c r="K161" s="23">
        <f t="shared" si="181"/>
        <v>2.4087098949802485E-3</v>
      </c>
      <c r="L161" s="321">
        <v>52092258.890000001</v>
      </c>
      <c r="M161" s="322">
        <v>104.29</v>
      </c>
      <c r="N161" s="23">
        <f t="shared" si="182"/>
        <v>0</v>
      </c>
      <c r="O161" s="23">
        <f t="shared" si="183"/>
        <v>2.4029219530949633E-3</v>
      </c>
      <c r="P161" s="321">
        <v>52228214.920000002</v>
      </c>
      <c r="Q161" s="322">
        <v>104.54</v>
      </c>
      <c r="R161" s="23">
        <f t="shared" si="184"/>
        <v>2.6099085141823306E-3</v>
      </c>
      <c r="S161" s="23">
        <f t="shared" si="185"/>
        <v>2.3971617604755966E-3</v>
      </c>
      <c r="T161" s="321">
        <v>52287491.479999997</v>
      </c>
      <c r="U161" s="322">
        <v>104.75</v>
      </c>
      <c r="V161" s="23">
        <f t="shared" si="186"/>
        <v>1.1349528236948392E-3</v>
      </c>
      <c r="W161" s="23">
        <f t="shared" si="187"/>
        <v>2.0088004591543307E-3</v>
      </c>
      <c r="X161" s="321">
        <v>52366482.539999999</v>
      </c>
      <c r="Y161" s="322">
        <v>105.04</v>
      </c>
      <c r="Z161" s="23">
        <f t="shared" si="188"/>
        <v>1.5107066291412455E-3</v>
      </c>
      <c r="AA161" s="23">
        <f t="shared" si="189"/>
        <v>2.7684964200477922E-3</v>
      </c>
      <c r="AB161" s="321">
        <v>52435558.130000003</v>
      </c>
      <c r="AC161" s="322">
        <v>105.29</v>
      </c>
      <c r="AD161" s="23">
        <f t="shared" si="190"/>
        <v>1.3190801949938182E-3</v>
      </c>
      <c r="AE161" s="23">
        <f t="shared" si="191"/>
        <v>2.3800456968773799E-3</v>
      </c>
      <c r="AF161" s="321">
        <v>52504594.890000001</v>
      </c>
      <c r="AG161" s="322">
        <v>105.55</v>
      </c>
      <c r="AH161" s="23">
        <f t="shared" si="192"/>
        <v>1.3166019865534691E-3</v>
      </c>
      <c r="AI161" s="23">
        <f t="shared" si="193"/>
        <v>2.4693703105707178E-3</v>
      </c>
      <c r="AJ161" s="24">
        <f t="shared" si="148"/>
        <v>1.3107544251961007E-3</v>
      </c>
      <c r="AK161" s="24">
        <f t="shared" si="149"/>
        <v>2.4062540352920545E-3</v>
      </c>
      <c r="AL161" s="25">
        <f t="shared" si="150"/>
        <v>9.2219333006268982E-3</v>
      </c>
      <c r="AM161" s="25">
        <f t="shared" si="151"/>
        <v>1.6957317660660862E-2</v>
      </c>
      <c r="AN161" s="466">
        <f t="shared" si="152"/>
        <v>7.0480282268855522E-4</v>
      </c>
      <c r="AO161" s="467">
        <f t="shared" si="153"/>
        <v>2.0494865456783899E-4</v>
      </c>
    </row>
    <row r="162" spans="1:41" s="288" customFormat="1">
      <c r="A162" s="202" t="s">
        <v>186</v>
      </c>
      <c r="B162" s="326">
        <v>9482030679.6000004</v>
      </c>
      <c r="C162" s="326">
        <v>127.74</v>
      </c>
      <c r="D162" s="326">
        <v>9396906448.2999992</v>
      </c>
      <c r="E162" s="326">
        <v>128.03</v>
      </c>
      <c r="F162" s="23">
        <f>((D162-B162)/B162)</f>
        <v>-8.9774262683140899E-3</v>
      </c>
      <c r="G162" s="23">
        <f>((E162-C162)/C162)</f>
        <v>2.2702364177235499E-3</v>
      </c>
      <c r="H162" s="326">
        <v>9350818818.1200008</v>
      </c>
      <c r="I162" s="326">
        <v>128.31</v>
      </c>
      <c r="J162" s="23">
        <f t="shared" si="180"/>
        <v>-4.904553475504286E-3</v>
      </c>
      <c r="K162" s="23">
        <f>((I162-E162)/E162)</f>
        <v>2.1869874248223163E-3</v>
      </c>
      <c r="L162" s="326">
        <v>9440015780.9500008</v>
      </c>
      <c r="M162" s="326">
        <v>128.59</v>
      </c>
      <c r="N162" s="23">
        <f t="shared" si="182"/>
        <v>9.5389467558877512E-3</v>
      </c>
      <c r="O162" s="23">
        <f>((M162-I162)/I162)</f>
        <v>2.1822149481724039E-3</v>
      </c>
      <c r="P162" s="326">
        <v>9385200748.5</v>
      </c>
      <c r="Q162" s="326">
        <v>128.86000000000001</v>
      </c>
      <c r="R162" s="23">
        <f t="shared" si="184"/>
        <v>-5.8066674592449066E-3</v>
      </c>
      <c r="S162" s="23">
        <f>((Q162-M162)/M162)</f>
        <v>2.0996967104752332E-3</v>
      </c>
      <c r="T162" s="326">
        <v>9141103160.3999996</v>
      </c>
      <c r="U162" s="326">
        <v>129.11000000000001</v>
      </c>
      <c r="V162" s="23">
        <f t="shared" si="186"/>
        <v>-2.600877643869403E-2</v>
      </c>
      <c r="W162" s="23">
        <f>((U162-Q162)/Q162)</f>
        <v>1.9400900201769361E-3</v>
      </c>
      <c r="X162" s="326">
        <v>9175697526.1100006</v>
      </c>
      <c r="Y162" s="322">
        <v>129.4</v>
      </c>
      <c r="Z162" s="23">
        <f t="shared" si="188"/>
        <v>3.7844847720203607E-3</v>
      </c>
      <c r="AA162" s="23">
        <f>((Y162-U162)/U162)</f>
        <v>2.2461466966152274E-3</v>
      </c>
      <c r="AB162" s="326">
        <v>9137554462.4300003</v>
      </c>
      <c r="AC162" s="322">
        <v>129.30000000000001</v>
      </c>
      <c r="AD162" s="23">
        <f t="shared" si="190"/>
        <v>-4.1569661130897041E-3</v>
      </c>
      <c r="AE162" s="23">
        <f>((AC162-Y162)/Y162)</f>
        <v>-7.7279752704786952E-4</v>
      </c>
      <c r="AF162" s="326">
        <v>9193583412.5200005</v>
      </c>
      <c r="AG162" s="322">
        <v>130</v>
      </c>
      <c r="AH162" s="23">
        <f t="shared" si="192"/>
        <v>6.131722696742216E-3</v>
      </c>
      <c r="AI162" s="23">
        <f>((AG162-AC162)/AC162)</f>
        <v>5.4137664346480168E-3</v>
      </c>
      <c r="AJ162" s="24">
        <f t="shared" si="148"/>
        <v>-3.7999044412745857E-3</v>
      </c>
      <c r="AK162" s="24">
        <f t="shared" si="149"/>
        <v>2.1957926406982265E-3</v>
      </c>
      <c r="AL162" s="25">
        <f t="shared" si="150"/>
        <v>-2.1637231029024675E-2</v>
      </c>
      <c r="AM162" s="25">
        <f t="shared" si="151"/>
        <v>1.5387018667499796E-2</v>
      </c>
      <c r="AN162" s="466">
        <f t="shared" si="152"/>
        <v>1.1080876039447456E-2</v>
      </c>
      <c r="AO162" s="467">
        <f t="shared" si="153"/>
        <v>1.6583485965165695E-3</v>
      </c>
    </row>
    <row r="163" spans="1:41" s="302" customFormat="1">
      <c r="A163" s="202" t="s">
        <v>173</v>
      </c>
      <c r="B163" s="326">
        <v>445518069.19999999</v>
      </c>
      <c r="C163" s="327">
        <v>101.88</v>
      </c>
      <c r="D163" s="326">
        <v>447138004.60000002</v>
      </c>
      <c r="E163" s="327">
        <v>101.98</v>
      </c>
      <c r="F163" s="23">
        <f>((D163-B163)/B163)</f>
        <v>3.636071153991336E-3</v>
      </c>
      <c r="G163" s="23">
        <f>((E163-C163)/C163)</f>
        <v>9.8154691794276132E-4</v>
      </c>
      <c r="H163" s="326">
        <v>451241812.82999998</v>
      </c>
      <c r="I163" s="327">
        <v>102.1</v>
      </c>
      <c r="J163" s="23">
        <f t="shared" si="180"/>
        <v>9.1779454839029783E-3</v>
      </c>
      <c r="K163" s="23">
        <f>((I163-E163)/E163)</f>
        <v>1.1767013139830391E-3</v>
      </c>
      <c r="L163" s="326">
        <v>451166384.73000002</v>
      </c>
      <c r="M163" s="327">
        <v>102.31</v>
      </c>
      <c r="N163" s="23">
        <f t="shared" si="182"/>
        <v>-1.6715671698708666E-4</v>
      </c>
      <c r="O163" s="23">
        <f>((M163-I163)/I163)</f>
        <v>2.0568070519099702E-3</v>
      </c>
      <c r="P163" s="326">
        <v>471435419.63</v>
      </c>
      <c r="Q163" s="327">
        <v>102.5</v>
      </c>
      <c r="R163" s="23">
        <f t="shared" si="184"/>
        <v>4.4925853490015565E-2</v>
      </c>
      <c r="S163" s="23">
        <f>((Q163-M163)/M163)</f>
        <v>1.857100967647324E-3</v>
      </c>
      <c r="T163" s="326">
        <v>482674208.85000002</v>
      </c>
      <c r="U163" s="327">
        <v>102.86</v>
      </c>
      <c r="V163" s="23">
        <f t="shared" si="186"/>
        <v>2.3839509616864697E-2</v>
      </c>
      <c r="W163" s="23">
        <f>((U163-Q163)/Q163)</f>
        <v>3.512195121951214E-3</v>
      </c>
      <c r="X163" s="326">
        <v>485865024.06</v>
      </c>
      <c r="Y163" s="327">
        <v>103.057169968998</v>
      </c>
      <c r="Z163" s="23">
        <f t="shared" si="188"/>
        <v>6.6107016938035399E-3</v>
      </c>
      <c r="AA163" s="23">
        <f>((Y163-U163)/U163)</f>
        <v>1.9168770075636507E-3</v>
      </c>
      <c r="AB163" s="326">
        <v>485543074.88999999</v>
      </c>
      <c r="AC163" s="327">
        <v>103.02</v>
      </c>
      <c r="AD163" s="23">
        <f t="shared" si="190"/>
        <v>-6.6263088318178431E-4</v>
      </c>
      <c r="AE163" s="23">
        <f>((AC163-Y163)/Y163)</f>
        <v>-3.6067329433926926E-4</v>
      </c>
      <c r="AF163" s="326">
        <v>500101506.67000002</v>
      </c>
      <c r="AG163" s="327">
        <v>103.54</v>
      </c>
      <c r="AH163" s="23">
        <f t="shared" si="192"/>
        <v>2.9983810979691657E-2</v>
      </c>
      <c r="AI163" s="23">
        <f>((AG163-AC163)/AC163)</f>
        <v>5.0475635798874997E-3</v>
      </c>
      <c r="AJ163" s="24">
        <f t="shared" si="148"/>
        <v>1.4668013102262612E-2</v>
      </c>
      <c r="AK163" s="24">
        <f t="shared" si="149"/>
        <v>2.0235148333182739E-3</v>
      </c>
      <c r="AL163" s="25">
        <f t="shared" si="150"/>
        <v>0.11845001213301025</v>
      </c>
      <c r="AM163" s="25">
        <f t="shared" si="151"/>
        <v>1.5297117081780763E-2</v>
      </c>
      <c r="AN163" s="466">
        <f t="shared" si="152"/>
        <v>1.6501526679076197E-2</v>
      </c>
      <c r="AO163" s="467">
        <f t="shared" si="153"/>
        <v>1.642661459645954E-3</v>
      </c>
    </row>
    <row r="164" spans="1:41" s="302" customFormat="1">
      <c r="A164" s="202" t="s">
        <v>130</v>
      </c>
      <c r="B164" s="326">
        <v>8288395262.54</v>
      </c>
      <c r="C164" s="327">
        <v>123.42</v>
      </c>
      <c r="D164" s="326">
        <v>8311811544.6199999</v>
      </c>
      <c r="E164" s="327">
        <v>123.57</v>
      </c>
      <c r="F164" s="23">
        <f>((D164-B164)/B164)</f>
        <v>2.8251888741155358E-3</v>
      </c>
      <c r="G164" s="23">
        <f>((E164-C164)/C164)</f>
        <v>1.2153621779289537E-3</v>
      </c>
      <c r="H164" s="326">
        <v>8315320941.3800001</v>
      </c>
      <c r="I164" s="327">
        <v>123.67</v>
      </c>
      <c r="J164" s="23">
        <f t="shared" si="180"/>
        <v>4.2221803768779649E-4</v>
      </c>
      <c r="K164" s="23">
        <f>((I164-E164)/E164)</f>
        <v>8.0925791049614416E-4</v>
      </c>
      <c r="L164" s="326">
        <v>8420680757.3199997</v>
      </c>
      <c r="M164" s="327">
        <v>123.77</v>
      </c>
      <c r="N164" s="23">
        <f t="shared" si="182"/>
        <v>1.2670565175144545E-2</v>
      </c>
      <c r="O164" s="23">
        <f>((M164-I164)/I164)</f>
        <v>8.0860354168346661E-4</v>
      </c>
      <c r="P164" s="326">
        <v>8438697526.0600004</v>
      </c>
      <c r="Q164" s="327">
        <v>123.91</v>
      </c>
      <c r="R164" s="23">
        <f t="shared" si="184"/>
        <v>2.1395857721288099E-3</v>
      </c>
      <c r="S164" s="23">
        <f>((Q164-M164)/M164)</f>
        <v>1.1311303223721465E-3</v>
      </c>
      <c r="T164" s="326">
        <v>8426296075.5699997</v>
      </c>
      <c r="U164" s="327">
        <v>124.06</v>
      </c>
      <c r="V164" s="23">
        <f t="shared" si="186"/>
        <v>-1.4695929616748474E-3</v>
      </c>
      <c r="W164" s="23">
        <f>((U164-Q164)/Q164)</f>
        <v>1.2105560487451028E-3</v>
      </c>
      <c r="X164" s="326">
        <v>8389248771.9499998</v>
      </c>
      <c r="Y164" s="327">
        <v>124.21</v>
      </c>
      <c r="Z164" s="23">
        <f t="shared" si="188"/>
        <v>-4.3966297039347516E-3</v>
      </c>
      <c r="AA164" s="23">
        <f>((Y164-U164)/U164)</f>
        <v>1.209092374657355E-3</v>
      </c>
      <c r="AB164" s="326">
        <v>8383714282.5500002</v>
      </c>
      <c r="AC164" s="327">
        <v>124.35</v>
      </c>
      <c r="AD164" s="23">
        <f t="shared" si="190"/>
        <v>-6.5971215664798789E-4</v>
      </c>
      <c r="AE164" s="23">
        <f>((AC164-Y164)/Y164)</f>
        <v>1.1271234200144961E-3</v>
      </c>
      <c r="AF164" s="326">
        <v>8384285564.25</v>
      </c>
      <c r="AG164" s="327">
        <v>124.47</v>
      </c>
      <c r="AH164" s="23">
        <f t="shared" si="192"/>
        <v>6.8141837942746247E-5</v>
      </c>
      <c r="AI164" s="23">
        <f>((AG164-AC164)/AC164)</f>
        <v>9.650180940893008E-4</v>
      </c>
      <c r="AJ164" s="24">
        <f t="shared" si="148"/>
        <v>1.4499706093452308E-3</v>
      </c>
      <c r="AK164" s="24">
        <f t="shared" si="149"/>
        <v>1.0595179862483708E-3</v>
      </c>
      <c r="AL164" s="25">
        <f t="shared" si="150"/>
        <v>8.7194012088628852E-3</v>
      </c>
      <c r="AM164" s="25">
        <f t="shared" si="151"/>
        <v>7.2833211944647227E-3</v>
      </c>
      <c r="AN164" s="466">
        <f t="shared" si="152"/>
        <v>5.0482190763839821E-3</v>
      </c>
      <c r="AO164" s="467">
        <f t="shared" si="153"/>
        <v>1.7472002953949485E-4</v>
      </c>
    </row>
    <row r="165" spans="1:41">
      <c r="A165" s="202" t="s">
        <v>164</v>
      </c>
      <c r="B165" s="326">
        <v>2437395386.98</v>
      </c>
      <c r="C165" s="327">
        <v>1.1468</v>
      </c>
      <c r="D165" s="326">
        <v>2607699840.98</v>
      </c>
      <c r="E165" s="327">
        <v>1.1508</v>
      </c>
      <c r="F165" s="23">
        <f>((D165-B165)/B165)</f>
        <v>6.9871492704764615E-2</v>
      </c>
      <c r="G165" s="23">
        <f>((E165-C165)/C165)</f>
        <v>3.487966515521454E-3</v>
      </c>
      <c r="H165" s="326">
        <v>2705483133.1999998</v>
      </c>
      <c r="I165" s="327">
        <v>1.1536</v>
      </c>
      <c r="J165" s="23">
        <f t="shared" si="180"/>
        <v>3.7497909338849306E-2</v>
      </c>
      <c r="K165" s="23">
        <f>((I165-E165)/E165)</f>
        <v>2.4330900243308253E-3</v>
      </c>
      <c r="L165" s="326">
        <v>2756036312.1100001</v>
      </c>
      <c r="M165" s="327">
        <v>1.1564000000000001</v>
      </c>
      <c r="N165" s="23">
        <f t="shared" si="182"/>
        <v>1.8685453363077108E-2</v>
      </c>
      <c r="O165" s="23">
        <f>((M165-I165)/I165)</f>
        <v>2.4271844660195352E-3</v>
      </c>
      <c r="P165" s="326">
        <v>2984749726.0799999</v>
      </c>
      <c r="Q165" s="327">
        <v>1.1592</v>
      </c>
      <c r="R165" s="23">
        <f t="shared" si="184"/>
        <v>8.2986357242477174E-2</v>
      </c>
      <c r="S165" s="23">
        <f>((Q165-M165)/M165)</f>
        <v>2.4213075060531939E-3</v>
      </c>
      <c r="T165" s="326">
        <v>3142835684.8000002</v>
      </c>
      <c r="U165" s="327">
        <v>1.1619999999999999</v>
      </c>
      <c r="V165" s="23">
        <f t="shared" si="186"/>
        <v>5.2964560927398541E-2</v>
      </c>
      <c r="W165" s="23">
        <f>((U165-Q165)/Q165)</f>
        <v>2.4154589371979929E-3</v>
      </c>
      <c r="X165" s="326">
        <v>3226329725.4699998</v>
      </c>
      <c r="Y165" s="327">
        <v>1.1648000000000001</v>
      </c>
      <c r="Z165" s="23">
        <f t="shared" si="188"/>
        <v>2.6566467051971535E-2</v>
      </c>
      <c r="AA165" s="23">
        <f>((Y165-U165)/U165)</f>
        <v>2.4096385542169843E-3</v>
      </c>
      <c r="AB165" s="326">
        <v>3238342114.6500001</v>
      </c>
      <c r="AC165" s="327">
        <v>1.1676</v>
      </c>
      <c r="AD165" s="23">
        <f t="shared" si="190"/>
        <v>3.7232366813501633E-3</v>
      </c>
      <c r="AE165" s="23">
        <f>((AC165-Y165)/Y165)</f>
        <v>2.4038461538460798E-3</v>
      </c>
      <c r="AF165" s="326">
        <v>3468443330.0799999</v>
      </c>
      <c r="AG165" s="327">
        <v>1.1212</v>
      </c>
      <c r="AH165" s="23">
        <f t="shared" si="192"/>
        <v>7.1055252127019061E-2</v>
      </c>
      <c r="AI165" s="23">
        <f>((AG165-AC165)/AC165)</f>
        <v>-3.9739636861939015E-2</v>
      </c>
      <c r="AJ165" s="24">
        <f t="shared" si="148"/>
        <v>4.5418841179613437E-2</v>
      </c>
      <c r="AK165" s="24">
        <f t="shared" si="149"/>
        <v>-2.7176430880941189E-3</v>
      </c>
      <c r="AL165" s="25">
        <f t="shared" si="150"/>
        <v>0.33007767058670517</v>
      </c>
      <c r="AM165" s="25">
        <f t="shared" si="151"/>
        <v>-2.5721237400069576E-2</v>
      </c>
      <c r="AN165" s="466">
        <f t="shared" si="152"/>
        <v>2.8271046553522153E-2</v>
      </c>
      <c r="AO165" s="467">
        <f t="shared" si="153"/>
        <v>1.4963828455913892E-2</v>
      </c>
    </row>
    <row r="166" spans="1:41">
      <c r="A166" s="204" t="s">
        <v>42</v>
      </c>
      <c r="B166" s="76">
        <f>SUM(B155:B165)</f>
        <v>25078820531.75</v>
      </c>
      <c r="C166" s="85"/>
      <c r="D166" s="76">
        <f>SUM(D155:D165)</f>
        <v>25223397111.16</v>
      </c>
      <c r="E166" s="85"/>
      <c r="F166" s="23">
        <f>((D166-B166)/B166)</f>
        <v>5.7648875164190705E-3</v>
      </c>
      <c r="G166" s="23"/>
      <c r="H166" s="76">
        <f>SUM(H155:H165)</f>
        <v>25289708132.780003</v>
      </c>
      <c r="I166" s="85"/>
      <c r="J166" s="23">
        <f t="shared" si="180"/>
        <v>2.6289488813806003E-3</v>
      </c>
      <c r="K166" s="23"/>
      <c r="L166" s="76">
        <f>SUM(L155:L165)</f>
        <v>25509760696.910004</v>
      </c>
      <c r="M166" s="85"/>
      <c r="N166" s="23">
        <f t="shared" si="182"/>
        <v>8.7012694244886692E-3</v>
      </c>
      <c r="O166" s="23"/>
      <c r="P166" s="76">
        <f>SUM(P155:P165)</f>
        <v>25740009095.389999</v>
      </c>
      <c r="Q166" s="85"/>
      <c r="R166" s="23">
        <f t="shared" si="184"/>
        <v>9.0258940966030186E-3</v>
      </c>
      <c r="S166" s="23"/>
      <c r="T166" s="76">
        <f>SUM(T155:T165)</f>
        <v>25701609592.029999</v>
      </c>
      <c r="U166" s="85"/>
      <c r="V166" s="23">
        <f t="shared" si="186"/>
        <v>-1.4918216702137028E-3</v>
      </c>
      <c r="W166" s="23"/>
      <c r="X166" s="76">
        <f>SUM(X155:X165)</f>
        <v>25776389309.68</v>
      </c>
      <c r="Y166" s="85"/>
      <c r="Z166" s="23">
        <f t="shared" si="188"/>
        <v>2.9095344158208097E-3</v>
      </c>
      <c r="AA166" s="23"/>
      <c r="AB166" s="76">
        <f>SUM(AB155:AB165)</f>
        <v>25810810447.57</v>
      </c>
      <c r="AC166" s="85"/>
      <c r="AD166" s="23">
        <f t="shared" si="190"/>
        <v>1.3353746902430963E-3</v>
      </c>
      <c r="AE166" s="23"/>
      <c r="AF166" s="76">
        <f>SUM(AF155:AF165)</f>
        <v>26082310834.120003</v>
      </c>
      <c r="AG166" s="85"/>
      <c r="AH166" s="23">
        <f t="shared" si="192"/>
        <v>1.051886329185622E-2</v>
      </c>
      <c r="AI166" s="23"/>
      <c r="AJ166" s="24">
        <f t="shared" si="148"/>
        <v>4.9241188308247232E-3</v>
      </c>
      <c r="AK166" s="24"/>
      <c r="AL166" s="25">
        <f t="shared" si="150"/>
        <v>3.4052261841446392E-2</v>
      </c>
      <c r="AM166" s="25"/>
      <c r="AN166" s="466">
        <f t="shared" si="152"/>
        <v>4.2505330251715366E-3</v>
      </c>
      <c r="AO166" s="467"/>
    </row>
    <row r="167" spans="1:41">
      <c r="A167" s="204" t="s">
        <v>28</v>
      </c>
      <c r="B167" s="303">
        <f>SUM(B21,B53,B86,B111,B118,B145,B151,B166)</f>
        <v>1573619276108.0618</v>
      </c>
      <c r="C167" s="85"/>
      <c r="D167" s="303">
        <f>SUM(D21,D53,D86,D111,D118,D145,D151,D166)</f>
        <v>1638109066451.2014</v>
      </c>
      <c r="E167" s="85"/>
      <c r="F167" s="23">
        <f>((D167-B167)/B167)</f>
        <v>4.0981825351452471E-2</v>
      </c>
      <c r="G167" s="23"/>
      <c r="H167" s="303">
        <f>SUM(H21,H53,H86,H111,H118,H145,H151,H166)</f>
        <v>1642873255320.0361</v>
      </c>
      <c r="I167" s="85"/>
      <c r="J167" s="23">
        <f t="shared" si="180"/>
        <v>2.9083465603153354E-3</v>
      </c>
      <c r="K167" s="23"/>
      <c r="L167" s="303">
        <f>SUM(L21,L53,L86,L111,L118,L145,L151,L166)</f>
        <v>1634067029203.7332</v>
      </c>
      <c r="M167" s="85"/>
      <c r="N167" s="23">
        <f t="shared" si="182"/>
        <v>-5.3602589778524957E-3</v>
      </c>
      <c r="O167" s="23"/>
      <c r="P167" s="303">
        <f>SUM(P21,P53,P86,P111,P118,P145,P151,P166)</f>
        <v>1627489359351.6582</v>
      </c>
      <c r="Q167" s="85"/>
      <c r="R167" s="23">
        <f t="shared" si="184"/>
        <v>-4.0253366199305748E-3</v>
      </c>
      <c r="S167" s="23"/>
      <c r="T167" s="303">
        <f>SUM(T21,T53,T86,T111,T118,T145,T151,T166)</f>
        <v>1637094592546.9585</v>
      </c>
      <c r="U167" s="85"/>
      <c r="V167" s="23">
        <f t="shared" si="186"/>
        <v>5.9018715791338402E-3</v>
      </c>
      <c r="W167" s="23"/>
      <c r="X167" s="303">
        <f>SUM(X21,X53,X86,X111,X118,X145,X151,X166)</f>
        <v>1644224849788.0632</v>
      </c>
      <c r="Y167" s="85"/>
      <c r="Z167" s="23">
        <f t="shared" si="188"/>
        <v>4.355433872646068E-3</v>
      </c>
      <c r="AA167" s="23"/>
      <c r="AB167" s="303">
        <f>SUM(AB21,AB53,AB86,AB111,AB118,AB145,AB151,AB166)</f>
        <v>1783352855386.8538</v>
      </c>
      <c r="AC167" s="85"/>
      <c r="AD167" s="23">
        <f t="shared" si="190"/>
        <v>8.4616167683345622E-2</v>
      </c>
      <c r="AE167" s="23"/>
      <c r="AF167" s="303">
        <f>SUM(AF21,AF53,AF86,AF111,AF118,AF145,AF151,AF166)</f>
        <v>1875033373373.3662</v>
      </c>
      <c r="AG167" s="85"/>
      <c r="AH167" s="23">
        <f t="shared" si="192"/>
        <v>5.1409073481772996E-2</v>
      </c>
      <c r="AI167" s="23"/>
      <c r="AJ167" s="24">
        <f t="shared" si="148"/>
        <v>2.259839036636041E-2</v>
      </c>
      <c r="AK167" s="24"/>
      <c r="AL167" s="25">
        <f t="shared" si="150"/>
        <v>0.1446328036236546</v>
      </c>
      <c r="AM167" s="25"/>
      <c r="AN167" s="466">
        <f t="shared" si="152"/>
        <v>3.2741404073409523E-2</v>
      </c>
      <c r="AO167" s="467"/>
    </row>
    <row r="168" spans="1:41" s="108" customFormat="1" ht="6" customHeight="1">
      <c r="A168" s="204"/>
      <c r="B168" s="85"/>
      <c r="C168" s="85"/>
      <c r="D168" s="85"/>
      <c r="E168" s="85"/>
      <c r="F168" s="23"/>
      <c r="G168" s="23"/>
      <c r="H168" s="85"/>
      <c r="I168" s="85"/>
      <c r="J168" s="23"/>
      <c r="K168" s="23"/>
      <c r="L168" s="85"/>
      <c r="M168" s="85"/>
      <c r="N168" s="23"/>
      <c r="O168" s="23"/>
      <c r="P168" s="85"/>
      <c r="Q168" s="85"/>
      <c r="R168" s="23"/>
      <c r="S168" s="23"/>
      <c r="T168" s="85"/>
      <c r="U168" s="85"/>
      <c r="V168" s="23"/>
      <c r="W168" s="23"/>
      <c r="X168" s="85"/>
      <c r="Y168" s="85"/>
      <c r="Z168" s="23"/>
      <c r="AA168" s="23"/>
      <c r="AB168" s="85"/>
      <c r="AC168" s="85"/>
      <c r="AD168" s="23"/>
      <c r="AE168" s="23"/>
      <c r="AF168" s="85"/>
      <c r="AG168" s="85"/>
      <c r="AH168" s="23"/>
      <c r="AI168" s="23"/>
      <c r="AJ168" s="24"/>
      <c r="AK168" s="24"/>
      <c r="AL168" s="25"/>
      <c r="AM168" s="25"/>
      <c r="AN168" s="466"/>
      <c r="AO168" s="467"/>
    </row>
    <row r="169" spans="1:41" s="108" customFormat="1">
      <c r="A169" s="208" t="s">
        <v>201</v>
      </c>
      <c r="B169" s="85"/>
      <c r="C169" s="85"/>
      <c r="D169" s="85"/>
      <c r="E169" s="85"/>
      <c r="F169" s="23"/>
      <c r="G169" s="23"/>
      <c r="H169" s="85"/>
      <c r="I169" s="85"/>
      <c r="J169" s="23"/>
      <c r="K169" s="23"/>
      <c r="L169" s="85"/>
      <c r="M169" s="85"/>
      <c r="N169" s="23"/>
      <c r="O169" s="23"/>
      <c r="P169" s="85"/>
      <c r="Q169" s="85"/>
      <c r="R169" s="23"/>
      <c r="S169" s="23"/>
      <c r="T169" s="85"/>
      <c r="U169" s="85"/>
      <c r="V169" s="23"/>
      <c r="W169" s="23"/>
      <c r="X169" s="85"/>
      <c r="Y169" s="85"/>
      <c r="Z169" s="23"/>
      <c r="AA169" s="23"/>
      <c r="AB169" s="85"/>
      <c r="AC169" s="85"/>
      <c r="AD169" s="23"/>
      <c r="AE169" s="23"/>
      <c r="AF169" s="85"/>
      <c r="AG169" s="85"/>
      <c r="AH169" s="23"/>
      <c r="AI169" s="23"/>
      <c r="AJ169" s="24"/>
      <c r="AK169" s="24"/>
      <c r="AL169" s="25"/>
      <c r="AM169" s="25"/>
      <c r="AN169" s="466"/>
      <c r="AO169" s="467"/>
    </row>
    <row r="170" spans="1:41" s="108" customFormat="1">
      <c r="A170" s="209" t="s">
        <v>118</v>
      </c>
      <c r="B170" s="326">
        <v>91842597312</v>
      </c>
      <c r="C170" s="327">
        <v>107.58</v>
      </c>
      <c r="D170" s="326">
        <v>91842597312</v>
      </c>
      <c r="E170" s="327">
        <v>107.58</v>
      </c>
      <c r="F170" s="23">
        <f>((D170-B170)/B170)</f>
        <v>0</v>
      </c>
      <c r="G170" s="23">
        <f>((E170-C170)/C170)</f>
        <v>0</v>
      </c>
      <c r="H170" s="326">
        <v>91842597312</v>
      </c>
      <c r="I170" s="327">
        <v>107.58</v>
      </c>
      <c r="J170" s="23">
        <f>((H170-D170)/D170)</f>
        <v>0</v>
      </c>
      <c r="K170" s="23">
        <f>((I170-E170)/E170)</f>
        <v>0</v>
      </c>
      <c r="L170" s="326">
        <v>91842597312</v>
      </c>
      <c r="M170" s="327">
        <v>107.58</v>
      </c>
      <c r="N170" s="23">
        <f>((L170-H170)/H170)</f>
        <v>0</v>
      </c>
      <c r="O170" s="23">
        <f>((M170-I170)/I170)</f>
        <v>0</v>
      </c>
      <c r="P170" s="326">
        <v>91842597312</v>
      </c>
      <c r="Q170" s="327">
        <v>107.58</v>
      </c>
      <c r="R170" s="23">
        <f>((P170-L170)/L170)</f>
        <v>0</v>
      </c>
      <c r="S170" s="23">
        <f>((Q170-M170)/M170)</f>
        <v>0</v>
      </c>
      <c r="T170" s="326">
        <v>91842597312</v>
      </c>
      <c r="U170" s="327">
        <v>107.58</v>
      </c>
      <c r="V170" s="23">
        <f>((T170-P170)/P170)</f>
        <v>0</v>
      </c>
      <c r="W170" s="23">
        <f>((U170-Q170)/Q170)</f>
        <v>0</v>
      </c>
      <c r="X170" s="326">
        <v>91842597312</v>
      </c>
      <c r="Y170" s="327">
        <v>107.58</v>
      </c>
      <c r="Z170" s="23">
        <f>((X170-T170)/T170)</f>
        <v>0</v>
      </c>
      <c r="AA170" s="23">
        <f>((Y170-U170)/U170)</f>
        <v>0</v>
      </c>
      <c r="AB170" s="326">
        <v>91842597312</v>
      </c>
      <c r="AC170" s="327">
        <v>107.58</v>
      </c>
      <c r="AD170" s="23">
        <f>((AB170-X170)/X170)</f>
        <v>0</v>
      </c>
      <c r="AE170" s="23">
        <f>((AC170-Y170)/Y170)</f>
        <v>0</v>
      </c>
      <c r="AF170" s="326">
        <v>91842597312</v>
      </c>
      <c r="AG170" s="327">
        <v>107.58</v>
      </c>
      <c r="AH170" s="23">
        <f>((AF170-AB170)/AB170)</f>
        <v>0</v>
      </c>
      <c r="AI170" s="23">
        <f>((AG170-AC170)/AC170)</f>
        <v>0</v>
      </c>
      <c r="AJ170" s="24">
        <f t="shared" si="148"/>
        <v>0</v>
      </c>
      <c r="AK170" s="24">
        <f t="shared" si="149"/>
        <v>0</v>
      </c>
      <c r="AL170" s="25">
        <f t="shared" si="150"/>
        <v>0</v>
      </c>
      <c r="AM170" s="25">
        <f t="shared" si="151"/>
        <v>0</v>
      </c>
      <c r="AN170" s="466">
        <f t="shared" si="152"/>
        <v>0</v>
      </c>
      <c r="AO170" s="467">
        <f t="shared" si="153"/>
        <v>0</v>
      </c>
    </row>
    <row r="171" spans="1:41" s="108" customFormat="1">
      <c r="A171" s="209" t="s">
        <v>244</v>
      </c>
      <c r="B171" s="326">
        <v>2227824918.9099998</v>
      </c>
      <c r="C171" s="328">
        <v>1000000</v>
      </c>
      <c r="D171" s="326">
        <v>2232927296.3499999</v>
      </c>
      <c r="E171" s="328">
        <v>1000000</v>
      </c>
      <c r="F171" s="23">
        <f>((D171-B171)/B171)</f>
        <v>2.2902955239842097E-3</v>
      </c>
      <c r="G171" s="23">
        <f>((E171-C171)/C171)</f>
        <v>0</v>
      </c>
      <c r="H171" s="326">
        <v>2238880070.04</v>
      </c>
      <c r="I171" s="328">
        <v>1000000</v>
      </c>
      <c r="J171" s="23">
        <f>((H171-D171)/D171)</f>
        <v>2.6659057371597426E-3</v>
      </c>
      <c r="K171" s="23">
        <f>((I171-E171)/E171)</f>
        <v>0</v>
      </c>
      <c r="L171" s="326">
        <v>2244832843.7199998</v>
      </c>
      <c r="M171" s="328">
        <v>1000000</v>
      </c>
      <c r="N171" s="23">
        <f>((L171-H171)/H171)</f>
        <v>2.6588175756522216E-3</v>
      </c>
      <c r="O171" s="23">
        <f>((M171-I171)/I171)</f>
        <v>0</v>
      </c>
      <c r="P171" s="326">
        <v>2251636013.6500001</v>
      </c>
      <c r="Q171" s="328">
        <v>1000000</v>
      </c>
      <c r="R171" s="23">
        <f>((P171-L171)/L171)</f>
        <v>3.0305908740743954E-3</v>
      </c>
      <c r="S171" s="23">
        <f>((Q171-M171)/M171)</f>
        <v>0</v>
      </c>
      <c r="T171" s="326">
        <v>2256738391.0900002</v>
      </c>
      <c r="U171" s="328">
        <v>1000000</v>
      </c>
      <c r="V171" s="23">
        <f>((T171-P171)/P171)</f>
        <v>2.2660756041687578E-3</v>
      </c>
      <c r="W171" s="23">
        <f>((U171-Q171)/Q171)</f>
        <v>0</v>
      </c>
      <c r="X171" s="326">
        <v>2263541561.02</v>
      </c>
      <c r="Y171" s="328">
        <v>1000000</v>
      </c>
      <c r="Z171" s="23">
        <f>((X171-T171)/T171)</f>
        <v>3.0146028254138535E-3</v>
      </c>
      <c r="AA171" s="23">
        <f>((Y171-U171)/U171)</f>
        <v>0</v>
      </c>
      <c r="AB171" s="326">
        <v>2268643938.46</v>
      </c>
      <c r="AC171" s="328">
        <v>1000000</v>
      </c>
      <c r="AD171" s="23">
        <f>((AB171-X171)/X171)</f>
        <v>2.2541567284944473E-3</v>
      </c>
      <c r="AE171" s="23">
        <f>((AC171-Y171)/Y171)</f>
        <v>0</v>
      </c>
      <c r="AF171" s="326">
        <v>2274596712.1500001</v>
      </c>
      <c r="AG171" s="328">
        <v>1000000</v>
      </c>
      <c r="AH171" s="23">
        <f>((AF171-AB171)/AB171)</f>
        <v>2.6239347607985219E-3</v>
      </c>
      <c r="AI171" s="23">
        <f>((AG171-AC171)/AC171)</f>
        <v>0</v>
      </c>
      <c r="AJ171" s="24">
        <f t="shared" si="148"/>
        <v>2.6005474537182686E-3</v>
      </c>
      <c r="AK171" s="24">
        <f t="shared" si="149"/>
        <v>0</v>
      </c>
      <c r="AL171" s="25">
        <f t="shared" si="150"/>
        <v>1.8661340146682824E-2</v>
      </c>
      <c r="AM171" s="25">
        <f t="shared" si="151"/>
        <v>0</v>
      </c>
      <c r="AN171" s="466">
        <f t="shared" si="152"/>
        <v>3.1457624223355912E-4</v>
      </c>
      <c r="AO171" s="467">
        <f t="shared" si="153"/>
        <v>0</v>
      </c>
    </row>
    <row r="172" spans="1:41" s="108" customFormat="1">
      <c r="A172" s="204" t="s">
        <v>42</v>
      </c>
      <c r="B172" s="77">
        <f>SUM(B170:B171)</f>
        <v>94070422230.910004</v>
      </c>
      <c r="C172" s="85"/>
      <c r="D172" s="77">
        <f>SUM(D170:D171)</f>
        <v>94075524608.350006</v>
      </c>
      <c r="E172" s="85"/>
      <c r="F172" s="23"/>
      <c r="G172" s="23"/>
      <c r="H172" s="77">
        <f>SUM(H170:H171)</f>
        <v>94081477382.039993</v>
      </c>
      <c r="I172" s="85"/>
      <c r="J172" s="23"/>
      <c r="K172" s="23"/>
      <c r="L172" s="77">
        <f>SUM(L170:L171)</f>
        <v>94087430155.720001</v>
      </c>
      <c r="M172" s="85"/>
      <c r="N172" s="23"/>
      <c r="O172" s="23"/>
      <c r="P172" s="77">
        <f>SUM(P170:P171)</f>
        <v>94094233325.649994</v>
      </c>
      <c r="Q172" s="85"/>
      <c r="R172" s="23"/>
      <c r="S172" s="23"/>
      <c r="T172" s="70">
        <f>SUM(T170:T171)</f>
        <v>94099335703.089996</v>
      </c>
      <c r="U172" s="85"/>
      <c r="V172" s="23"/>
      <c r="W172" s="23"/>
      <c r="X172" s="70">
        <f>SUM(X170:X171)</f>
        <v>94106138873.020004</v>
      </c>
      <c r="Y172" s="85"/>
      <c r="Z172" s="23"/>
      <c r="AA172" s="23"/>
      <c r="AB172" s="70">
        <f>SUM(AB170:AB171)</f>
        <v>94111241250.460007</v>
      </c>
      <c r="AC172" s="85"/>
      <c r="AD172" s="23"/>
      <c r="AE172" s="23"/>
      <c r="AF172" s="77">
        <f>SUM(AF170:AF171)</f>
        <v>94117194024.149994</v>
      </c>
      <c r="AG172" s="85"/>
      <c r="AH172" s="23"/>
      <c r="AI172" s="23"/>
      <c r="AJ172" s="24" t="e">
        <f t="shared" si="148"/>
        <v>#DIV/0!</v>
      </c>
      <c r="AK172" s="24"/>
      <c r="AL172" s="25">
        <f t="shared" si="150"/>
        <v>4.4293577924187604E-4</v>
      </c>
      <c r="AM172" s="25"/>
      <c r="AN172" s="466" t="e">
        <f t="shared" si="152"/>
        <v>#DIV/0!</v>
      </c>
      <c r="AO172" s="467"/>
    </row>
    <row r="173" spans="1:41" ht="6" customHeight="1">
      <c r="A173" s="203"/>
      <c r="B173" s="85"/>
      <c r="C173" s="85"/>
      <c r="D173" s="85"/>
      <c r="E173" s="85"/>
      <c r="F173" s="23"/>
      <c r="G173" s="23"/>
      <c r="H173" s="85"/>
      <c r="I173" s="85"/>
      <c r="J173" s="23"/>
      <c r="K173" s="23"/>
      <c r="L173" s="85"/>
      <c r="M173" s="85"/>
      <c r="N173" s="23"/>
      <c r="O173" s="23"/>
      <c r="P173" s="85"/>
      <c r="Q173" s="85"/>
      <c r="R173" s="23"/>
      <c r="S173" s="23"/>
      <c r="T173" s="85"/>
      <c r="U173" s="85"/>
      <c r="V173" s="23"/>
      <c r="W173" s="23"/>
      <c r="X173" s="85"/>
      <c r="Y173" s="85"/>
      <c r="Z173" s="23"/>
      <c r="AA173" s="23"/>
      <c r="AB173" s="85"/>
      <c r="AC173" s="85"/>
      <c r="AD173" s="23"/>
      <c r="AE173" s="23"/>
      <c r="AF173" s="85"/>
      <c r="AG173" s="85"/>
      <c r="AH173" s="23"/>
      <c r="AI173" s="23"/>
      <c r="AJ173" s="24"/>
      <c r="AK173" s="24"/>
      <c r="AL173" s="25"/>
      <c r="AM173" s="25"/>
      <c r="AN173" s="26"/>
      <c r="AO173" s="78"/>
    </row>
    <row r="174" spans="1:41" ht="26.25" customHeight="1">
      <c r="A174" s="199" t="s">
        <v>46</v>
      </c>
      <c r="B174" s="458" t="s">
        <v>268</v>
      </c>
      <c r="C174" s="458"/>
      <c r="D174" s="458" t="s">
        <v>269</v>
      </c>
      <c r="E174" s="458"/>
      <c r="F174" s="380" t="s">
        <v>58</v>
      </c>
      <c r="G174" s="380" t="s">
        <v>3</v>
      </c>
      <c r="H174" s="458" t="s">
        <v>270</v>
      </c>
      <c r="I174" s="458"/>
      <c r="J174" s="382" t="s">
        <v>58</v>
      </c>
      <c r="K174" s="382" t="s">
        <v>3</v>
      </c>
      <c r="L174" s="458" t="s">
        <v>271</v>
      </c>
      <c r="M174" s="458"/>
      <c r="N174" s="384" t="s">
        <v>58</v>
      </c>
      <c r="O174" s="384" t="s">
        <v>3</v>
      </c>
      <c r="P174" s="458" t="s">
        <v>272</v>
      </c>
      <c r="Q174" s="458"/>
      <c r="R174" s="385" t="s">
        <v>58</v>
      </c>
      <c r="S174" s="385" t="s">
        <v>3</v>
      </c>
      <c r="T174" s="458" t="s">
        <v>273</v>
      </c>
      <c r="U174" s="458"/>
      <c r="V174" s="386" t="s">
        <v>58</v>
      </c>
      <c r="W174" s="386" t="s">
        <v>3</v>
      </c>
      <c r="X174" s="458" t="s">
        <v>274</v>
      </c>
      <c r="Y174" s="458"/>
      <c r="Z174" s="388" t="s">
        <v>58</v>
      </c>
      <c r="AA174" s="388" t="s">
        <v>3</v>
      </c>
      <c r="AB174" s="458" t="s">
        <v>282</v>
      </c>
      <c r="AC174" s="458"/>
      <c r="AD174" s="391" t="s">
        <v>58</v>
      </c>
      <c r="AE174" s="391" t="s">
        <v>3</v>
      </c>
      <c r="AF174" s="458" t="s">
        <v>286</v>
      </c>
      <c r="AG174" s="458"/>
      <c r="AH174" s="405" t="s">
        <v>58</v>
      </c>
      <c r="AI174" s="405" t="s">
        <v>3</v>
      </c>
      <c r="AJ174" s="305" t="s">
        <v>77</v>
      </c>
      <c r="AK174" s="305" t="s">
        <v>77</v>
      </c>
      <c r="AL174" s="305" t="s">
        <v>77</v>
      </c>
      <c r="AM174" s="305" t="s">
        <v>77</v>
      </c>
      <c r="AN174" s="15" t="s">
        <v>77</v>
      </c>
      <c r="AO174" s="16" t="s">
        <v>77</v>
      </c>
    </row>
    <row r="175" spans="1:41">
      <c r="A175" s="203" t="s">
        <v>141</v>
      </c>
      <c r="B175" s="324">
        <v>522098857.57276869</v>
      </c>
      <c r="C175" s="328">
        <v>123.17</v>
      </c>
      <c r="D175" s="324">
        <v>519525167.3496632</v>
      </c>
      <c r="E175" s="328">
        <v>122.58</v>
      </c>
      <c r="F175" s="23">
        <f>((D175-B175)/B175)</f>
        <v>-4.9295074788528459E-3</v>
      </c>
      <c r="G175" s="23">
        <f>((E175-C175)/C175)</f>
        <v>-4.7901274661037866E-3</v>
      </c>
      <c r="H175" s="324">
        <v>532510880.30853528</v>
      </c>
      <c r="I175" s="328">
        <v>122.6</v>
      </c>
      <c r="J175" s="23">
        <f t="shared" ref="J175:J186" si="194">((H175-D175)/D175)</f>
        <v>2.4995349166852057E-2</v>
      </c>
      <c r="K175" s="23">
        <f t="shared" ref="K175:K186" si="195">((I175-E175)/E175)</f>
        <v>1.6315875346709105E-4</v>
      </c>
      <c r="L175" s="324">
        <v>544522719.61999989</v>
      </c>
      <c r="M175" s="328">
        <v>125.36</v>
      </c>
      <c r="N175" s="23">
        <f t="shared" ref="N175:N186" si="196">((L175-H175)/H175)</f>
        <v>2.2556983820696739E-2</v>
      </c>
      <c r="O175" s="23">
        <f t="shared" ref="O175:O186" si="197">((M175-I175)/I175)</f>
        <v>2.2512234910277366E-2</v>
      </c>
      <c r="P175" s="324">
        <v>553691893.61000001</v>
      </c>
      <c r="Q175" s="328">
        <v>127.48</v>
      </c>
      <c r="R175" s="23">
        <f t="shared" ref="R175:R186" si="198">((P175-L175)/L175)</f>
        <v>1.6838919037940089E-2</v>
      </c>
      <c r="S175" s="23">
        <f t="shared" ref="S175:S186" si="199">((Q175-M175)/M175)</f>
        <v>1.6911295469049174E-2</v>
      </c>
      <c r="T175" s="324">
        <v>568549482.71652043</v>
      </c>
      <c r="U175" s="328">
        <v>133.87</v>
      </c>
      <c r="V175" s="23">
        <f t="shared" ref="V175:V186" si="200">((T175-P175)/P175)</f>
        <v>2.6833676414604594E-2</v>
      </c>
      <c r="W175" s="23">
        <f t="shared" ref="W175:W186" si="201">((U175-Q175)/Q175)</f>
        <v>5.0125509883903359E-2</v>
      </c>
      <c r="X175" s="324">
        <v>569226791.08032751</v>
      </c>
      <c r="Y175" s="328">
        <v>133.87</v>
      </c>
      <c r="Z175" s="23">
        <f t="shared" ref="Z175:Z186" si="202">((X175-T175)/T175)</f>
        <v>1.19129184775776E-3</v>
      </c>
      <c r="AA175" s="23">
        <f t="shared" ref="AA175:AA186" si="203">((Y175-U175)/U175)</f>
        <v>0</v>
      </c>
      <c r="AB175" s="324">
        <v>600047009.96603644</v>
      </c>
      <c r="AC175" s="328">
        <v>141.12</v>
      </c>
      <c r="AD175" s="23">
        <f t="shared" ref="AD175:AD186" si="204">((AB175-X175)/X175)</f>
        <v>5.4144006165303057E-2</v>
      </c>
      <c r="AE175" s="23">
        <f t="shared" ref="AE175:AE186" si="205">((AC175-Y175)/Y175)</f>
        <v>5.4157018002539775E-2</v>
      </c>
      <c r="AF175" s="324">
        <v>601039980.77340233</v>
      </c>
      <c r="AG175" s="328">
        <v>141.34869580983082</v>
      </c>
      <c r="AH175" s="23">
        <f t="shared" ref="AH175:AH186" si="206">((AF175-AB175)/AB175)</f>
        <v>1.6548216904240518E-3</v>
      </c>
      <c r="AI175" s="23">
        <f t="shared" ref="AI175:AI186" si="207">((AG175-AC175)/AC175)</f>
        <v>1.6205768837217298E-3</v>
      </c>
      <c r="AJ175" s="24">
        <f t="shared" ref="AJ175" si="208">AVERAGE(F175,J175,N175,R175,V175,Z175,AD175,AH175)</f>
        <v>1.7910692583090689E-2</v>
      </c>
      <c r="AK175" s="24">
        <f t="shared" ref="AK175" si="209">AVERAGE(G175,K175,O175,S175,W175,AA175,AE175,AI175)</f>
        <v>1.7587458304606837E-2</v>
      </c>
      <c r="AL175" s="25">
        <f t="shared" ref="AL175" si="210">((AF175-D175)/D175)</f>
        <v>0.15690253051567007</v>
      </c>
      <c r="AM175" s="25">
        <f t="shared" ref="AM175" si="211">((AG175-E175)/E175)</f>
        <v>0.15311385062678101</v>
      </c>
      <c r="AN175" s="466">
        <f t="shared" ref="AN175" si="212">STDEV(F175,J175,N175,R175,V175,Z175,AD175,AH175)</f>
        <v>1.9014536437789862E-2</v>
      </c>
      <c r="AO175" s="467">
        <f t="shared" ref="AO175" si="213">STDEV(G175,K175,O175,S175,W175,AA175,AE175,AI175)</f>
        <v>2.3266747177561126E-2</v>
      </c>
    </row>
    <row r="176" spans="1:41">
      <c r="A176" s="203" t="s">
        <v>47</v>
      </c>
      <c r="B176" s="324">
        <v>557400845.73000002</v>
      </c>
      <c r="C176" s="328">
        <v>16.690000000000001</v>
      </c>
      <c r="D176" s="324">
        <v>557626122.53999996</v>
      </c>
      <c r="E176" s="328">
        <v>16.7</v>
      </c>
      <c r="F176" s="23">
        <f>((D176-B176)/B176)</f>
        <v>4.0415584534126244E-4</v>
      </c>
      <c r="G176" s="23">
        <f>((E176-C176)/C176)</f>
        <v>5.9916117435578249E-4</v>
      </c>
      <c r="H176" s="324">
        <v>567033998.29999995</v>
      </c>
      <c r="I176" s="328">
        <v>16.98</v>
      </c>
      <c r="J176" s="23">
        <f t="shared" si="194"/>
        <v>1.6871296698129739E-2</v>
      </c>
      <c r="K176" s="23">
        <f t="shared" si="195"/>
        <v>1.6766467065868332E-2</v>
      </c>
      <c r="L176" s="324">
        <v>563554352.36000001</v>
      </c>
      <c r="M176" s="328">
        <v>16.87</v>
      </c>
      <c r="N176" s="23">
        <f t="shared" si="196"/>
        <v>-6.136573733554097E-3</v>
      </c>
      <c r="O176" s="23">
        <f t="shared" si="197"/>
        <v>-6.4782096584216388E-3</v>
      </c>
      <c r="P176" s="324">
        <v>573026863.05999994</v>
      </c>
      <c r="Q176" s="328">
        <v>17.16</v>
      </c>
      <c r="R176" s="23">
        <f t="shared" si="198"/>
        <v>1.6808513074793651E-2</v>
      </c>
      <c r="S176" s="23">
        <f t="shared" si="199"/>
        <v>1.7190278601066932E-2</v>
      </c>
      <c r="T176" s="324">
        <v>618155263.48000002</v>
      </c>
      <c r="U176" s="328">
        <v>18.510000000000002</v>
      </c>
      <c r="V176" s="23">
        <f t="shared" si="200"/>
        <v>7.8754423796140283E-2</v>
      </c>
      <c r="W176" s="23">
        <f t="shared" si="201"/>
        <v>7.8671328671328755E-2</v>
      </c>
      <c r="X176" s="324">
        <v>632300744.70000005</v>
      </c>
      <c r="Y176" s="328">
        <v>18.93</v>
      </c>
      <c r="Z176" s="23">
        <f t="shared" si="202"/>
        <v>2.2883379072703949E-2</v>
      </c>
      <c r="AA176" s="23">
        <f t="shared" si="203"/>
        <v>2.2690437601296496E-2</v>
      </c>
      <c r="AB176" s="324">
        <v>671920271.25</v>
      </c>
      <c r="AC176" s="328">
        <v>20.12</v>
      </c>
      <c r="AD176" s="23">
        <f t="shared" si="204"/>
        <v>6.265930711310129E-2</v>
      </c>
      <c r="AE176" s="23">
        <f t="shared" si="205"/>
        <v>6.2863180137348193E-2</v>
      </c>
      <c r="AF176" s="324">
        <v>663747720.25</v>
      </c>
      <c r="AG176" s="328">
        <v>19.87</v>
      </c>
      <c r="AH176" s="23">
        <f t="shared" si="206"/>
        <v>-1.2162977290142294E-2</v>
      </c>
      <c r="AI176" s="23">
        <f t="shared" si="207"/>
        <v>-1.2425447316103379E-2</v>
      </c>
      <c r="AJ176" s="24">
        <f t="shared" ref="AJ176:AJ188" si="214">AVERAGE(F176,J176,N176,R176,V176,Z176,AD176,AH176)</f>
        <v>2.2510190572064225E-2</v>
      </c>
      <c r="AK176" s="24">
        <f t="shared" ref="AK176:AK188" si="215">AVERAGE(G176,K176,O176,S176,W176,AA176,AE176,AI176)</f>
        <v>2.2484649534592439E-2</v>
      </c>
      <c r="AL176" s="25">
        <f t="shared" ref="AL176:AL188" si="216">((AF176-D176)/D176)</f>
        <v>0.1903095881279982</v>
      </c>
      <c r="AM176" s="25">
        <f t="shared" ref="AM176:AM188" si="217">((AG176-E176)/E176)</f>
        <v>0.18982035928143723</v>
      </c>
      <c r="AN176" s="466">
        <f t="shared" ref="AN176:AN188" si="218">STDEV(F176,J176,N176,R176,V176,Z176,AD176,AH176)</f>
        <v>3.240668647092295E-2</v>
      </c>
      <c r="AO176" s="467">
        <f t="shared" ref="AO176:AO188" si="219">STDEV(G176,K176,O176,S176,W176,AA176,AE176,AI176)</f>
        <v>3.2480050238862891E-2</v>
      </c>
    </row>
    <row r="177" spans="1:41">
      <c r="A177" s="203" t="s">
        <v>184</v>
      </c>
      <c r="B177" s="324">
        <v>183224591.63</v>
      </c>
      <c r="C177" s="328">
        <v>17.5</v>
      </c>
      <c r="D177" s="324">
        <v>180605396.69</v>
      </c>
      <c r="E177" s="328">
        <v>17.5</v>
      </c>
      <c r="F177" s="23">
        <f>((D177-B177)/B177)</f>
        <v>-1.4294996739788873E-2</v>
      </c>
      <c r="G177" s="23">
        <f>((E177-C177)/C177)</f>
        <v>0</v>
      </c>
      <c r="H177" s="324">
        <v>186707605.55000001</v>
      </c>
      <c r="I177" s="328">
        <v>17.5</v>
      </c>
      <c r="J177" s="23">
        <f t="shared" si="194"/>
        <v>3.37875222547981E-2</v>
      </c>
      <c r="K177" s="23">
        <f t="shared" si="195"/>
        <v>0</v>
      </c>
      <c r="L177" s="324">
        <v>195954258.77000001</v>
      </c>
      <c r="M177" s="328">
        <v>17.5</v>
      </c>
      <c r="N177" s="23">
        <f t="shared" si="196"/>
        <v>4.9524780700611358E-2</v>
      </c>
      <c r="O177" s="23">
        <f t="shared" si="197"/>
        <v>0</v>
      </c>
      <c r="P177" s="324">
        <v>205914916.94999999</v>
      </c>
      <c r="Q177" s="328">
        <v>17.5</v>
      </c>
      <c r="R177" s="23">
        <f t="shared" si="198"/>
        <v>5.083154733417268E-2</v>
      </c>
      <c r="S177" s="23">
        <f t="shared" si="199"/>
        <v>0</v>
      </c>
      <c r="T177" s="324">
        <v>216279832.46000001</v>
      </c>
      <c r="U177" s="328">
        <v>17.5</v>
      </c>
      <c r="V177" s="23">
        <f t="shared" si="200"/>
        <v>5.0335913801314434E-2</v>
      </c>
      <c r="W177" s="23">
        <f t="shared" si="201"/>
        <v>0</v>
      </c>
      <c r="X177" s="324">
        <v>220748538.19999999</v>
      </c>
      <c r="Y177" s="328">
        <v>17.5</v>
      </c>
      <c r="Z177" s="23">
        <f t="shared" si="202"/>
        <v>2.0661684860637419E-2</v>
      </c>
      <c r="AA177" s="23">
        <f t="shared" si="203"/>
        <v>0</v>
      </c>
      <c r="AB177" s="324">
        <v>237232187.46000001</v>
      </c>
      <c r="AC177" s="328">
        <v>17.5</v>
      </c>
      <c r="AD177" s="23">
        <f t="shared" si="204"/>
        <v>7.4671612298812598E-2</v>
      </c>
      <c r="AE177" s="23">
        <f t="shared" si="205"/>
        <v>0</v>
      </c>
      <c r="AF177" s="324">
        <v>240319338.08000001</v>
      </c>
      <c r="AG177" s="328">
        <v>17.5</v>
      </c>
      <c r="AH177" s="23">
        <f t="shared" si="206"/>
        <v>1.3013203027184212E-2</v>
      </c>
      <c r="AI177" s="23">
        <f t="shared" si="207"/>
        <v>0</v>
      </c>
      <c r="AJ177" s="24">
        <f t="shared" si="214"/>
        <v>3.4816408442217742E-2</v>
      </c>
      <c r="AK177" s="24">
        <f t="shared" si="215"/>
        <v>0</v>
      </c>
      <c r="AL177" s="25">
        <f t="shared" si="216"/>
        <v>0.33063209895380902</v>
      </c>
      <c r="AM177" s="25">
        <f t="shared" si="217"/>
        <v>0</v>
      </c>
      <c r="AN177" s="466">
        <f t="shared" si="218"/>
        <v>2.775103061417163E-2</v>
      </c>
      <c r="AO177" s="467">
        <f t="shared" si="219"/>
        <v>0</v>
      </c>
    </row>
    <row r="178" spans="1:41">
      <c r="A178" s="203" t="s">
        <v>183</v>
      </c>
      <c r="B178" s="324">
        <v>240711278.88999999</v>
      </c>
      <c r="C178" s="328">
        <v>16.5</v>
      </c>
      <c r="D178" s="324">
        <v>264482468.94999999</v>
      </c>
      <c r="E178" s="328">
        <v>16.5</v>
      </c>
      <c r="F178" s="23">
        <f>((D178-B178)/B178)</f>
        <v>9.8753951911256049E-2</v>
      </c>
      <c r="G178" s="23">
        <f>((E178-C178)/C178)</f>
        <v>0</v>
      </c>
      <c r="H178" s="324">
        <v>262104061.47</v>
      </c>
      <c r="I178" s="328">
        <v>16.5</v>
      </c>
      <c r="J178" s="23">
        <f t="shared" si="194"/>
        <v>-8.9926848060754589E-3</v>
      </c>
      <c r="K178" s="23">
        <f t="shared" si="195"/>
        <v>0</v>
      </c>
      <c r="L178" s="324">
        <v>266393963.72</v>
      </c>
      <c r="M178" s="328">
        <v>16.5</v>
      </c>
      <c r="N178" s="23">
        <f t="shared" si="196"/>
        <v>1.6367171977192025E-2</v>
      </c>
      <c r="O178" s="23">
        <f t="shared" si="197"/>
        <v>0</v>
      </c>
      <c r="P178" s="324">
        <v>276483931.94999999</v>
      </c>
      <c r="Q178" s="328">
        <v>16.5</v>
      </c>
      <c r="R178" s="23">
        <f t="shared" si="198"/>
        <v>3.7876114342460479E-2</v>
      </c>
      <c r="S178" s="23">
        <f t="shared" si="199"/>
        <v>0</v>
      </c>
      <c r="T178" s="324">
        <v>288939103.25999999</v>
      </c>
      <c r="U178" s="328">
        <v>16.5</v>
      </c>
      <c r="V178" s="23">
        <f t="shared" si="200"/>
        <v>4.5048445391222318E-2</v>
      </c>
      <c r="W178" s="23">
        <f t="shared" si="201"/>
        <v>0</v>
      </c>
      <c r="X178" s="324">
        <v>299628645.58999997</v>
      </c>
      <c r="Y178" s="328">
        <v>16.5</v>
      </c>
      <c r="Z178" s="23">
        <f t="shared" si="202"/>
        <v>3.6995831333985513E-2</v>
      </c>
      <c r="AA178" s="23">
        <f t="shared" si="203"/>
        <v>0</v>
      </c>
      <c r="AB178" s="324">
        <v>319540355.49000001</v>
      </c>
      <c r="AC178" s="328">
        <v>16.5</v>
      </c>
      <c r="AD178" s="23">
        <f t="shared" si="204"/>
        <v>6.6454627062748989E-2</v>
      </c>
      <c r="AE178" s="23">
        <f t="shared" si="205"/>
        <v>0</v>
      </c>
      <c r="AF178" s="324">
        <v>327220966.83999997</v>
      </c>
      <c r="AG178" s="328">
        <v>16.5</v>
      </c>
      <c r="AH178" s="23">
        <f t="shared" si="206"/>
        <v>2.4036436143478997E-2</v>
      </c>
      <c r="AI178" s="23">
        <f t="shared" si="207"/>
        <v>0</v>
      </c>
      <c r="AJ178" s="24">
        <f t="shared" si="214"/>
        <v>3.9567486669533615E-2</v>
      </c>
      <c r="AK178" s="24">
        <f t="shared" si="215"/>
        <v>0</v>
      </c>
      <c r="AL178" s="25">
        <f t="shared" si="216"/>
        <v>0.23721231179923916</v>
      </c>
      <c r="AM178" s="25">
        <f t="shared" si="217"/>
        <v>0</v>
      </c>
      <c r="AN178" s="466">
        <f t="shared" si="218"/>
        <v>3.2520387961935703E-2</v>
      </c>
      <c r="AO178" s="467">
        <f t="shared" si="219"/>
        <v>0</v>
      </c>
    </row>
    <row r="179" spans="1:41">
      <c r="A179" s="203" t="s">
        <v>32</v>
      </c>
      <c r="B179" s="324">
        <v>656795400</v>
      </c>
      <c r="C179" s="328">
        <v>12300</v>
      </c>
      <c r="D179" s="324">
        <v>614077000</v>
      </c>
      <c r="E179" s="328">
        <v>11500</v>
      </c>
      <c r="F179" s="23">
        <f>((D179-B179)/B179)</f>
        <v>-6.5040650406504072E-2</v>
      </c>
      <c r="G179" s="23">
        <f>((E179-C179)/C179)</f>
        <v>-6.5040650406504072E-2</v>
      </c>
      <c r="H179" s="324">
        <v>1067959466.02</v>
      </c>
      <c r="I179" s="328">
        <v>19999.990000000002</v>
      </c>
      <c r="J179" s="23">
        <f t="shared" si="194"/>
        <v>0.73912956521739126</v>
      </c>
      <c r="K179" s="23">
        <f t="shared" si="195"/>
        <v>0.73912956521739148</v>
      </c>
      <c r="L179" s="324">
        <v>656838118.39999998</v>
      </c>
      <c r="M179" s="328">
        <v>12300.8</v>
      </c>
      <c r="N179" s="23">
        <f t="shared" si="196"/>
        <v>-0.38495969247984624</v>
      </c>
      <c r="O179" s="23">
        <f t="shared" si="197"/>
        <v>-0.38495969247984635</v>
      </c>
      <c r="P179" s="324">
        <v>670144900</v>
      </c>
      <c r="Q179" s="328">
        <v>12550</v>
      </c>
      <c r="R179" s="23">
        <f t="shared" si="198"/>
        <v>2.0258844953173816E-2</v>
      </c>
      <c r="S179" s="23">
        <f t="shared" si="199"/>
        <v>2.0258844953173837E-2</v>
      </c>
      <c r="T179" s="324">
        <v>911877646</v>
      </c>
      <c r="U179" s="328">
        <v>17077</v>
      </c>
      <c r="V179" s="23">
        <f t="shared" si="200"/>
        <v>0.36071713147410356</v>
      </c>
      <c r="W179" s="23">
        <f t="shared" si="201"/>
        <v>0.36071713147410356</v>
      </c>
      <c r="X179" s="324">
        <v>906696972.03999996</v>
      </c>
      <c r="Y179" s="328">
        <v>16979.98</v>
      </c>
      <c r="Z179" s="23">
        <f t="shared" si="202"/>
        <v>-5.6813257597939162E-3</v>
      </c>
      <c r="AA179" s="23">
        <f t="shared" si="203"/>
        <v>-5.6813257597939006E-3</v>
      </c>
      <c r="AB179" s="324">
        <v>750326200</v>
      </c>
      <c r="AC179" s="328">
        <v>16900</v>
      </c>
      <c r="AD179" s="23">
        <f t="shared" si="204"/>
        <v>-0.17246199872949558</v>
      </c>
      <c r="AE179" s="23">
        <f t="shared" si="205"/>
        <v>-4.7102528978243538E-3</v>
      </c>
      <c r="AF179" s="324">
        <v>679289400</v>
      </c>
      <c r="AG179" s="328">
        <v>15300</v>
      </c>
      <c r="AH179" s="23">
        <f t="shared" si="206"/>
        <v>-9.4674556213017749E-2</v>
      </c>
      <c r="AI179" s="23">
        <f t="shared" si="207"/>
        <v>-9.4674556213017749E-2</v>
      </c>
      <c r="AJ179" s="24">
        <f t="shared" si="214"/>
        <v>4.9660914757001379E-2</v>
      </c>
      <c r="AK179" s="24">
        <f t="shared" si="215"/>
        <v>7.0629882985960304E-2</v>
      </c>
      <c r="AL179" s="25">
        <f t="shared" si="216"/>
        <v>0.10619580280648844</v>
      </c>
      <c r="AM179" s="25">
        <f t="shared" si="217"/>
        <v>0.33043478260869563</v>
      </c>
      <c r="AN179" s="466">
        <f t="shared" si="218"/>
        <v>0.34811186079476303</v>
      </c>
      <c r="AO179" s="467">
        <f t="shared" si="219"/>
        <v>0.33771778740956188</v>
      </c>
    </row>
    <row r="180" spans="1:41">
      <c r="A180" s="203" t="s">
        <v>94</v>
      </c>
      <c r="B180" s="324">
        <v>631488101.87</v>
      </c>
      <c r="C180" s="328">
        <v>73</v>
      </c>
      <c r="D180" s="324">
        <v>643963752.39999998</v>
      </c>
      <c r="E180" s="328">
        <v>73</v>
      </c>
      <c r="F180" s="23">
        <f>((D180-B180)/B180)</f>
        <v>1.9755955010167785E-2</v>
      </c>
      <c r="G180" s="23">
        <f>((E180-C180)/C180)</f>
        <v>0</v>
      </c>
      <c r="H180" s="324">
        <v>645296184.25</v>
      </c>
      <c r="I180" s="328">
        <v>73</v>
      </c>
      <c r="J180" s="23">
        <f t="shared" si="194"/>
        <v>2.0691100159506803E-3</v>
      </c>
      <c r="K180" s="23">
        <f t="shared" si="195"/>
        <v>0</v>
      </c>
      <c r="L180" s="324">
        <v>666980870.99000001</v>
      </c>
      <c r="M180" s="328">
        <v>73</v>
      </c>
      <c r="N180" s="23">
        <f t="shared" si="196"/>
        <v>3.3604238285095685E-2</v>
      </c>
      <c r="O180" s="23">
        <f t="shared" si="197"/>
        <v>0</v>
      </c>
      <c r="P180" s="324">
        <v>708650284.42999995</v>
      </c>
      <c r="Q180" s="328">
        <v>73</v>
      </c>
      <c r="R180" s="23">
        <f t="shared" si="198"/>
        <v>6.2474675440316617E-2</v>
      </c>
      <c r="S180" s="23">
        <f t="shared" si="199"/>
        <v>0</v>
      </c>
      <c r="T180" s="324">
        <v>742279138.32000005</v>
      </c>
      <c r="U180" s="328">
        <v>80</v>
      </c>
      <c r="V180" s="23">
        <f t="shared" si="200"/>
        <v>4.7454794881017143E-2</v>
      </c>
      <c r="W180" s="23">
        <f t="shared" si="201"/>
        <v>9.5890410958904104E-2</v>
      </c>
      <c r="X180" s="324">
        <v>744520289.48000002</v>
      </c>
      <c r="Y180" s="328">
        <v>80</v>
      </c>
      <c r="Z180" s="23">
        <f t="shared" si="202"/>
        <v>3.019283507108071E-3</v>
      </c>
      <c r="AA180" s="23">
        <f t="shared" si="203"/>
        <v>0</v>
      </c>
      <c r="AB180" s="324">
        <v>806990931.40999997</v>
      </c>
      <c r="AC180" s="328">
        <v>80</v>
      </c>
      <c r="AD180" s="23">
        <f t="shared" si="204"/>
        <v>8.3907239080927815E-2</v>
      </c>
      <c r="AE180" s="23">
        <f t="shared" si="205"/>
        <v>0</v>
      </c>
      <c r="AF180" s="324">
        <v>812581911.92999995</v>
      </c>
      <c r="AG180" s="328">
        <v>83</v>
      </c>
      <c r="AH180" s="23">
        <f t="shared" si="206"/>
        <v>6.9281825884105587E-3</v>
      </c>
      <c r="AI180" s="23">
        <f t="shared" si="207"/>
        <v>3.7499999999999999E-2</v>
      </c>
      <c r="AJ180" s="24">
        <f t="shared" si="214"/>
        <v>3.2401684851124296E-2</v>
      </c>
      <c r="AK180" s="24">
        <f t="shared" si="215"/>
        <v>1.6673801369863014E-2</v>
      </c>
      <c r="AL180" s="25">
        <f t="shared" si="216"/>
        <v>0.26184417818793987</v>
      </c>
      <c r="AM180" s="25">
        <f t="shared" si="217"/>
        <v>0.13698630136986301</v>
      </c>
      <c r="AN180" s="466">
        <f t="shared" si="218"/>
        <v>3.0183849847799853E-2</v>
      </c>
      <c r="AO180" s="467">
        <f t="shared" si="219"/>
        <v>3.4593756036302173E-2</v>
      </c>
    </row>
    <row r="181" spans="1:41">
      <c r="A181" s="203" t="s">
        <v>40</v>
      </c>
      <c r="B181" s="324">
        <v>477351382.81</v>
      </c>
      <c r="C181" s="328">
        <v>228.6</v>
      </c>
      <c r="D181" s="324">
        <v>476720425.44</v>
      </c>
      <c r="E181" s="328">
        <v>248.95</v>
      </c>
      <c r="F181" s="23">
        <f>((D181-B181)/B181)</f>
        <v>-1.3217880846720926E-3</v>
      </c>
      <c r="G181" s="23">
        <f>((E181-C181)/C181)</f>
        <v>8.9020122484689393E-2</v>
      </c>
      <c r="H181" s="324">
        <v>476224471</v>
      </c>
      <c r="I181" s="328">
        <v>240</v>
      </c>
      <c r="J181" s="23">
        <f t="shared" si="194"/>
        <v>-1.0403465291889795E-3</v>
      </c>
      <c r="K181" s="23">
        <f t="shared" si="195"/>
        <v>-3.595099417553721E-2</v>
      </c>
      <c r="L181" s="324">
        <v>476751713.42000002</v>
      </c>
      <c r="M181" s="328">
        <v>247.5</v>
      </c>
      <c r="N181" s="23">
        <f t="shared" si="196"/>
        <v>1.1071300449825407E-3</v>
      </c>
      <c r="O181" s="23">
        <f t="shared" si="197"/>
        <v>3.125E-2</v>
      </c>
      <c r="P181" s="324">
        <v>485296816.36000001</v>
      </c>
      <c r="Q181" s="328">
        <v>267.54000000000002</v>
      </c>
      <c r="R181" s="23">
        <f t="shared" si="198"/>
        <v>1.7923591461688339E-2</v>
      </c>
      <c r="S181" s="23">
        <f t="shared" si="199"/>
        <v>8.0969696969697053E-2</v>
      </c>
      <c r="T181" s="324">
        <v>511020395.62</v>
      </c>
      <c r="U181" s="328">
        <v>267</v>
      </c>
      <c r="V181" s="23">
        <f t="shared" si="200"/>
        <v>5.300586855883653E-2</v>
      </c>
      <c r="W181" s="23">
        <f t="shared" si="201"/>
        <v>-2.0183897734918905E-3</v>
      </c>
      <c r="X181" s="324">
        <v>511325499.58999997</v>
      </c>
      <c r="Y181" s="328">
        <v>260</v>
      </c>
      <c r="Z181" s="23">
        <f t="shared" si="202"/>
        <v>5.9704851824905921E-4</v>
      </c>
      <c r="AA181" s="23">
        <f t="shared" si="203"/>
        <v>-2.6217228464419477E-2</v>
      </c>
      <c r="AB181" s="324">
        <v>539342500.90999997</v>
      </c>
      <c r="AC181" s="328">
        <v>252</v>
      </c>
      <c r="AD181" s="23">
        <f t="shared" si="204"/>
        <v>5.4792888957161494E-2</v>
      </c>
      <c r="AE181" s="23">
        <f t="shared" si="205"/>
        <v>-3.0769230769230771E-2</v>
      </c>
      <c r="AF181" s="324">
        <v>534563252.25999999</v>
      </c>
      <c r="AG181" s="328">
        <v>245</v>
      </c>
      <c r="AH181" s="23">
        <f t="shared" si="206"/>
        <v>-8.8612498401966083E-3</v>
      </c>
      <c r="AI181" s="23">
        <f t="shared" si="207"/>
        <v>-2.7777777777777776E-2</v>
      </c>
      <c r="AJ181" s="24">
        <f t="shared" si="214"/>
        <v>1.4525392885857536E-2</v>
      </c>
      <c r="AK181" s="24">
        <f t="shared" si="215"/>
        <v>9.8132748117411659E-3</v>
      </c>
      <c r="AL181" s="25">
        <f t="shared" si="216"/>
        <v>0.12133490350578673</v>
      </c>
      <c r="AM181" s="25">
        <f t="shared" si="217"/>
        <v>-1.5866639887527571E-2</v>
      </c>
      <c r="AN181" s="466">
        <f t="shared" si="218"/>
        <v>2.5433877863329773E-2</v>
      </c>
      <c r="AO181" s="467">
        <f t="shared" si="219"/>
        <v>5.1254372750809185E-2</v>
      </c>
    </row>
    <row r="182" spans="1:41">
      <c r="A182" s="203" t="s">
        <v>50</v>
      </c>
      <c r="B182" s="324">
        <v>164375317.97</v>
      </c>
      <c r="C182" s="328">
        <v>7.41</v>
      </c>
      <c r="D182" s="324">
        <v>164394642.63</v>
      </c>
      <c r="E182" s="328">
        <v>7.41</v>
      </c>
      <c r="F182" s="23">
        <f>((D182-B182)/B182)</f>
        <v>1.175642440644486E-4</v>
      </c>
      <c r="G182" s="23">
        <f>((E182-C182)/C182)</f>
        <v>0</v>
      </c>
      <c r="H182" s="324">
        <v>165091749.72999999</v>
      </c>
      <c r="I182" s="328">
        <v>7.48</v>
      </c>
      <c r="J182" s="23">
        <f t="shared" si="194"/>
        <v>4.2404490124958649E-3</v>
      </c>
      <c r="K182" s="23">
        <f t="shared" si="195"/>
        <v>9.4466936572200118E-3</v>
      </c>
      <c r="L182" s="324">
        <v>168578605.78</v>
      </c>
      <c r="M182" s="328">
        <v>7.62</v>
      </c>
      <c r="N182" s="23">
        <f t="shared" si="196"/>
        <v>2.112071654520959E-2</v>
      </c>
      <c r="O182" s="23">
        <f t="shared" si="197"/>
        <v>1.8716577540106909E-2</v>
      </c>
      <c r="P182" s="324">
        <v>173904662.09999999</v>
      </c>
      <c r="Q182" s="328">
        <v>7.85</v>
      </c>
      <c r="R182" s="23">
        <f t="shared" si="198"/>
        <v>3.1593904192983135E-2</v>
      </c>
      <c r="S182" s="23">
        <f t="shared" si="199"/>
        <v>3.0183727034120676E-2</v>
      </c>
      <c r="T182" s="324">
        <v>189198264.24000001</v>
      </c>
      <c r="U182" s="328">
        <v>8.52</v>
      </c>
      <c r="V182" s="23">
        <f t="shared" si="200"/>
        <v>8.7942450508921785E-2</v>
      </c>
      <c r="W182" s="23">
        <f t="shared" si="201"/>
        <v>8.5350318471337575E-2</v>
      </c>
      <c r="X182" s="324">
        <v>189347894.22</v>
      </c>
      <c r="Y182" s="328">
        <v>8.5299999999999994</v>
      </c>
      <c r="Z182" s="23">
        <f t="shared" si="202"/>
        <v>7.9086338662273377E-4</v>
      </c>
      <c r="AA182" s="23">
        <f t="shared" si="203"/>
        <v>1.1737089201877685E-3</v>
      </c>
      <c r="AB182" s="324">
        <v>197356308</v>
      </c>
      <c r="AC182" s="328">
        <v>8.8800000000000008</v>
      </c>
      <c r="AD182" s="23">
        <f t="shared" si="204"/>
        <v>4.2294707384995606E-2</v>
      </c>
      <c r="AE182" s="23">
        <f t="shared" si="205"/>
        <v>4.103165298944917E-2</v>
      </c>
      <c r="AF182" s="324">
        <v>197698435.84999999</v>
      </c>
      <c r="AG182" s="328">
        <v>8.9</v>
      </c>
      <c r="AH182" s="23">
        <f t="shared" si="206"/>
        <v>1.7335541664064472E-3</v>
      </c>
      <c r="AI182" s="23">
        <f t="shared" si="207"/>
        <v>2.2522522522522041E-3</v>
      </c>
      <c r="AJ182" s="24">
        <f t="shared" si="214"/>
        <v>2.3729276180212453E-2</v>
      </c>
      <c r="AK182" s="24">
        <f t="shared" si="215"/>
        <v>2.3519366358084288E-2</v>
      </c>
      <c r="AL182" s="25">
        <f t="shared" si="216"/>
        <v>0.20258441934118399</v>
      </c>
      <c r="AM182" s="25">
        <f t="shared" si="217"/>
        <v>0.20107962213225375</v>
      </c>
      <c r="AN182" s="466">
        <f t="shared" si="218"/>
        <v>3.0434880937277701E-2</v>
      </c>
      <c r="AO182" s="467">
        <f t="shared" si="219"/>
        <v>2.9032116613685988E-2</v>
      </c>
    </row>
    <row r="183" spans="1:41">
      <c r="A183" s="203" t="s">
        <v>59</v>
      </c>
      <c r="B183" s="75">
        <v>360064239.17000002</v>
      </c>
      <c r="C183" s="328">
        <v>4.43</v>
      </c>
      <c r="D183" s="75">
        <v>379381189.43000001</v>
      </c>
      <c r="E183" s="328">
        <v>4.66</v>
      </c>
      <c r="F183" s="23">
        <f>((D183-B183)/B183)</f>
        <v>5.3648621991809975E-2</v>
      </c>
      <c r="G183" s="23">
        <f>((E183-C183)/C183)</f>
        <v>5.1918735891647957E-2</v>
      </c>
      <c r="H183" s="75">
        <v>375890551.91000003</v>
      </c>
      <c r="I183" s="328">
        <v>4.6100000000000003</v>
      </c>
      <c r="J183" s="23">
        <f t="shared" si="194"/>
        <v>-9.2008713590794461E-3</v>
      </c>
      <c r="K183" s="23">
        <f t="shared" si="195"/>
        <v>-1.0729613733905541E-2</v>
      </c>
      <c r="L183" s="75">
        <v>385369042.60000002</v>
      </c>
      <c r="M183" s="328">
        <v>4.75</v>
      </c>
      <c r="N183" s="23">
        <f t="shared" si="196"/>
        <v>2.5216091869926661E-2</v>
      </c>
      <c r="O183" s="23">
        <f t="shared" si="197"/>
        <v>3.036876355748366E-2</v>
      </c>
      <c r="P183" s="75">
        <v>415044498.97000003</v>
      </c>
      <c r="Q183" s="328">
        <v>5.01</v>
      </c>
      <c r="R183" s="23">
        <f t="shared" si="198"/>
        <v>7.7005293860104171E-2</v>
      </c>
      <c r="S183" s="23">
        <f t="shared" si="199"/>
        <v>5.4736842105263112E-2</v>
      </c>
      <c r="T183" s="75">
        <v>436504413.43000001</v>
      </c>
      <c r="U183" s="328">
        <v>5.25</v>
      </c>
      <c r="V183" s="23">
        <f t="shared" si="200"/>
        <v>5.1705093100272916E-2</v>
      </c>
      <c r="W183" s="23">
        <f t="shared" si="201"/>
        <v>4.7904191616766512E-2</v>
      </c>
      <c r="X183" s="75">
        <v>442102801.16000003</v>
      </c>
      <c r="Y183" s="328">
        <v>5.31</v>
      </c>
      <c r="Z183" s="23">
        <f t="shared" si="202"/>
        <v>1.2825500860365996E-2</v>
      </c>
      <c r="AA183" s="23">
        <f t="shared" si="203"/>
        <v>1.1428571428571354E-2</v>
      </c>
      <c r="AB183" s="75">
        <v>498465018.32999998</v>
      </c>
      <c r="AC183" s="328">
        <v>5.97</v>
      </c>
      <c r="AD183" s="23">
        <f t="shared" si="204"/>
        <v>0.12748667735674918</v>
      </c>
      <c r="AE183" s="23">
        <f t="shared" si="205"/>
        <v>0.1242937853107345</v>
      </c>
      <c r="AF183" s="75">
        <v>502621024</v>
      </c>
      <c r="AG183" s="328">
        <v>6.04</v>
      </c>
      <c r="AH183" s="23">
        <f t="shared" si="206"/>
        <v>8.3376074893356036E-3</v>
      </c>
      <c r="AI183" s="23">
        <f t="shared" si="207"/>
        <v>1.1725293132328356E-2</v>
      </c>
      <c r="AJ183" s="24">
        <f t="shared" si="214"/>
        <v>4.3378001896185632E-2</v>
      </c>
      <c r="AK183" s="24">
        <f t="shared" si="215"/>
        <v>4.0205821163611231E-2</v>
      </c>
      <c r="AL183" s="25">
        <f t="shared" si="216"/>
        <v>0.32484434654011513</v>
      </c>
      <c r="AM183" s="25">
        <f t="shared" si="217"/>
        <v>0.29613733905579398</v>
      </c>
      <c r="AN183" s="466">
        <f t="shared" si="218"/>
        <v>4.4135453170492861E-2</v>
      </c>
      <c r="AO183" s="467">
        <f t="shared" si="219"/>
        <v>4.1072845344537166E-2</v>
      </c>
    </row>
    <row r="184" spans="1:41">
      <c r="A184" s="203" t="s">
        <v>92</v>
      </c>
      <c r="B184" s="324">
        <v>507164044.56</v>
      </c>
      <c r="C184" s="328">
        <v>145.07</v>
      </c>
      <c r="D184" s="324">
        <v>507266573.44999999</v>
      </c>
      <c r="E184" s="328">
        <v>145.1</v>
      </c>
      <c r="F184" s="23">
        <f>((D184-B184)/B184)</f>
        <v>2.0216119636189237E-4</v>
      </c>
      <c r="G184" s="23">
        <f>((E184-C184)/C184)</f>
        <v>2.0679671882540247E-4</v>
      </c>
      <c r="H184" s="324">
        <v>504608337.55000001</v>
      </c>
      <c r="I184" s="328">
        <v>144.34</v>
      </c>
      <c r="J184" s="23">
        <f t="shared" si="194"/>
        <v>-5.2403135533273847E-3</v>
      </c>
      <c r="K184" s="23">
        <f t="shared" si="195"/>
        <v>-5.2377670572018673E-3</v>
      </c>
      <c r="L184" s="324">
        <v>480681707.23000002</v>
      </c>
      <c r="M184" s="328">
        <v>137.54</v>
      </c>
      <c r="N184" s="23">
        <f t="shared" si="196"/>
        <v>-4.7416240556328856E-2</v>
      </c>
      <c r="O184" s="23">
        <f t="shared" si="197"/>
        <v>-4.7110987945129634E-2</v>
      </c>
      <c r="P184" s="324">
        <v>481713631.29000002</v>
      </c>
      <c r="Q184" s="328">
        <v>137.84</v>
      </c>
      <c r="R184" s="23">
        <f t="shared" si="198"/>
        <v>2.1467928662120689E-3</v>
      </c>
      <c r="S184" s="23">
        <f t="shared" si="199"/>
        <v>2.1811836556638897E-3</v>
      </c>
      <c r="T184" s="324">
        <v>484508422.19999999</v>
      </c>
      <c r="U184" s="328">
        <v>138.63</v>
      </c>
      <c r="V184" s="23">
        <f t="shared" si="200"/>
        <v>5.8017683712119281E-3</v>
      </c>
      <c r="W184" s="23">
        <f t="shared" si="201"/>
        <v>5.7312826465466633E-3</v>
      </c>
      <c r="X184" s="324">
        <v>486923907.07999998</v>
      </c>
      <c r="Y184" s="328">
        <v>139.32</v>
      </c>
      <c r="Z184" s="23">
        <f t="shared" si="202"/>
        <v>4.9854342449446804E-3</v>
      </c>
      <c r="AA184" s="23">
        <f t="shared" si="203"/>
        <v>4.9772776455312539E-3</v>
      </c>
      <c r="AB184" s="324">
        <v>488170026.68000001</v>
      </c>
      <c r="AC184" s="328">
        <v>139.66999999999999</v>
      </c>
      <c r="AD184" s="23">
        <f t="shared" si="204"/>
        <v>2.5591670112744959E-3</v>
      </c>
      <c r="AE184" s="23">
        <f t="shared" si="205"/>
        <v>2.5122021246051845E-3</v>
      </c>
      <c r="AF184" s="324">
        <v>492336350.33999997</v>
      </c>
      <c r="AG184" s="328">
        <v>140.85</v>
      </c>
      <c r="AH184" s="23">
        <f t="shared" si="206"/>
        <v>8.5345749068920836E-3</v>
      </c>
      <c r="AI184" s="23">
        <f t="shared" si="207"/>
        <v>8.4484857163314026E-3</v>
      </c>
      <c r="AJ184" s="24">
        <f t="shared" si="214"/>
        <v>-3.5533319390948859E-3</v>
      </c>
      <c r="AK184" s="24">
        <f t="shared" si="215"/>
        <v>-3.536440811853463E-3</v>
      </c>
      <c r="AL184" s="25">
        <f t="shared" si="216"/>
        <v>-2.9432696517843096E-2</v>
      </c>
      <c r="AM184" s="25">
        <f t="shared" si="217"/>
        <v>-2.9290144727773949E-2</v>
      </c>
      <c r="AN184" s="466">
        <f t="shared" si="218"/>
        <v>1.8194600360366891E-2</v>
      </c>
      <c r="AO184" s="467">
        <f t="shared" si="219"/>
        <v>1.8074992080447216E-2</v>
      </c>
    </row>
    <row r="185" spans="1:41">
      <c r="A185" s="203" t="s">
        <v>30</v>
      </c>
      <c r="B185" s="324">
        <v>2867818359.6500001</v>
      </c>
      <c r="C185" s="328">
        <v>19.350000000000001</v>
      </c>
      <c r="D185" s="324">
        <v>2866807508.1999998</v>
      </c>
      <c r="E185" s="328">
        <v>19.29</v>
      </c>
      <c r="F185" s="23">
        <f>((D185-B185)/B185)</f>
        <v>-3.5248098841366451E-4</v>
      </c>
      <c r="G185" s="23">
        <f>((E185-C185)/C185)</f>
        <v>-3.1007751937985671E-3</v>
      </c>
      <c r="H185" s="324">
        <v>2867092206.77</v>
      </c>
      <c r="I185" s="328">
        <v>19.27</v>
      </c>
      <c r="J185" s="23">
        <f t="shared" si="194"/>
        <v>9.9308575544692612E-5</v>
      </c>
      <c r="K185" s="23">
        <f t="shared" si="195"/>
        <v>-1.0368066355624455E-3</v>
      </c>
      <c r="L185" s="324">
        <v>2821817037.1100001</v>
      </c>
      <c r="M185" s="328">
        <v>19.25</v>
      </c>
      <c r="N185" s="23">
        <f t="shared" si="196"/>
        <v>-1.5791319704714278E-2</v>
      </c>
      <c r="O185" s="23">
        <f t="shared" si="197"/>
        <v>-1.0378827192527023E-3</v>
      </c>
      <c r="P185" s="324">
        <v>2877245532.1900001</v>
      </c>
      <c r="Q185" s="328">
        <v>19.600000000000001</v>
      </c>
      <c r="R185" s="23">
        <f t="shared" si="198"/>
        <v>1.9642838054719423E-2</v>
      </c>
      <c r="S185" s="23">
        <f t="shared" si="199"/>
        <v>1.8181818181818257E-2</v>
      </c>
      <c r="T185" s="324">
        <v>2970390003.2800002</v>
      </c>
      <c r="U185" s="328">
        <v>20.64</v>
      </c>
      <c r="V185" s="23">
        <f t="shared" si="200"/>
        <v>3.2372791980357592E-2</v>
      </c>
      <c r="W185" s="23">
        <f t="shared" si="201"/>
        <v>5.3061224489795868E-2</v>
      </c>
      <c r="X185" s="324">
        <v>2972993050.9299998</v>
      </c>
      <c r="Y185" s="328">
        <v>20.66</v>
      </c>
      <c r="Z185" s="23">
        <f t="shared" si="202"/>
        <v>8.7633194534227814E-4</v>
      </c>
      <c r="AA185" s="23">
        <f t="shared" si="203"/>
        <v>9.6899224806199478E-4</v>
      </c>
      <c r="AB185" s="324">
        <v>3138143313.6799998</v>
      </c>
      <c r="AC185" s="328">
        <v>21.81</v>
      </c>
      <c r="AD185" s="23">
        <f t="shared" si="204"/>
        <v>5.5550167767239936E-2</v>
      </c>
      <c r="AE185" s="23">
        <f t="shared" si="205"/>
        <v>5.5663117134559466E-2</v>
      </c>
      <c r="AF185" s="324">
        <v>3149429292.5500002</v>
      </c>
      <c r="AG185" s="328">
        <v>21.85</v>
      </c>
      <c r="AH185" s="23">
        <f t="shared" si="206"/>
        <v>3.5963873354036397E-3</v>
      </c>
      <c r="AI185" s="23">
        <f t="shared" si="207"/>
        <v>1.8340210912426733E-3</v>
      </c>
      <c r="AJ185" s="24">
        <f t="shared" si="214"/>
        <v>1.1999253120684951E-2</v>
      </c>
      <c r="AK185" s="24">
        <f t="shared" si="215"/>
        <v>1.5566713574608065E-2</v>
      </c>
      <c r="AL185" s="25">
        <f t="shared" si="216"/>
        <v>9.8584151025700312E-2</v>
      </c>
      <c r="AM185" s="25">
        <f t="shared" si="217"/>
        <v>0.13271124935199596</v>
      </c>
      <c r="AN185" s="466">
        <f t="shared" si="218"/>
        <v>2.2775315978310964E-2</v>
      </c>
      <c r="AO185" s="467">
        <f t="shared" si="219"/>
        <v>2.4847948028124619E-2</v>
      </c>
    </row>
    <row r="186" spans="1:41">
      <c r="A186" s="203" t="s">
        <v>51</v>
      </c>
      <c r="B186" s="75">
        <v>259160288.34</v>
      </c>
      <c r="C186" s="328">
        <v>24.57</v>
      </c>
      <c r="D186" s="75">
        <v>259243253.44999999</v>
      </c>
      <c r="E186" s="328">
        <v>24.59</v>
      </c>
      <c r="F186" s="23">
        <f>((D186-B186)/B186)</f>
        <v>3.2013048963404507E-4</v>
      </c>
      <c r="G186" s="23">
        <f>((E186-C186)/C186)</f>
        <v>8.1400081400079662E-4</v>
      </c>
      <c r="H186" s="75">
        <v>249912967.24000001</v>
      </c>
      <c r="I186" s="328">
        <v>23.77</v>
      </c>
      <c r="J186" s="23">
        <f t="shared" si="194"/>
        <v>-3.5990468742514457E-2</v>
      </c>
      <c r="K186" s="23">
        <f t="shared" si="195"/>
        <v>-3.3346888979259873E-2</v>
      </c>
      <c r="L186" s="75">
        <v>250409420.94</v>
      </c>
      <c r="M186" s="328">
        <v>23.76</v>
      </c>
      <c r="N186" s="23">
        <f t="shared" si="196"/>
        <v>1.9865063645266015E-3</v>
      </c>
      <c r="O186" s="23">
        <f t="shared" si="197"/>
        <v>-4.2069835927631514E-4</v>
      </c>
      <c r="P186" s="75">
        <v>248562904.30000001</v>
      </c>
      <c r="Q186" s="328">
        <v>23.6</v>
      </c>
      <c r="R186" s="23">
        <f t="shared" si="198"/>
        <v>-7.3739902958460382E-3</v>
      </c>
      <c r="S186" s="23">
        <f t="shared" si="199"/>
        <v>-6.7340067340067398E-3</v>
      </c>
      <c r="T186" s="75">
        <v>262117710.47999999</v>
      </c>
      <c r="U186" s="328">
        <v>24.97</v>
      </c>
      <c r="V186" s="23">
        <f t="shared" si="200"/>
        <v>5.4532699552143016E-2</v>
      </c>
      <c r="W186" s="23">
        <f t="shared" si="201"/>
        <v>5.8050847457627008E-2</v>
      </c>
      <c r="X186" s="75">
        <v>258746211.59</v>
      </c>
      <c r="Y186" s="328">
        <v>24.64</v>
      </c>
      <c r="Z186" s="23">
        <f t="shared" si="202"/>
        <v>-1.2862537536383818E-2</v>
      </c>
      <c r="AA186" s="23">
        <f t="shared" si="203"/>
        <v>-1.3215859030836937E-2</v>
      </c>
      <c r="AB186" s="75">
        <v>253866320.47999999</v>
      </c>
      <c r="AC186" s="328">
        <v>24.24</v>
      </c>
      <c r="AD186" s="23">
        <f t="shared" si="204"/>
        <v>-1.8859758680187036E-2</v>
      </c>
      <c r="AE186" s="23">
        <f t="shared" si="205"/>
        <v>-1.6233766233766319E-2</v>
      </c>
      <c r="AF186" s="75">
        <v>260046065.88</v>
      </c>
      <c r="AG186" s="328">
        <v>24.86</v>
      </c>
      <c r="AH186" s="23">
        <f t="shared" si="206"/>
        <v>2.4342517701109772E-2</v>
      </c>
      <c r="AI186" s="23">
        <f t="shared" si="207"/>
        <v>2.557755775577562E-2</v>
      </c>
      <c r="AJ186" s="24">
        <f t="shared" si="214"/>
        <v>7.618873565602602E-4</v>
      </c>
      <c r="AK186" s="24">
        <f t="shared" si="215"/>
        <v>1.8113983362821559E-3</v>
      </c>
      <c r="AL186" s="25">
        <f t="shared" si="216"/>
        <v>3.09675341331436E-3</v>
      </c>
      <c r="AM186" s="25">
        <f t="shared" si="217"/>
        <v>1.0980073200487986E-2</v>
      </c>
      <c r="AN186" s="466">
        <f t="shared" si="218"/>
        <v>2.7868577654325166E-2</v>
      </c>
      <c r="AO186" s="467">
        <f t="shared" si="219"/>
        <v>2.8269768232958133E-2</v>
      </c>
    </row>
    <row r="187" spans="1:41" ht="15.75" thickBot="1">
      <c r="A187" s="204" t="s">
        <v>33</v>
      </c>
      <c r="B187" s="77">
        <f>SUM(B175:B186)</f>
        <v>7427652708.1927681</v>
      </c>
      <c r="C187" s="307"/>
      <c r="D187" s="77">
        <f>SUM(D175:D186)</f>
        <v>7434093500.5296631</v>
      </c>
      <c r="E187" s="307"/>
      <c r="F187" s="23">
        <f>((D187-B187)/B187)</f>
        <v>8.671369798685844E-4</v>
      </c>
      <c r="G187" s="210"/>
      <c r="H187" s="77">
        <f>SUM(H175:H186)</f>
        <v>7900432480.0985355</v>
      </c>
      <c r="I187" s="307"/>
      <c r="J187" s="23">
        <f>((H187-D187)/D187)</f>
        <v>6.2729770554492872E-2</v>
      </c>
      <c r="K187" s="210"/>
      <c r="L187" s="77">
        <f>SUM(L175:L186)</f>
        <v>7477851810.9399996</v>
      </c>
      <c r="M187" s="307"/>
      <c r="N187" s="23">
        <f>((L187-H187)/H187)</f>
        <v>-5.3488295763938411E-2</v>
      </c>
      <c r="O187" s="210"/>
      <c r="P187" s="77">
        <f>SUM(P175:P186)</f>
        <v>7669680835.21</v>
      </c>
      <c r="Q187" s="307"/>
      <c r="R187" s="23">
        <f>((P187-L187)/L187)</f>
        <v>2.5652958780134839E-2</v>
      </c>
      <c r="S187" s="210"/>
      <c r="T187" s="70">
        <f>SUM(T175:T186)</f>
        <v>8199819675.4865208</v>
      </c>
      <c r="U187" s="307"/>
      <c r="V187" s="23">
        <f>((T187-P187)/P187)</f>
        <v>6.9121369150428963E-2</v>
      </c>
      <c r="W187" s="210"/>
      <c r="X187" s="70">
        <f>SUM(X175:X186)</f>
        <v>8234561345.6603279</v>
      </c>
      <c r="Y187" s="307"/>
      <c r="Z187" s="23">
        <f>((X187-T187)/T187)</f>
        <v>4.2368822179916794E-3</v>
      </c>
      <c r="AA187" s="210"/>
      <c r="AB187" s="70">
        <f>SUM(AB175:AB186)</f>
        <v>8501400443.6560364</v>
      </c>
      <c r="AC187" s="307"/>
      <c r="AD187" s="23">
        <f>((AB187-X187)/X187)</f>
        <v>3.2404773830039479E-2</v>
      </c>
      <c r="AE187" s="210"/>
      <c r="AF187" s="77">
        <f>SUM(AF175:AF186)</f>
        <v>8460893738.7534027</v>
      </c>
      <c r="AG187" s="307"/>
      <c r="AH187" s="23">
        <f>((AF187-AB187)/AB187)</f>
        <v>-4.7647096700239328E-3</v>
      </c>
      <c r="AI187" s="210"/>
      <c r="AJ187" s="24">
        <f t="shared" si="214"/>
        <v>1.7094985759874257E-2</v>
      </c>
      <c r="AK187" s="24"/>
      <c r="AL187" s="25">
        <f t="shared" si="216"/>
        <v>0.13812043635859333</v>
      </c>
      <c r="AM187" s="25"/>
      <c r="AN187" s="466">
        <f t="shared" si="218"/>
        <v>3.9614979999632954E-2</v>
      </c>
      <c r="AO187" s="467"/>
    </row>
    <row r="188" spans="1:41" ht="15.75" thickBot="1">
      <c r="A188" s="63" t="s">
        <v>43</v>
      </c>
      <c r="B188" s="223">
        <f>SUM(B167,B172,B187)</f>
        <v>1675117351047.1646</v>
      </c>
      <c r="C188" s="308"/>
      <c r="D188" s="223">
        <f>SUM(D167,D172,D187)</f>
        <v>1739618684560.0811</v>
      </c>
      <c r="E188" s="308"/>
      <c r="F188" s="210">
        <f>((D188-B188)/B188)</f>
        <v>3.8505561101492287E-2</v>
      </c>
      <c r="G188" s="306"/>
      <c r="H188" s="223">
        <f>SUM(H167,H172,H187)</f>
        <v>1744855165182.1748</v>
      </c>
      <c r="I188" s="308"/>
      <c r="J188" s="210">
        <f>((H188-D188)/D188)</f>
        <v>3.0101312825448088E-3</v>
      </c>
      <c r="K188" s="306"/>
      <c r="L188" s="223">
        <f>SUM(L167,L172,L187)</f>
        <v>1735632311170.3931</v>
      </c>
      <c r="M188" s="308"/>
      <c r="N188" s="210">
        <f>((L188-H188)/H188)</f>
        <v>-5.2857418746379498E-3</v>
      </c>
      <c r="O188" s="306"/>
      <c r="P188" s="223">
        <f>SUM(P167,P172,P187)</f>
        <v>1729253273512.5181</v>
      </c>
      <c r="Q188" s="308"/>
      <c r="R188" s="210">
        <f>((P188-L188)/L188)</f>
        <v>-3.6753393082279095E-3</v>
      </c>
      <c r="S188" s="306"/>
      <c r="T188" s="223">
        <f>SUM(T167,T172,T187)</f>
        <v>1739393747925.5352</v>
      </c>
      <c r="U188" s="308"/>
      <c r="V188" s="210">
        <f>((T188-P188)/P188)</f>
        <v>5.8640770373789225E-3</v>
      </c>
      <c r="W188" s="306"/>
      <c r="X188" s="223">
        <f>SUM(X167,X172,X187)</f>
        <v>1746565550006.7437</v>
      </c>
      <c r="Y188" s="308"/>
      <c r="Z188" s="210">
        <f>((X188-T188)/T188)</f>
        <v>4.1231619291272319E-3</v>
      </c>
      <c r="AA188" s="306"/>
      <c r="AB188" s="223">
        <f>SUM(AB167,AB172,AB187)</f>
        <v>1885965497080.9697</v>
      </c>
      <c r="AC188" s="308"/>
      <c r="AD188" s="210">
        <f>((AB188-X188)/X188)</f>
        <v>7.9813750519519777E-2</v>
      </c>
      <c r="AE188" s="306"/>
      <c r="AF188" s="223">
        <f>SUM(AF167,AF172,AF187)</f>
        <v>1977611461136.2695</v>
      </c>
      <c r="AG188" s="308"/>
      <c r="AH188" s="210">
        <f>((AF188-AB188)/AB188)</f>
        <v>4.8593658896276822E-2</v>
      </c>
      <c r="AI188" s="306"/>
      <c r="AJ188" s="24">
        <f t="shared" si="214"/>
        <v>2.1368657447934248E-2</v>
      </c>
      <c r="AK188" s="24"/>
      <c r="AL188" s="25">
        <f t="shared" si="216"/>
        <v>0.13680743871544049</v>
      </c>
      <c r="AM188" s="25"/>
      <c r="AN188" s="466">
        <f t="shared" si="218"/>
        <v>3.0852636988413014E-2</v>
      </c>
      <c r="AO188" s="467"/>
    </row>
  </sheetData>
  <protectedRanges>
    <protectedRange password="CADF" sqref="B19" name="Fund Name_1_1_1_3_1_1_6"/>
    <protectedRange password="CADF" sqref="C19" name="Fund Name_1_1_1_1_1_1_6"/>
    <protectedRange password="CADF" sqref="B46" name="Yield_2_1_2_3_1_6"/>
    <protectedRange password="CADF" sqref="B51" name="Yield_2_1_2_4_1_6"/>
    <protectedRange password="CADF" sqref="B76" name="Yield_2_1_2_1_1_5"/>
    <protectedRange password="CADF" sqref="C76" name="Fund Name_2_2_1_1_7"/>
    <protectedRange password="CADF" sqref="C75" name="BidOffer Prices_2_1_1_1_1_1_1_1_1_1_6"/>
    <protectedRange password="CADF" sqref="B93:B94" name="Yield_2_1_2_6_3_3"/>
    <protectedRange password="CADF" sqref="B134 B143:B144" name="Fund Name_1_1_1_2_6"/>
    <protectedRange password="CADF" sqref="C134 C143:C144" name="Fund Name_1_1_1_1_2_7"/>
    <protectedRange password="CADF" sqref="D19" name="Fund Name_1_1_1_3_1_1_1"/>
    <protectedRange password="CADF" sqref="E19" name="Fund Name_1_1_1_1_1_1_1"/>
    <protectedRange password="CADF" sqref="D46" name="Yield_2_1_2_3_1_1"/>
    <protectedRange password="CADF" sqref="D51" name="Yield_2_1_2_4_1_1"/>
    <protectedRange password="CADF" sqref="D76" name="Yield_2_1_2_1_1_1"/>
    <protectedRange password="CADF" sqref="E76" name="Fund Name_2_2_1_1"/>
    <protectedRange password="CADF" sqref="E75" name="BidOffer Prices_2_1_1_1_1_1_1_1_1_1_1"/>
    <protectedRange password="CADF" sqref="D93:D94" name="Yield_2_1_2_6_3_4"/>
    <protectedRange password="CADF" sqref="D134 D143:D144" name="Fund Name_1_1_1_2_1"/>
    <protectedRange password="CADF" sqref="E134 E143:E144" name="Fund Name_1_1_1_1_2"/>
    <protectedRange password="CADF" sqref="H19" name="Fund Name_1_1_1_3_1_1_7"/>
    <protectedRange password="CADF" sqref="I19" name="Fund Name_1_1_1_1_1_1_8"/>
    <protectedRange password="CADF" sqref="H46" name="Yield_2_1_2_3_1_7"/>
    <protectedRange password="CADF" sqref="H51" name="Yield_2_1_2_4_1_7"/>
    <protectedRange password="CADF" sqref="H76" name="Yield_2_1_2_1_1"/>
    <protectedRange password="CADF" sqref="I76" name="Fund Name_2_2_1_1_1"/>
    <protectedRange password="CADF" sqref="I75" name="BidOffer Prices_2_1_1_1_1_1_1_1_1_1_2"/>
    <protectedRange password="CADF" sqref="H93:H94" name="Yield_2_1_2_6_3_5"/>
    <protectedRange password="CADF" sqref="H134 H143:H144" name="Fund Name_1_1_1_2_2"/>
    <protectedRange password="CADF" sqref="I134 I143:I144" name="Fund Name_1_1_1_1_2_1"/>
    <protectedRange password="CADF" sqref="L19" name="Fund Name_1_1_1_3_1_1_2"/>
    <protectedRange password="CADF" sqref="M19" name="Fund Name_1_1_1_1_1_1_2"/>
    <protectedRange password="CADF" sqref="L46" name="Yield_2_1_2_3_1"/>
    <protectedRange password="CADF" sqref="L51" name="Yield_2_1_2_4_1"/>
    <protectedRange password="CADF" sqref="L76" name="Yield_2_1_2_1_1_6"/>
    <protectedRange password="CADF" sqref="M76" name="Fund Name_2_2_1_1_2"/>
    <protectedRange password="CADF" sqref="M75" name="BidOffer Prices_2_1_1_1_1_1_1_1_1_1_7"/>
    <protectedRange password="CADF" sqref="L93:L94" name="Yield_2_1_2_6_3_6"/>
    <protectedRange password="CADF" sqref="L134 L143:L144" name="Fund Name_1_1_1_2_8"/>
    <protectedRange password="CADF" sqref="M134 M143:M144" name="Fund Name_1_1_1_1_2_2"/>
    <protectedRange password="CADF" sqref="P19" name="Fund Name_1_1_1_3_1_1_3"/>
    <protectedRange password="CADF" sqref="Q19" name="Fund Name_1_1_1_1_1_1_3"/>
    <protectedRange password="CADF" sqref="P46" name="Yield_2_1_2_3_1_2"/>
    <protectedRange password="CADF" sqref="P51" name="Yield_2_1_2_4_1_2"/>
    <protectedRange password="CADF" sqref="P76" name="Yield_2_1_2_1_1_7"/>
    <protectedRange password="CADF" sqref="Q76" name="Fund Name_2_2_1_1_8"/>
    <protectedRange password="CADF" sqref="Q75" name="BidOffer Prices_2_1_1_1_1_1_1_1_1_1_8"/>
    <protectedRange password="CADF" sqref="P93:P94" name="Yield_2_1_2_6_3_7"/>
    <protectedRange password="CADF" sqref="P134 P143:P144" name="Fund Name_1_1_1_2_3"/>
    <protectedRange password="CADF" sqref="Q134 Q143:Q144" name="Fund Name_1_1_1_1_2_3"/>
    <protectedRange password="CADF" sqref="T19" name="Fund Name_1_1_1_3_1_1_8"/>
    <protectedRange password="CADF" sqref="U19" name="Fund Name_1_1_1_1_1_1_7"/>
    <protectedRange password="CADF" sqref="T46" name="Yield_2_1_2_3_1_8"/>
    <protectedRange password="CADF" sqref="T51" name="Yield_2_1_2_4_1_8"/>
    <protectedRange password="CADF" sqref="T76" name="Yield_2_1_2_1_1_8"/>
    <protectedRange password="CADF" sqref="U76" name="Fund Name_2_2_1_1_9"/>
    <protectedRange password="CADF" sqref="U75" name="BidOffer Prices_2_1_1_1_1_1_1_1_1_1_9"/>
    <protectedRange password="CADF" sqref="T93:T94" name="Yield_2_1_2_6_3_8"/>
    <protectedRange password="CADF" sqref="T134 T143:T144" name="Fund Name_1_1_1_2_7"/>
    <protectedRange password="CADF" sqref="U134 U143:U144" name="Fund Name_1_1_1_1_2_8"/>
    <protectedRange password="CADF" sqref="X19" name="Fund Name_1_1_1_3_1_1_4"/>
    <protectedRange password="CADF" sqref="X46" name="Yield_2_1_2_3_1_3"/>
    <protectedRange password="CADF" sqref="X51" name="Yield_2_1_2_4_1_3"/>
    <protectedRange password="CADF" sqref="X76" name="Yield_2_1_2_1_1_2"/>
    <protectedRange password="CADF" sqref="Y76" name="Fund Name_2_2_1_1_3"/>
    <protectedRange password="CADF" sqref="Y75" name="BidOffer Prices_2_1_1_1_1_1_1_1_1_1"/>
    <protectedRange password="CADF" sqref="X93:X94" name="Yield_2_1_2_6_3"/>
    <protectedRange password="CADF" sqref="X134 X143:X144" name="Fund Name_1_1_1_2"/>
    <protectedRange password="CADF" sqref="Y134 Y143:Y144" name="Fund Name_1_1_1_1_2_4"/>
    <protectedRange password="CADF" sqref="AB19" name="Fund Name_1_1_1_3_1_1"/>
    <protectedRange password="CADF" sqref="AB15" name="Yield_2_1_2_5"/>
    <protectedRange password="CADF" sqref="AC19" name="Fund Name_1_1_1_1_1_1_4"/>
    <protectedRange password="CADF" sqref="AB76" name="Yield_2_1_2_1_1_3"/>
    <protectedRange password="CADF" sqref="AC76" name="Fund Name_2_2_1_1_4"/>
    <protectedRange password="CADF" sqref="AC75" name="BidOffer Prices_2_1_1_1_1_1_1_1_1_1_3"/>
    <protectedRange password="CADF" sqref="AB93:AB94" name="Yield_2_1_2_6_3_1"/>
    <protectedRange password="CADF" sqref="AB134 AB143:AB144" name="Fund Name_1_1_1_2_4"/>
    <protectedRange password="CADF" sqref="AC134 AC143:AC144" name="Fund Name_1_1_1_1_2_5"/>
    <protectedRange password="CADF" sqref="Y19" name="Fund Name_1_1_1_1_1_1_9"/>
    <protectedRange password="CADF" sqref="AB46" name="Yield_2_1_2_3_1_9"/>
    <protectedRange password="CADF" sqref="AB51" name="Yield_2_1_2_4_1_9"/>
    <protectedRange password="CADF" sqref="AF19" name="Fund Name_1_1_1_3_1_1_9"/>
    <protectedRange password="CADF" sqref="AF15" name="Yield_2_1_2_5_1"/>
    <protectedRange password="CADF" sqref="AG19" name="Fund Name_1_1_1_1_1_1"/>
    <protectedRange password="CADF" sqref="AF46" name="Yield_2_1_2_3_1_4"/>
    <protectedRange password="CADF" sqref="AF51" name="Yield_2_1_2_4_1_4"/>
    <protectedRange password="CADF" sqref="AF76" name="Yield_2_1_2_1_1_9"/>
    <protectedRange password="CADF" sqref="AG76" name="Fund Name_2_2_1_1_5"/>
    <protectedRange password="CADF" sqref="AG75" name="BidOffer Prices_2_1_1_1_1_1_1_1_1_1_4"/>
    <protectedRange password="CADF" sqref="AF93:AF94" name="Yield_2_1_2_6_3_9"/>
    <protectedRange password="CADF" sqref="AF134 AF143:AF144" name="Fund Name_1_1_1_2_9"/>
    <protectedRange password="CADF" sqref="AG134 AG143:AG144" name="Fund Name_1_1_1_1_2_9"/>
  </protectedRanges>
  <sortState ref="A174:AO185">
    <sortCondition ref="A174:A185"/>
  </sortState>
  <mergeCells count="32">
    <mergeCell ref="A1:AO1"/>
    <mergeCell ref="AN2:AO2"/>
    <mergeCell ref="AL2:AM2"/>
    <mergeCell ref="AJ2:AK2"/>
    <mergeCell ref="B2:C2"/>
    <mergeCell ref="D2:E2"/>
    <mergeCell ref="F2:G2"/>
    <mergeCell ref="H2:I2"/>
    <mergeCell ref="J2:K2"/>
    <mergeCell ref="L2:M2"/>
    <mergeCell ref="P2:Q2"/>
    <mergeCell ref="T2:U2"/>
    <mergeCell ref="AF2:AG2"/>
    <mergeCell ref="AH2:AI2"/>
    <mergeCell ref="AQ2:AR2"/>
    <mergeCell ref="AQ127:AR127"/>
    <mergeCell ref="T174:U174"/>
    <mergeCell ref="X2:Y2"/>
    <mergeCell ref="Z2:AA2"/>
    <mergeCell ref="AB2:AC2"/>
    <mergeCell ref="AD2:AE2"/>
    <mergeCell ref="AB174:AC174"/>
    <mergeCell ref="X174:Y174"/>
    <mergeCell ref="AF174:AG174"/>
    <mergeCell ref="B174:C174"/>
    <mergeCell ref="D174:E174"/>
    <mergeCell ref="V2:W2"/>
    <mergeCell ref="N2:O2"/>
    <mergeCell ref="R2:S2"/>
    <mergeCell ref="P174:Q174"/>
    <mergeCell ref="H174:I174"/>
    <mergeCell ref="L174:M17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</vt:lpstr>
      <vt:lpstr>Market Share</vt:lpstr>
      <vt:lpstr>NAV Trend</vt:lpstr>
      <vt:lpstr>Volatility Measure</vt:lpstr>
      <vt:lpstr>NAV COMPARISON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2023-07-03T10:46:44Z</dcterms:modified>
</cp:coreProperties>
</file>