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NAV COMPARISON" sheetId="13" r:id="rId2"/>
    <sheet name="Market Share" sheetId="12" r:id="rId3"/>
    <sheet name="Total NAV" sheetId="8" r:id="rId4"/>
    <sheet name="Sector Trend" sheetId="4" r:id="rId5"/>
    <sheet name="NAV Trend" sheetId="1" state="hidden" r:id="rId6"/>
    <sheet name="Volatility Measure" sheetId="11" r:id="rId7"/>
  </sheets>
  <definedNames>
    <definedName name="_GoBack" localSheetId="0">Data!#REF!</definedName>
    <definedName name="OLE_LINK6" localSheetId="0">Data!$K$65</definedName>
    <definedName name="_xlnm.Print_Area" localSheetId="0">Data!$A$1:$AQ$193</definedName>
    <definedName name="_xlnm.Print_Area" localSheetId="5">'NAV Trend'!$B$1:$J$10</definedName>
  </definedNames>
  <calcPr calcId="162913"/>
</workbook>
</file>

<file path=xl/calcChain.xml><?xml version="1.0" encoding="utf-8"?>
<calcChain xmlns="http://schemas.openxmlformats.org/spreadsheetml/2006/main">
  <c r="AJ176" i="11" l="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K182" i="11"/>
  <c r="AL182" i="11"/>
  <c r="AM182" i="11"/>
  <c r="AN182" i="11"/>
  <c r="AO182" i="11"/>
  <c r="AJ183" i="11"/>
  <c r="AK183" i="11"/>
  <c r="AL183" i="11"/>
  <c r="AM183" i="11"/>
  <c r="AN183" i="11"/>
  <c r="AO183" i="11"/>
  <c r="AJ184" i="11"/>
  <c r="AK184" i="11"/>
  <c r="AL184" i="11"/>
  <c r="AM184" i="11"/>
  <c r="AN184" i="11"/>
  <c r="AO184" i="11"/>
  <c r="AJ185" i="11"/>
  <c r="AK185" i="11"/>
  <c r="AL185" i="11"/>
  <c r="AM185" i="11"/>
  <c r="AN185" i="11"/>
  <c r="AO185" i="11"/>
  <c r="AJ186" i="11"/>
  <c r="AK186" i="11"/>
  <c r="AL186" i="11"/>
  <c r="AM186" i="11"/>
  <c r="AN186" i="11"/>
  <c r="AO186" i="11"/>
  <c r="AJ187" i="11"/>
  <c r="AL187" i="11"/>
  <c r="AN187" i="11"/>
  <c r="AJ188" i="11"/>
  <c r="AL188" i="11"/>
  <c r="AN188" i="11"/>
  <c r="AO175" i="11"/>
  <c r="AN175" i="11"/>
  <c r="AM175" i="11"/>
  <c r="AL175" i="11"/>
  <c r="AK175" i="11"/>
  <c r="AJ175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L118" i="11"/>
  <c r="AN118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L145" i="11"/>
  <c r="AN145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L151" i="11"/>
  <c r="AN151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J159" i="11"/>
  <c r="AK159" i="11"/>
  <c r="AL159" i="11"/>
  <c r="AM159" i="11"/>
  <c r="AN159" i="11"/>
  <c r="AO159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L166" i="11"/>
  <c r="AN166" i="11"/>
  <c r="AJ167" i="11"/>
  <c r="AL167" i="11"/>
  <c r="AN167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O5" i="11"/>
  <c r="AN5" i="11"/>
  <c r="AM5" i="11"/>
  <c r="AL5" i="11"/>
  <c r="AK5" i="11"/>
  <c r="AJ5" i="11"/>
  <c r="AF188" i="11"/>
  <c r="AF187" i="11"/>
  <c r="AF172" i="11"/>
  <c r="AF167" i="11"/>
  <c r="AH167" i="11" s="1"/>
  <c r="AF166" i="11"/>
  <c r="AF151" i="11"/>
  <c r="AH151" i="11" s="1"/>
  <c r="AF145" i="11"/>
  <c r="AH145" i="11" s="1"/>
  <c r="AF118" i="11"/>
  <c r="AG106" i="11"/>
  <c r="AG103" i="11"/>
  <c r="AI103" i="11" s="1"/>
  <c r="AF103" i="11"/>
  <c r="AF111" i="11" s="1"/>
  <c r="AH99" i="11" s="1"/>
  <c r="AG98" i="11"/>
  <c r="AI98" i="11" s="1"/>
  <c r="AG97" i="11"/>
  <c r="AI97" i="11" s="1"/>
  <c r="AG95" i="11"/>
  <c r="AI95" i="11" s="1"/>
  <c r="AG91" i="11"/>
  <c r="AG90" i="11"/>
  <c r="AF98" i="11"/>
  <c r="AF97" i="11"/>
  <c r="AF95" i="11"/>
  <c r="AH95" i="11" s="1"/>
  <c r="AF91" i="11"/>
  <c r="AF86" i="11"/>
  <c r="AF53" i="11"/>
  <c r="AF21" i="11"/>
  <c r="AH21" i="11" s="1"/>
  <c r="J10" i="1"/>
  <c r="I10" i="1"/>
  <c r="H10" i="1"/>
  <c r="G10" i="1"/>
  <c r="F10" i="1"/>
  <c r="E10" i="1"/>
  <c r="D10" i="1"/>
  <c r="C10" i="1"/>
  <c r="AI186" i="11"/>
  <c r="AH186" i="11"/>
  <c r="AI185" i="11"/>
  <c r="AH185" i="1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1" i="11"/>
  <c r="AH171" i="11"/>
  <c r="AI170" i="11"/>
  <c r="AH170" i="11"/>
  <c r="AH166" i="11"/>
  <c r="AI165" i="11"/>
  <c r="AH165" i="11"/>
  <c r="AI164" i="11"/>
  <c r="AH164" i="11"/>
  <c r="AI163" i="11"/>
  <c r="AH163" i="11"/>
  <c r="AI162" i="11"/>
  <c r="AH162" i="11"/>
  <c r="AI161" i="11"/>
  <c r="AH161" i="11"/>
  <c r="AI160" i="11"/>
  <c r="AH160" i="11"/>
  <c r="AI159" i="11"/>
  <c r="AH159" i="11"/>
  <c r="AI156" i="11"/>
  <c r="AH156" i="11"/>
  <c r="AI155" i="11"/>
  <c r="AH155" i="11"/>
  <c r="AI150" i="11"/>
  <c r="AH150" i="11"/>
  <c r="AI149" i="11"/>
  <c r="AH149" i="11"/>
  <c r="AI148" i="11"/>
  <c r="AH148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H118" i="11"/>
  <c r="AI117" i="11"/>
  <c r="AH117" i="11"/>
  <c r="AI116" i="11"/>
  <c r="AH116" i="11"/>
  <c r="AI115" i="11"/>
  <c r="AH115" i="11"/>
  <c r="AI114" i="11"/>
  <c r="AH114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2" i="11"/>
  <c r="AH102" i="11"/>
  <c r="AI99" i="11"/>
  <c r="AH98" i="11"/>
  <c r="AH97" i="11"/>
  <c r="AI96" i="11"/>
  <c r="AH96" i="11"/>
  <c r="AI94" i="11"/>
  <c r="AH94" i="11"/>
  <c r="AI93" i="11"/>
  <c r="AH93" i="11"/>
  <c r="AI92" i="11"/>
  <c r="AH92" i="11"/>
  <c r="AI91" i="11"/>
  <c r="AH91" i="11"/>
  <c r="AI90" i="11"/>
  <c r="AH90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H188" i="11" l="1"/>
  <c r="AH187" i="11"/>
  <c r="AH103" i="11"/>
  <c r="M96" i="9" l="1"/>
  <c r="L96" i="9"/>
  <c r="J96" i="9"/>
  <c r="M104" i="9" l="1"/>
  <c r="L104" i="9"/>
  <c r="J104" i="9"/>
  <c r="M107" i="9" l="1"/>
  <c r="L107" i="9"/>
  <c r="M92" i="9" l="1"/>
  <c r="L92" i="9"/>
  <c r="J92" i="9"/>
  <c r="M91" i="9" l="1"/>
  <c r="L91" i="9"/>
  <c r="M99" i="9" l="1"/>
  <c r="L99" i="9"/>
  <c r="J99" i="9"/>
  <c r="M98" i="9" l="1"/>
  <c r="L98" i="9"/>
  <c r="J98" i="9"/>
  <c r="D193" i="9"/>
  <c r="D192" i="9"/>
  <c r="D167" i="9"/>
  <c r="D168" i="9" s="1"/>
  <c r="D152" i="9"/>
  <c r="D146" i="9"/>
  <c r="D119" i="9"/>
  <c r="G107" i="9"/>
  <c r="F107" i="9"/>
  <c r="G104" i="9"/>
  <c r="F104" i="9"/>
  <c r="D112" i="9"/>
  <c r="D104" i="9"/>
  <c r="G99" i="9"/>
  <c r="F99" i="9"/>
  <c r="G98" i="9"/>
  <c r="F98" i="9"/>
  <c r="G96" i="9"/>
  <c r="F96" i="9"/>
  <c r="G92" i="9"/>
  <c r="F92" i="9"/>
  <c r="G91" i="9"/>
  <c r="F91" i="9"/>
  <c r="D99" i="9"/>
  <c r="D98" i="9"/>
  <c r="D96" i="9"/>
  <c r="D92" i="9"/>
  <c r="D87" i="9"/>
  <c r="D54" i="9"/>
  <c r="D22" i="9"/>
  <c r="AB187" i="11" l="1"/>
  <c r="AB172" i="11"/>
  <c r="AB166" i="11"/>
  <c r="AB151" i="11"/>
  <c r="AB145" i="11"/>
  <c r="AB118" i="11"/>
  <c r="AC106" i="11"/>
  <c r="AC103" i="11"/>
  <c r="AB103" i="11"/>
  <c r="AD90" i="11" s="1"/>
  <c r="AC98" i="11"/>
  <c r="AC97" i="11"/>
  <c r="AC95" i="11"/>
  <c r="AC91" i="11"/>
  <c r="AC90" i="11"/>
  <c r="AB98" i="11"/>
  <c r="AB97" i="11"/>
  <c r="AB95" i="11"/>
  <c r="AB91" i="11"/>
  <c r="AB86" i="11"/>
  <c r="AB53" i="11"/>
  <c r="AB21" i="11"/>
  <c r="AE186" i="11"/>
  <c r="AD186" i="11"/>
  <c r="AE185" i="11"/>
  <c r="AD185" i="1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1" i="11"/>
  <c r="AD171" i="11"/>
  <c r="AE170" i="11"/>
  <c r="AD170" i="11"/>
  <c r="AE165" i="11"/>
  <c r="AD165" i="11"/>
  <c r="AE164" i="11"/>
  <c r="AD164" i="11"/>
  <c r="AE163" i="11"/>
  <c r="AD163" i="11"/>
  <c r="AE162" i="11"/>
  <c r="AD162" i="11"/>
  <c r="AE161" i="11"/>
  <c r="AD161" i="11"/>
  <c r="AE160" i="11"/>
  <c r="AD160" i="11"/>
  <c r="AE159" i="11"/>
  <c r="AD159" i="11"/>
  <c r="AE156" i="11"/>
  <c r="AD156" i="11"/>
  <c r="AE155" i="11"/>
  <c r="AD155" i="11"/>
  <c r="AE150" i="11"/>
  <c r="AD150" i="11"/>
  <c r="AE149" i="11"/>
  <c r="AD149" i="11"/>
  <c r="AE148" i="11"/>
  <c r="AD148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17" i="11"/>
  <c r="AD117" i="11"/>
  <c r="AE116" i="11"/>
  <c r="AD116" i="11"/>
  <c r="AE115" i="11"/>
  <c r="AD115" i="11"/>
  <c r="AE114" i="11"/>
  <c r="AD114" i="11"/>
  <c r="AE110" i="11"/>
  <c r="AD110" i="11"/>
  <c r="AE109" i="11"/>
  <c r="AD109" i="11"/>
  <c r="AE108" i="11"/>
  <c r="AD108" i="11"/>
  <c r="AE107" i="11"/>
  <c r="AD107" i="11"/>
  <c r="AD106" i="11"/>
  <c r="AE105" i="11"/>
  <c r="AD105" i="11"/>
  <c r="AE104" i="11"/>
  <c r="AD104" i="11"/>
  <c r="AE102" i="11"/>
  <c r="AD102" i="11"/>
  <c r="AE99" i="11"/>
  <c r="AE96" i="11"/>
  <c r="AD96" i="11"/>
  <c r="AE94" i="11"/>
  <c r="AD94" i="11"/>
  <c r="AE93" i="11"/>
  <c r="AD93" i="11"/>
  <c r="AE92" i="11"/>
  <c r="AD92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11" i="11" l="1"/>
  <c r="AB167" i="11" s="1"/>
  <c r="AD99" i="11" l="1"/>
  <c r="AB188" i="11"/>
  <c r="D175" i="9"/>
  <c r="X187" i="11" l="1"/>
  <c r="AD187" i="11" s="1"/>
  <c r="X172" i="11"/>
  <c r="X166" i="11"/>
  <c r="AD166" i="11" s="1"/>
  <c r="X151" i="11"/>
  <c r="AD151" i="11" s="1"/>
  <c r="X145" i="11"/>
  <c r="AD145" i="11" s="1"/>
  <c r="X118" i="11"/>
  <c r="AD118" i="11" s="1"/>
  <c r="Y106" i="11"/>
  <c r="AE106" i="11" s="1"/>
  <c r="Y103" i="11"/>
  <c r="AE103" i="11" s="1"/>
  <c r="X103" i="11"/>
  <c r="Y98" i="11"/>
  <c r="AE98" i="11" s="1"/>
  <c r="Y97" i="11"/>
  <c r="AE97" i="11" s="1"/>
  <c r="Y95" i="11"/>
  <c r="AE95" i="11" s="1"/>
  <c r="Y91" i="11"/>
  <c r="AE91" i="11" s="1"/>
  <c r="Y90" i="11"/>
  <c r="AE90" i="11" s="1"/>
  <c r="X98" i="11"/>
  <c r="AD98" i="11" s="1"/>
  <c r="X97" i="11"/>
  <c r="AD97" i="11" s="1"/>
  <c r="X95" i="11"/>
  <c r="AD95" i="11" s="1"/>
  <c r="X91" i="11"/>
  <c r="AD91" i="11" s="1"/>
  <c r="X86" i="11"/>
  <c r="AD86" i="11" s="1"/>
  <c r="X53" i="11"/>
  <c r="AD53" i="11" s="1"/>
  <c r="X21" i="11"/>
  <c r="AD21" i="11" s="1"/>
  <c r="AA186" i="11"/>
  <c r="Z186" i="11"/>
  <c r="AA185" i="11"/>
  <c r="Z185" i="1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1" i="11"/>
  <c r="Z171" i="11"/>
  <c r="AA170" i="11"/>
  <c r="Z170" i="11"/>
  <c r="AA165" i="11"/>
  <c r="Z165" i="11"/>
  <c r="AA164" i="11"/>
  <c r="Z164" i="11"/>
  <c r="AA163" i="11"/>
  <c r="Z163" i="11"/>
  <c r="AA162" i="11"/>
  <c r="Z162" i="11"/>
  <c r="AA161" i="11"/>
  <c r="Z161" i="11"/>
  <c r="AA160" i="11"/>
  <c r="Z160" i="11"/>
  <c r="AA159" i="11"/>
  <c r="Z159" i="11"/>
  <c r="AA156" i="11"/>
  <c r="Z156" i="11"/>
  <c r="AA155" i="11"/>
  <c r="Z155" i="11"/>
  <c r="AA150" i="11"/>
  <c r="Z150" i="11"/>
  <c r="AA149" i="11"/>
  <c r="Z149" i="11"/>
  <c r="AA148" i="11"/>
  <c r="Z148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17" i="11"/>
  <c r="Z117" i="11"/>
  <c r="AA116" i="11"/>
  <c r="Z116" i="11"/>
  <c r="AA115" i="11"/>
  <c r="Z115" i="11"/>
  <c r="AA114" i="11"/>
  <c r="Z114" i="11"/>
  <c r="AA110" i="11"/>
  <c r="Z110" i="11"/>
  <c r="AA109" i="11"/>
  <c r="Z109" i="11"/>
  <c r="AA108" i="11"/>
  <c r="Z108" i="11"/>
  <c r="AA107" i="11"/>
  <c r="Z107" i="11"/>
  <c r="Z106" i="11"/>
  <c r="AA105" i="11"/>
  <c r="Z105" i="11"/>
  <c r="AA104" i="11"/>
  <c r="Z104" i="11"/>
  <c r="AA102" i="11"/>
  <c r="Z102" i="11"/>
  <c r="AA99" i="11"/>
  <c r="AA96" i="11"/>
  <c r="Z96" i="11"/>
  <c r="AA94" i="11"/>
  <c r="Z94" i="11"/>
  <c r="AA93" i="11"/>
  <c r="Z93" i="11"/>
  <c r="AA92" i="11"/>
  <c r="Z92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Z90" i="11" l="1"/>
  <c r="AD103" i="11"/>
  <c r="X111" i="11"/>
  <c r="X167" i="11" s="1"/>
  <c r="AD167" i="11" s="1"/>
  <c r="Z99" i="11" l="1"/>
  <c r="X188" i="11"/>
  <c r="AD188" i="11" s="1"/>
  <c r="T187" i="11" l="1"/>
  <c r="Z187" i="11" s="1"/>
  <c r="T172" i="11"/>
  <c r="T166" i="11"/>
  <c r="Z166" i="11" s="1"/>
  <c r="T151" i="11"/>
  <c r="Z151" i="11" s="1"/>
  <c r="T145" i="11"/>
  <c r="Z145" i="11" s="1"/>
  <c r="T118" i="11"/>
  <c r="Z118" i="11" s="1"/>
  <c r="U106" i="11"/>
  <c r="AA106" i="11" s="1"/>
  <c r="U103" i="11"/>
  <c r="AA103" i="11" s="1"/>
  <c r="T103" i="11"/>
  <c r="U98" i="11"/>
  <c r="AA98" i="11" s="1"/>
  <c r="U97" i="11"/>
  <c r="AA97" i="11" s="1"/>
  <c r="U95" i="11"/>
  <c r="AA95" i="11" s="1"/>
  <c r="U91" i="11"/>
  <c r="AA91" i="11" s="1"/>
  <c r="U90" i="11"/>
  <c r="AA90" i="11" s="1"/>
  <c r="T98" i="11"/>
  <c r="Z98" i="11" s="1"/>
  <c r="T97" i="11"/>
  <c r="Z97" i="11" s="1"/>
  <c r="T95" i="11"/>
  <c r="Z95" i="11" s="1"/>
  <c r="T91" i="11"/>
  <c r="Z91" i="11" s="1"/>
  <c r="T86" i="11"/>
  <c r="Z86" i="11" s="1"/>
  <c r="T53" i="11"/>
  <c r="Z53" i="11" s="1"/>
  <c r="T21" i="11"/>
  <c r="Z21" i="11" s="1"/>
  <c r="W186" i="11"/>
  <c r="V186" i="11"/>
  <c r="W185" i="11"/>
  <c r="V185" i="1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1" i="11"/>
  <c r="V171" i="11"/>
  <c r="W170" i="11"/>
  <c r="V170" i="11"/>
  <c r="W165" i="11"/>
  <c r="V165" i="11"/>
  <c r="W164" i="11"/>
  <c r="V164" i="11"/>
  <c r="W163" i="11"/>
  <c r="V163" i="11"/>
  <c r="W162" i="11"/>
  <c r="V162" i="11"/>
  <c r="W161" i="11"/>
  <c r="V161" i="11"/>
  <c r="W160" i="11"/>
  <c r="V160" i="11"/>
  <c r="W159" i="11"/>
  <c r="V159" i="11"/>
  <c r="W156" i="11"/>
  <c r="V156" i="11"/>
  <c r="W155" i="11"/>
  <c r="V155" i="11"/>
  <c r="W150" i="11"/>
  <c r="V150" i="11"/>
  <c r="W149" i="11"/>
  <c r="V149" i="11"/>
  <c r="W148" i="11"/>
  <c r="V148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17" i="11"/>
  <c r="V117" i="11"/>
  <c r="W116" i="11"/>
  <c r="V116" i="11"/>
  <c r="W115" i="11"/>
  <c r="V115" i="11"/>
  <c r="W114" i="11"/>
  <c r="V114" i="11"/>
  <c r="W110" i="11"/>
  <c r="V110" i="11"/>
  <c r="W109" i="11"/>
  <c r="V109" i="11"/>
  <c r="W108" i="11"/>
  <c r="V108" i="11"/>
  <c r="W107" i="11"/>
  <c r="V107" i="11"/>
  <c r="V106" i="11"/>
  <c r="W105" i="11"/>
  <c r="V105" i="11"/>
  <c r="W104" i="11"/>
  <c r="V104" i="11"/>
  <c r="W102" i="11"/>
  <c r="V102" i="11"/>
  <c r="W99" i="11"/>
  <c r="W96" i="11"/>
  <c r="V96" i="11"/>
  <c r="W94" i="11"/>
  <c r="V94" i="11"/>
  <c r="W93" i="11"/>
  <c r="V93" i="11"/>
  <c r="W92" i="11"/>
  <c r="V92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V90" i="11" l="1"/>
  <c r="Z103" i="11"/>
  <c r="T111" i="11"/>
  <c r="T167" i="11" s="1"/>
  <c r="Z167" i="11" s="1"/>
  <c r="S104" i="11"/>
  <c r="R94" i="11"/>
  <c r="S94" i="11"/>
  <c r="R82" i="11"/>
  <c r="N82" i="11"/>
  <c r="J82" i="11"/>
  <c r="F82" i="11"/>
  <c r="P187" i="11"/>
  <c r="V187" i="11" s="1"/>
  <c r="P172" i="11"/>
  <c r="P166" i="11"/>
  <c r="V166" i="11" s="1"/>
  <c r="P151" i="11"/>
  <c r="V151" i="11" s="1"/>
  <c r="P145" i="11"/>
  <c r="V145" i="11" s="1"/>
  <c r="P118" i="11"/>
  <c r="V118" i="11" s="1"/>
  <c r="Q106" i="11"/>
  <c r="W106" i="11" s="1"/>
  <c r="Q103" i="11"/>
  <c r="W103" i="11" s="1"/>
  <c r="P103" i="11"/>
  <c r="V103" i="11" s="1"/>
  <c r="Q98" i="11"/>
  <c r="W98" i="11" s="1"/>
  <c r="Q97" i="11"/>
  <c r="W97" i="11" s="1"/>
  <c r="Q95" i="11"/>
  <c r="W95" i="11" s="1"/>
  <c r="Q91" i="11"/>
  <c r="W91" i="11" s="1"/>
  <c r="Q90" i="11"/>
  <c r="W90" i="11" s="1"/>
  <c r="P98" i="11"/>
  <c r="V98" i="11" s="1"/>
  <c r="P97" i="11"/>
  <c r="V97" i="11" s="1"/>
  <c r="P95" i="11"/>
  <c r="V95" i="11" s="1"/>
  <c r="P91" i="11"/>
  <c r="V91" i="11" s="1"/>
  <c r="P86" i="11"/>
  <c r="V86" i="11" s="1"/>
  <c r="P53" i="11"/>
  <c r="V53" i="11" s="1"/>
  <c r="P21" i="11"/>
  <c r="V21" i="11" s="1"/>
  <c r="F94" i="11"/>
  <c r="G94" i="11"/>
  <c r="J94" i="11"/>
  <c r="K94" i="11"/>
  <c r="N94" i="11"/>
  <c r="O94" i="11"/>
  <c r="S186" i="11"/>
  <c r="R186" i="11"/>
  <c r="S185" i="11"/>
  <c r="R185" i="11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1" i="11"/>
  <c r="R171" i="11"/>
  <c r="S170" i="11"/>
  <c r="R170" i="11"/>
  <c r="S165" i="11"/>
  <c r="R165" i="11"/>
  <c r="S164" i="11"/>
  <c r="R164" i="11"/>
  <c r="S163" i="11"/>
  <c r="R163" i="11"/>
  <c r="S162" i="11"/>
  <c r="R162" i="11"/>
  <c r="S161" i="11"/>
  <c r="R161" i="11"/>
  <c r="S160" i="11"/>
  <c r="R160" i="11"/>
  <c r="S159" i="11"/>
  <c r="R159" i="11"/>
  <c r="S156" i="11"/>
  <c r="R156" i="11"/>
  <c r="S155" i="11"/>
  <c r="R155" i="11"/>
  <c r="S150" i="11"/>
  <c r="R150" i="11"/>
  <c r="S149" i="11"/>
  <c r="R149" i="11"/>
  <c r="S148" i="11"/>
  <c r="R148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17" i="11"/>
  <c r="R117" i="11"/>
  <c r="S116" i="11"/>
  <c r="R116" i="11"/>
  <c r="S115" i="11"/>
  <c r="R115" i="11"/>
  <c r="S114" i="11"/>
  <c r="R114" i="11"/>
  <c r="S110" i="11"/>
  <c r="R110" i="11"/>
  <c r="S109" i="11"/>
  <c r="R109" i="11"/>
  <c r="S108" i="11"/>
  <c r="R108" i="11"/>
  <c r="S107" i="11"/>
  <c r="R107" i="11"/>
  <c r="R106" i="11"/>
  <c r="S105" i="11"/>
  <c r="R105" i="11"/>
  <c r="R104" i="11"/>
  <c r="S102" i="11"/>
  <c r="R102" i="11"/>
  <c r="S99" i="11"/>
  <c r="S96" i="11"/>
  <c r="R96" i="11"/>
  <c r="S93" i="11"/>
  <c r="R93" i="11"/>
  <c r="S92" i="11"/>
  <c r="R92" i="11"/>
  <c r="S85" i="11"/>
  <c r="R85" i="11"/>
  <c r="S84" i="11"/>
  <c r="R84" i="11"/>
  <c r="S83" i="11"/>
  <c r="R83" i="11"/>
  <c r="S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T188" i="11" l="1"/>
  <c r="Z188" i="11" s="1"/>
  <c r="V99" i="11"/>
  <c r="P111" i="11"/>
  <c r="R90" i="11"/>
  <c r="R99" i="11" l="1"/>
  <c r="P167" i="11"/>
  <c r="V167" i="11" s="1"/>
  <c r="Q95" i="9"/>
  <c r="P188" i="11" l="1"/>
  <c r="V188" i="11" s="1"/>
  <c r="P95" i="9"/>
  <c r="S95" i="9"/>
  <c r="R95" i="9"/>
  <c r="P94" i="9"/>
  <c r="E95" i="9" l="1"/>
  <c r="N160" i="11" l="1"/>
  <c r="N161" i="11"/>
  <c r="N162" i="11"/>
  <c r="N163" i="11"/>
  <c r="N164" i="11"/>
  <c r="N165" i="11"/>
  <c r="J160" i="11"/>
  <c r="J161" i="11"/>
  <c r="J162" i="11"/>
  <c r="J163" i="11"/>
  <c r="J164" i="11"/>
  <c r="J165" i="11"/>
  <c r="F160" i="11"/>
  <c r="F161" i="11"/>
  <c r="F162" i="11"/>
  <c r="F163" i="11"/>
  <c r="F164" i="11"/>
  <c r="F165" i="11"/>
  <c r="B91" i="11"/>
  <c r="C91" i="11"/>
  <c r="N109" i="11"/>
  <c r="O109" i="11"/>
  <c r="J109" i="11"/>
  <c r="K109" i="11"/>
  <c r="F109" i="11"/>
  <c r="G109" i="11"/>
  <c r="L145" i="11"/>
  <c r="R145" i="11" s="1"/>
  <c r="O123" i="11"/>
  <c r="N123" i="11"/>
  <c r="K123" i="11"/>
  <c r="J123" i="11"/>
  <c r="G123" i="11"/>
  <c r="F123" i="11"/>
  <c r="O133" i="11"/>
  <c r="N133" i="11"/>
  <c r="K133" i="11"/>
  <c r="J133" i="11"/>
  <c r="G133" i="11"/>
  <c r="F133" i="11"/>
  <c r="O132" i="11"/>
  <c r="N132" i="11"/>
  <c r="K132" i="11"/>
  <c r="J132" i="11"/>
  <c r="G132" i="11"/>
  <c r="F132" i="11"/>
  <c r="N96" i="11"/>
  <c r="J96" i="11"/>
  <c r="F96" i="11"/>
  <c r="O16" i="11"/>
  <c r="N16" i="11"/>
  <c r="F91" i="11" l="1"/>
  <c r="L187" i="11"/>
  <c r="R187" i="11" s="1"/>
  <c r="L172" i="11"/>
  <c r="L166" i="11"/>
  <c r="R166" i="11" s="1"/>
  <c r="L151" i="11"/>
  <c r="R151" i="11" s="1"/>
  <c r="L118" i="11"/>
  <c r="R118" i="11" s="1"/>
  <c r="M106" i="11"/>
  <c r="S106" i="11" s="1"/>
  <c r="M103" i="11"/>
  <c r="S103" i="11" s="1"/>
  <c r="L103" i="11"/>
  <c r="R103" i="11" s="1"/>
  <c r="M98" i="11"/>
  <c r="S98" i="11" s="1"/>
  <c r="M97" i="11"/>
  <c r="S97" i="11" s="1"/>
  <c r="M95" i="11"/>
  <c r="S95" i="11" s="1"/>
  <c r="M91" i="11"/>
  <c r="S91" i="11" s="1"/>
  <c r="M90" i="11"/>
  <c r="S90" i="11" s="1"/>
  <c r="L98" i="11"/>
  <c r="R98" i="11" s="1"/>
  <c r="L97" i="11"/>
  <c r="R97" i="11" s="1"/>
  <c r="L95" i="11"/>
  <c r="R95" i="11" s="1"/>
  <c r="L91" i="11"/>
  <c r="R91" i="11" s="1"/>
  <c r="L86" i="11"/>
  <c r="R86" i="11" s="1"/>
  <c r="L53" i="11"/>
  <c r="R53" i="11" s="1"/>
  <c r="L21" i="11"/>
  <c r="R21" i="11" s="1"/>
  <c r="O177" i="11"/>
  <c r="N177" i="11"/>
  <c r="O178" i="11"/>
  <c r="N178" i="11"/>
  <c r="O175" i="11"/>
  <c r="N175" i="11"/>
  <c r="O180" i="11"/>
  <c r="N180" i="11"/>
  <c r="O181" i="11"/>
  <c r="N181" i="11"/>
  <c r="O176" i="11"/>
  <c r="N176" i="11"/>
  <c r="O179" i="11"/>
  <c r="N179" i="11"/>
  <c r="O184" i="11"/>
  <c r="N184" i="11"/>
  <c r="O186" i="11"/>
  <c r="N186" i="11"/>
  <c r="O182" i="11"/>
  <c r="N182" i="11"/>
  <c r="O183" i="11"/>
  <c r="N183" i="11"/>
  <c r="O185" i="11"/>
  <c r="N185" i="11"/>
  <c r="O171" i="11"/>
  <c r="N171" i="11"/>
  <c r="O170" i="11"/>
  <c r="N170" i="11"/>
  <c r="O165" i="11"/>
  <c r="O164" i="11"/>
  <c r="O163" i="11"/>
  <c r="O162" i="11"/>
  <c r="O161" i="11"/>
  <c r="O160" i="11"/>
  <c r="O159" i="11"/>
  <c r="N159" i="11"/>
  <c r="O156" i="11"/>
  <c r="N156" i="11"/>
  <c r="O155" i="11"/>
  <c r="N155" i="11"/>
  <c r="O150" i="11"/>
  <c r="N150" i="11"/>
  <c r="O149" i="11"/>
  <c r="N149" i="11"/>
  <c r="O148" i="11"/>
  <c r="N148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2" i="11"/>
  <c r="N122" i="11"/>
  <c r="O121" i="11"/>
  <c r="N121" i="11"/>
  <c r="O117" i="11"/>
  <c r="N117" i="11"/>
  <c r="O116" i="11"/>
  <c r="N116" i="11"/>
  <c r="O115" i="11"/>
  <c r="N115" i="11"/>
  <c r="O114" i="11"/>
  <c r="N114" i="11"/>
  <c r="O110" i="11"/>
  <c r="N110" i="11"/>
  <c r="O108" i="11"/>
  <c r="N108" i="11"/>
  <c r="O107" i="11"/>
  <c r="N107" i="11"/>
  <c r="N106" i="11"/>
  <c r="O105" i="11"/>
  <c r="N105" i="11"/>
  <c r="O104" i="11"/>
  <c r="N104" i="11"/>
  <c r="O102" i="11"/>
  <c r="N102" i="11"/>
  <c r="O99" i="11"/>
  <c r="O96" i="11"/>
  <c r="O93" i="11"/>
  <c r="N93" i="11"/>
  <c r="O92" i="11"/>
  <c r="N92" i="11"/>
  <c r="O85" i="11"/>
  <c r="N85" i="11"/>
  <c r="O84" i="11"/>
  <c r="N84" i="11"/>
  <c r="O83" i="11"/>
  <c r="N83" i="11"/>
  <c r="O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9" i="11"/>
  <c r="N19" i="11"/>
  <c r="O18" i="11"/>
  <c r="N18" i="11"/>
  <c r="O17" i="11"/>
  <c r="N17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11" i="11" l="1"/>
  <c r="N90" i="11"/>
  <c r="N99" i="11" l="1"/>
  <c r="L167" i="11"/>
  <c r="R167" i="11" s="1"/>
  <c r="J152" i="9"/>
  <c r="K150" i="9" s="1"/>
  <c r="L188" i="11" l="1"/>
  <c r="R188" i="11" s="1"/>
  <c r="K149" i="9"/>
  <c r="K151" i="9"/>
  <c r="K171" i="11" l="1"/>
  <c r="J171" i="11"/>
  <c r="G171" i="11"/>
  <c r="F171" i="11"/>
  <c r="H187" i="11"/>
  <c r="N187" i="11" s="1"/>
  <c r="H172" i="11"/>
  <c r="H166" i="11"/>
  <c r="H151" i="11"/>
  <c r="N151" i="11" s="1"/>
  <c r="H145" i="11"/>
  <c r="N145" i="11" s="1"/>
  <c r="H118" i="11"/>
  <c r="N118" i="11" s="1"/>
  <c r="I103" i="11"/>
  <c r="O103" i="11" s="1"/>
  <c r="I106" i="11"/>
  <c r="O106" i="11" s="1"/>
  <c r="H103" i="11"/>
  <c r="N103" i="11" s="1"/>
  <c r="I97" i="11"/>
  <c r="O97" i="11" s="1"/>
  <c r="I95" i="11"/>
  <c r="O95" i="11" s="1"/>
  <c r="I91" i="11"/>
  <c r="O91" i="11" s="1"/>
  <c r="I90" i="11"/>
  <c r="O90" i="11" s="1"/>
  <c r="I98" i="11"/>
  <c r="O98" i="11" s="1"/>
  <c r="H97" i="11"/>
  <c r="N97" i="11" s="1"/>
  <c r="H95" i="11"/>
  <c r="N95" i="11" s="1"/>
  <c r="H91" i="11"/>
  <c r="N91" i="11" s="1"/>
  <c r="H98" i="11"/>
  <c r="N98" i="11" s="1"/>
  <c r="H86" i="11"/>
  <c r="N86" i="11" s="1"/>
  <c r="H53" i="11"/>
  <c r="N53" i="11" s="1"/>
  <c r="H21" i="11"/>
  <c r="N21" i="11" s="1"/>
  <c r="N166" i="11" l="1"/>
  <c r="H111" i="11"/>
  <c r="J99" i="11" s="1"/>
  <c r="K177" i="11"/>
  <c r="J177" i="11"/>
  <c r="K178" i="11"/>
  <c r="J178" i="11"/>
  <c r="K175" i="11"/>
  <c r="J175" i="11"/>
  <c r="K180" i="11"/>
  <c r="J180" i="11"/>
  <c r="K181" i="11"/>
  <c r="J181" i="11"/>
  <c r="K176" i="11"/>
  <c r="J176" i="11"/>
  <c r="K179" i="11"/>
  <c r="J179" i="11"/>
  <c r="K184" i="11"/>
  <c r="J184" i="11"/>
  <c r="K186" i="11"/>
  <c r="J186" i="11"/>
  <c r="K182" i="11"/>
  <c r="J182" i="11"/>
  <c r="K183" i="11"/>
  <c r="J183" i="11"/>
  <c r="K185" i="11"/>
  <c r="J185" i="11"/>
  <c r="K170" i="11"/>
  <c r="J170" i="11"/>
  <c r="K161" i="11"/>
  <c r="K160" i="11"/>
  <c r="K159" i="11"/>
  <c r="J159" i="11"/>
  <c r="K163" i="11"/>
  <c r="K165" i="11"/>
  <c r="K162" i="11"/>
  <c r="K164" i="11"/>
  <c r="K156" i="11"/>
  <c r="J156" i="11"/>
  <c r="K155" i="11"/>
  <c r="J155" i="11"/>
  <c r="K148" i="11"/>
  <c r="J148" i="11"/>
  <c r="K150" i="11"/>
  <c r="J150" i="11"/>
  <c r="K149" i="11"/>
  <c r="J149" i="11"/>
  <c r="K139" i="11"/>
  <c r="J139" i="11"/>
  <c r="K129" i="11"/>
  <c r="J129" i="11"/>
  <c r="K127" i="11"/>
  <c r="J127" i="11"/>
  <c r="K130" i="11"/>
  <c r="J130" i="11"/>
  <c r="K136" i="11"/>
  <c r="J136" i="11"/>
  <c r="K124" i="11"/>
  <c r="J124" i="11"/>
  <c r="K134" i="11"/>
  <c r="J134" i="11"/>
  <c r="K126" i="11"/>
  <c r="J126" i="11"/>
  <c r="K121" i="11"/>
  <c r="J121" i="11"/>
  <c r="K128" i="11"/>
  <c r="J128" i="11"/>
  <c r="K141" i="11"/>
  <c r="J141" i="11"/>
  <c r="K137" i="11"/>
  <c r="J137" i="11"/>
  <c r="K143" i="11"/>
  <c r="J143" i="11"/>
  <c r="K135" i="11"/>
  <c r="J135" i="11"/>
  <c r="K125" i="11"/>
  <c r="J125" i="11"/>
  <c r="K142" i="11"/>
  <c r="J142" i="11"/>
  <c r="K131" i="11"/>
  <c r="J131" i="11"/>
  <c r="K122" i="11"/>
  <c r="J122" i="11"/>
  <c r="K140" i="11"/>
  <c r="J140" i="11"/>
  <c r="K144" i="11"/>
  <c r="J144" i="11"/>
  <c r="K138" i="11"/>
  <c r="J138" i="11"/>
  <c r="K114" i="11"/>
  <c r="J114" i="11"/>
  <c r="K117" i="11"/>
  <c r="J117" i="11"/>
  <c r="K116" i="11"/>
  <c r="J116" i="11"/>
  <c r="K115" i="11"/>
  <c r="J115" i="11"/>
  <c r="J106" i="11"/>
  <c r="K107" i="11"/>
  <c r="J107" i="11"/>
  <c r="K105" i="11"/>
  <c r="J105" i="11"/>
  <c r="K102" i="11"/>
  <c r="J102" i="11"/>
  <c r="K104" i="11"/>
  <c r="J104" i="11"/>
  <c r="K110" i="11"/>
  <c r="J110" i="11"/>
  <c r="K108" i="11"/>
  <c r="J108" i="11"/>
  <c r="K92" i="11"/>
  <c r="J92" i="11"/>
  <c r="J90" i="11"/>
  <c r="K96" i="11"/>
  <c r="K99" i="11"/>
  <c r="K93" i="11"/>
  <c r="J93" i="11"/>
  <c r="K82" i="11"/>
  <c r="K65" i="11"/>
  <c r="J65" i="11"/>
  <c r="K58" i="11"/>
  <c r="J58" i="11"/>
  <c r="K63" i="11"/>
  <c r="J63" i="11"/>
  <c r="K74" i="11"/>
  <c r="J74" i="11"/>
  <c r="K60" i="11"/>
  <c r="J60" i="11"/>
  <c r="K59" i="11"/>
  <c r="J59" i="11"/>
  <c r="K80" i="11"/>
  <c r="J80" i="11"/>
  <c r="K57" i="11"/>
  <c r="J57" i="11"/>
  <c r="K56" i="11"/>
  <c r="J56" i="11"/>
  <c r="K64" i="11"/>
  <c r="J64" i="11"/>
  <c r="K70" i="11"/>
  <c r="J70" i="11"/>
  <c r="K66" i="11"/>
  <c r="J66" i="11"/>
  <c r="K69" i="11"/>
  <c r="J69" i="11"/>
  <c r="K72" i="11"/>
  <c r="J72" i="11"/>
  <c r="K75" i="11"/>
  <c r="J75" i="11"/>
  <c r="K79" i="11"/>
  <c r="J79" i="11"/>
  <c r="K77" i="11"/>
  <c r="J77" i="11"/>
  <c r="K71" i="11"/>
  <c r="J71" i="11"/>
  <c r="K76" i="11"/>
  <c r="J76" i="11"/>
  <c r="K81" i="11"/>
  <c r="J81" i="11"/>
  <c r="K61" i="11"/>
  <c r="J61" i="11"/>
  <c r="K85" i="11"/>
  <c r="J85" i="11"/>
  <c r="K84" i="11"/>
  <c r="J84" i="11"/>
  <c r="K83" i="11"/>
  <c r="J83" i="11"/>
  <c r="K62" i="11"/>
  <c r="J62" i="11"/>
  <c r="K67" i="11"/>
  <c r="J67" i="11"/>
  <c r="K68" i="11"/>
  <c r="J68" i="11"/>
  <c r="K73" i="11"/>
  <c r="J73" i="11"/>
  <c r="K78" i="11"/>
  <c r="J78" i="11"/>
  <c r="K44" i="11"/>
  <c r="J44" i="11"/>
  <c r="K33" i="11"/>
  <c r="J33" i="11"/>
  <c r="K37" i="11"/>
  <c r="J37" i="11"/>
  <c r="K45" i="11"/>
  <c r="J45" i="11"/>
  <c r="K50" i="11"/>
  <c r="J50" i="11"/>
  <c r="K48" i="11"/>
  <c r="J48" i="11"/>
  <c r="K27" i="11"/>
  <c r="J27" i="11"/>
  <c r="K38" i="11"/>
  <c r="J38" i="11"/>
  <c r="K31" i="11"/>
  <c r="J31" i="11"/>
  <c r="K51" i="11"/>
  <c r="J51" i="11"/>
  <c r="K40" i="11"/>
  <c r="J40" i="11"/>
  <c r="K42" i="11"/>
  <c r="J42" i="11"/>
  <c r="K25" i="11"/>
  <c r="J25" i="11"/>
  <c r="K52" i="11"/>
  <c r="J52" i="11"/>
  <c r="K34" i="11"/>
  <c r="J34" i="11"/>
  <c r="K36" i="11"/>
  <c r="J36" i="11"/>
  <c r="K35" i="11"/>
  <c r="J35" i="11"/>
  <c r="K24" i="11"/>
  <c r="J24" i="11"/>
  <c r="K30" i="11"/>
  <c r="J30" i="11"/>
  <c r="K46" i="11"/>
  <c r="J46" i="11"/>
  <c r="K32" i="11"/>
  <c r="J32" i="11"/>
  <c r="K41" i="11"/>
  <c r="J41" i="11"/>
  <c r="K29" i="11"/>
  <c r="J29" i="11"/>
  <c r="K43" i="11"/>
  <c r="J43" i="11"/>
  <c r="K28" i="11"/>
  <c r="J28" i="11"/>
  <c r="K26" i="11"/>
  <c r="J26" i="11"/>
  <c r="K49" i="11"/>
  <c r="J49" i="11"/>
  <c r="K39" i="11"/>
  <c r="J39" i="11"/>
  <c r="K47" i="11"/>
  <c r="J47" i="11"/>
  <c r="K18" i="11"/>
  <c r="J18" i="11"/>
  <c r="K11" i="11"/>
  <c r="J11" i="11"/>
  <c r="K6" i="11"/>
  <c r="J6" i="11"/>
  <c r="K14" i="11"/>
  <c r="J14" i="11"/>
  <c r="K20" i="11"/>
  <c r="J20" i="11"/>
  <c r="K8" i="11"/>
  <c r="J8" i="11"/>
  <c r="K16" i="11"/>
  <c r="J16" i="11"/>
  <c r="K13" i="11"/>
  <c r="J13" i="11"/>
  <c r="K9" i="11"/>
  <c r="J9" i="11"/>
  <c r="K7" i="11"/>
  <c r="J7" i="11"/>
  <c r="K19" i="11"/>
  <c r="J19" i="11"/>
  <c r="K5" i="11"/>
  <c r="J5" i="11"/>
  <c r="K15" i="11"/>
  <c r="J15" i="11"/>
  <c r="K10" i="11"/>
  <c r="J10" i="11"/>
  <c r="K12" i="11"/>
  <c r="J12" i="11"/>
  <c r="K17" i="11"/>
  <c r="J17" i="11"/>
  <c r="H167" i="11" l="1"/>
  <c r="N167" i="11" l="1"/>
  <c r="H188" i="11"/>
  <c r="N188" i="11" s="1"/>
  <c r="D187" i="11"/>
  <c r="J187" i="11" s="1"/>
  <c r="D172" i="11"/>
  <c r="D166" i="11"/>
  <c r="D151" i="11"/>
  <c r="J151" i="11" s="1"/>
  <c r="D145" i="11"/>
  <c r="J145" i="11" s="1"/>
  <c r="D118" i="11"/>
  <c r="J118" i="11" s="1"/>
  <c r="E103" i="11"/>
  <c r="K103" i="11" s="1"/>
  <c r="E106" i="11"/>
  <c r="K106" i="11" s="1"/>
  <c r="D103" i="11"/>
  <c r="J103" i="11" s="1"/>
  <c r="E97" i="11"/>
  <c r="K97" i="11" s="1"/>
  <c r="E95" i="11"/>
  <c r="K95" i="11" s="1"/>
  <c r="E91" i="11"/>
  <c r="K91" i="11" s="1"/>
  <c r="E90" i="11"/>
  <c r="K90" i="11" s="1"/>
  <c r="E98" i="11"/>
  <c r="K98" i="11" s="1"/>
  <c r="D97" i="11"/>
  <c r="J97" i="11" s="1"/>
  <c r="D95" i="11"/>
  <c r="J95" i="11" s="1"/>
  <c r="D91" i="11"/>
  <c r="J91" i="11" s="1"/>
  <c r="D98" i="11"/>
  <c r="J98" i="11" s="1"/>
  <c r="D86" i="11"/>
  <c r="J86" i="11" s="1"/>
  <c r="D53" i="11"/>
  <c r="J53" i="11" s="1"/>
  <c r="D21" i="11"/>
  <c r="J21" i="11" s="1"/>
  <c r="G177" i="11"/>
  <c r="F177" i="11"/>
  <c r="G178" i="11"/>
  <c r="F178" i="11"/>
  <c r="G175" i="11"/>
  <c r="F175" i="11"/>
  <c r="G180" i="11"/>
  <c r="F180" i="11"/>
  <c r="G181" i="11"/>
  <c r="F181" i="11"/>
  <c r="G176" i="11"/>
  <c r="F176" i="11"/>
  <c r="G179" i="11"/>
  <c r="F179" i="11"/>
  <c r="G184" i="11"/>
  <c r="F184" i="11"/>
  <c r="G186" i="11"/>
  <c r="F186" i="11"/>
  <c r="G182" i="11"/>
  <c r="F182" i="11"/>
  <c r="G183" i="11"/>
  <c r="F183" i="11"/>
  <c r="G185" i="11"/>
  <c r="F185" i="11"/>
  <c r="G170" i="11"/>
  <c r="F170" i="11"/>
  <c r="G161" i="11"/>
  <c r="G160" i="11"/>
  <c r="G159" i="11"/>
  <c r="F159" i="11"/>
  <c r="G163" i="11"/>
  <c r="G165" i="11"/>
  <c r="G162" i="11"/>
  <c r="G164" i="11"/>
  <c r="G156" i="11"/>
  <c r="F156" i="11"/>
  <c r="G155" i="11"/>
  <c r="F155" i="11"/>
  <c r="G148" i="11"/>
  <c r="F148" i="11"/>
  <c r="G150" i="11"/>
  <c r="F150" i="11"/>
  <c r="G149" i="11"/>
  <c r="F149" i="11"/>
  <c r="G139" i="11"/>
  <c r="F139" i="11"/>
  <c r="G129" i="11"/>
  <c r="F129" i="11"/>
  <c r="G127" i="11"/>
  <c r="F127" i="11"/>
  <c r="G130" i="11"/>
  <c r="F130" i="11"/>
  <c r="G136" i="11"/>
  <c r="F136" i="11"/>
  <c r="G124" i="11"/>
  <c r="F124" i="11"/>
  <c r="G134" i="11"/>
  <c r="F134" i="11"/>
  <c r="G126" i="11"/>
  <c r="F126" i="11"/>
  <c r="G121" i="11"/>
  <c r="F121" i="11"/>
  <c r="G128" i="11"/>
  <c r="F128" i="11"/>
  <c r="G141" i="11"/>
  <c r="F141" i="11"/>
  <c r="G137" i="11"/>
  <c r="F137" i="11"/>
  <c r="G143" i="11"/>
  <c r="F143" i="11"/>
  <c r="G135" i="11"/>
  <c r="F135" i="11"/>
  <c r="G125" i="11"/>
  <c r="F125" i="11"/>
  <c r="G142" i="11"/>
  <c r="F142" i="11"/>
  <c r="G131" i="11"/>
  <c r="F131" i="11"/>
  <c r="G122" i="11"/>
  <c r="F122" i="11"/>
  <c r="G140" i="11"/>
  <c r="F140" i="11"/>
  <c r="G144" i="11"/>
  <c r="F144" i="11"/>
  <c r="G138" i="11"/>
  <c r="F138" i="11"/>
  <c r="G114" i="11"/>
  <c r="F114" i="11"/>
  <c r="G117" i="11"/>
  <c r="F117" i="11"/>
  <c r="G116" i="11"/>
  <c r="F116" i="11"/>
  <c r="G115" i="11"/>
  <c r="F115" i="11"/>
  <c r="F106" i="11"/>
  <c r="G107" i="11"/>
  <c r="F107" i="11"/>
  <c r="G105" i="11"/>
  <c r="F105" i="11"/>
  <c r="G102" i="11"/>
  <c r="F102" i="11"/>
  <c r="G104" i="11"/>
  <c r="F104" i="11"/>
  <c r="G110" i="11"/>
  <c r="F110" i="11"/>
  <c r="G108" i="11"/>
  <c r="F108" i="11"/>
  <c r="G92" i="11"/>
  <c r="F92" i="11"/>
  <c r="G96" i="11"/>
  <c r="G99" i="11"/>
  <c r="G93" i="11"/>
  <c r="F93" i="11"/>
  <c r="G82" i="11"/>
  <c r="G65" i="11"/>
  <c r="F65" i="11"/>
  <c r="G58" i="11"/>
  <c r="F58" i="11"/>
  <c r="G63" i="11"/>
  <c r="F63" i="11"/>
  <c r="G74" i="11"/>
  <c r="F74" i="11"/>
  <c r="G60" i="11"/>
  <c r="F60" i="11"/>
  <c r="G59" i="11"/>
  <c r="F59" i="11"/>
  <c r="G80" i="11"/>
  <c r="F80" i="11"/>
  <c r="G57" i="11"/>
  <c r="F57" i="11"/>
  <c r="G56" i="11"/>
  <c r="F56" i="11"/>
  <c r="G64" i="11"/>
  <c r="F64" i="11"/>
  <c r="G70" i="11"/>
  <c r="F70" i="11"/>
  <c r="G66" i="11"/>
  <c r="F66" i="11"/>
  <c r="G69" i="11"/>
  <c r="F69" i="11"/>
  <c r="G72" i="11"/>
  <c r="F72" i="11"/>
  <c r="G75" i="11"/>
  <c r="F75" i="11"/>
  <c r="G79" i="11"/>
  <c r="F79" i="11"/>
  <c r="G77" i="11"/>
  <c r="F77" i="11"/>
  <c r="G71" i="11"/>
  <c r="F71" i="11"/>
  <c r="G76" i="11"/>
  <c r="F76" i="11"/>
  <c r="G81" i="11"/>
  <c r="F81" i="11"/>
  <c r="G61" i="11"/>
  <c r="F61" i="11"/>
  <c r="G85" i="11"/>
  <c r="F85" i="11"/>
  <c r="G84" i="11"/>
  <c r="F84" i="11"/>
  <c r="G83" i="11"/>
  <c r="F83" i="11"/>
  <c r="G62" i="11"/>
  <c r="F62" i="11"/>
  <c r="G67" i="11"/>
  <c r="F67" i="11"/>
  <c r="G68" i="11"/>
  <c r="F68" i="11"/>
  <c r="G73" i="11"/>
  <c r="F73" i="11"/>
  <c r="G78" i="11"/>
  <c r="F78" i="11"/>
  <c r="G44" i="11"/>
  <c r="F44" i="11"/>
  <c r="G33" i="11"/>
  <c r="F33" i="11"/>
  <c r="G37" i="11"/>
  <c r="F37" i="11"/>
  <c r="G45" i="11"/>
  <c r="F45" i="11"/>
  <c r="G50" i="11"/>
  <c r="F50" i="11"/>
  <c r="G48" i="11"/>
  <c r="F48" i="11"/>
  <c r="G27" i="11"/>
  <c r="F27" i="11"/>
  <c r="G38" i="11"/>
  <c r="F38" i="11"/>
  <c r="G31" i="11"/>
  <c r="F31" i="11"/>
  <c r="G51" i="11"/>
  <c r="F51" i="11"/>
  <c r="G40" i="11"/>
  <c r="F40" i="11"/>
  <c r="G42" i="11"/>
  <c r="F42" i="11"/>
  <c r="G25" i="11"/>
  <c r="F25" i="11"/>
  <c r="G52" i="11"/>
  <c r="F52" i="11"/>
  <c r="G34" i="11"/>
  <c r="F34" i="11"/>
  <c r="G36" i="11"/>
  <c r="F36" i="11"/>
  <c r="G35" i="11"/>
  <c r="F35" i="11"/>
  <c r="G24" i="11"/>
  <c r="F24" i="11"/>
  <c r="G30" i="11"/>
  <c r="F30" i="11"/>
  <c r="G46" i="11"/>
  <c r="F46" i="11"/>
  <c r="G32" i="11"/>
  <c r="F32" i="11"/>
  <c r="G41" i="11"/>
  <c r="F41" i="11"/>
  <c r="G29" i="11"/>
  <c r="F29" i="11"/>
  <c r="G43" i="11"/>
  <c r="F43" i="11"/>
  <c r="G28" i="11"/>
  <c r="F28" i="11"/>
  <c r="G26" i="11"/>
  <c r="F26" i="11"/>
  <c r="G49" i="11"/>
  <c r="F49" i="11"/>
  <c r="G39" i="11"/>
  <c r="F39" i="11"/>
  <c r="G47" i="11"/>
  <c r="F47" i="11"/>
  <c r="G18" i="11"/>
  <c r="F18" i="11"/>
  <c r="G11" i="11"/>
  <c r="F11" i="11"/>
  <c r="G6" i="11"/>
  <c r="F6" i="11"/>
  <c r="G14" i="11"/>
  <c r="F14" i="11"/>
  <c r="G20" i="11"/>
  <c r="F20" i="11"/>
  <c r="G8" i="11"/>
  <c r="F8" i="11"/>
  <c r="G16" i="11"/>
  <c r="F16" i="11"/>
  <c r="G13" i="11"/>
  <c r="F13" i="11"/>
  <c r="G9" i="11"/>
  <c r="F9" i="11"/>
  <c r="G7" i="11"/>
  <c r="F7" i="11"/>
  <c r="G19" i="11"/>
  <c r="F19" i="11"/>
  <c r="G5" i="11"/>
  <c r="F5" i="11"/>
  <c r="G15" i="11"/>
  <c r="F15" i="11"/>
  <c r="G10" i="11"/>
  <c r="F10" i="11"/>
  <c r="G12" i="11"/>
  <c r="F12" i="11"/>
  <c r="G17" i="11"/>
  <c r="F17" i="11"/>
  <c r="J166" i="11" l="1"/>
  <c r="F90" i="11"/>
  <c r="D111" i="11"/>
  <c r="D167" i="11" l="1"/>
  <c r="F99" i="11"/>
  <c r="J167" i="11" l="1"/>
  <c r="D188" i="11"/>
  <c r="J188" i="11" s="1"/>
  <c r="P47" i="9"/>
  <c r="S190" i="9" l="1"/>
  <c r="S188" i="9"/>
  <c r="S187" i="9"/>
  <c r="S191" i="9"/>
  <c r="S189" i="9"/>
  <c r="S184" i="9"/>
  <c r="S181" i="9"/>
  <c r="S186" i="9"/>
  <c r="S185" i="9"/>
  <c r="S180" i="9"/>
  <c r="S183" i="9"/>
  <c r="S182" i="9"/>
  <c r="S192" i="9"/>
  <c r="S179" i="9"/>
  <c r="S174" i="9"/>
  <c r="S175" i="9"/>
  <c r="S173" i="9"/>
  <c r="S163" i="9"/>
  <c r="S166" i="9"/>
  <c r="S164" i="9"/>
  <c r="S160" i="9"/>
  <c r="S161" i="9"/>
  <c r="S162" i="9"/>
  <c r="S167" i="9"/>
  <c r="S165" i="9"/>
  <c r="S157" i="9"/>
  <c r="S156" i="9"/>
  <c r="S151" i="9"/>
  <c r="S149" i="9"/>
  <c r="S152" i="9"/>
  <c r="S150" i="9"/>
  <c r="S145" i="9"/>
  <c r="S141" i="9"/>
  <c r="S123" i="9"/>
  <c r="S124" i="9"/>
  <c r="S132" i="9"/>
  <c r="S143" i="9"/>
  <c r="S126" i="9"/>
  <c r="S133" i="9"/>
  <c r="S136" i="9"/>
  <c r="S144" i="9"/>
  <c r="S138" i="9"/>
  <c r="S142" i="9"/>
  <c r="S129" i="9"/>
  <c r="S134" i="9"/>
  <c r="S122" i="9"/>
  <c r="S127" i="9"/>
  <c r="S135" i="9"/>
  <c r="S125" i="9"/>
  <c r="S137" i="9"/>
  <c r="S131" i="9"/>
  <c r="S128" i="9"/>
  <c r="S130" i="9"/>
  <c r="S140" i="9"/>
  <c r="S146" i="9"/>
  <c r="S139" i="9"/>
  <c r="S117" i="9"/>
  <c r="S118" i="9"/>
  <c r="S115" i="9"/>
  <c r="S119" i="9"/>
  <c r="S116" i="9"/>
  <c r="S111" i="9"/>
  <c r="S105" i="9"/>
  <c r="S103" i="9"/>
  <c r="S106" i="9"/>
  <c r="S108" i="9"/>
  <c r="S107" i="9"/>
  <c r="S104" i="9"/>
  <c r="S110" i="9"/>
  <c r="S112" i="9"/>
  <c r="S109" i="9"/>
  <c r="S100" i="9"/>
  <c r="S97" i="9"/>
  <c r="S99" i="9"/>
  <c r="S91" i="9"/>
  <c r="S92" i="9"/>
  <c r="S93" i="9"/>
  <c r="S96" i="9"/>
  <c r="S98" i="9"/>
  <c r="S94" i="9"/>
  <c r="S75" i="9"/>
  <c r="S69" i="9"/>
  <c r="S68" i="9"/>
  <c r="S63" i="9"/>
  <c r="S84" i="9"/>
  <c r="S85" i="9"/>
  <c r="S86" i="9"/>
  <c r="S62" i="9"/>
  <c r="S82" i="9"/>
  <c r="S77" i="9"/>
  <c r="S72" i="9"/>
  <c r="S78" i="9"/>
  <c r="S80" i="9"/>
  <c r="S76" i="9"/>
  <c r="S73" i="9"/>
  <c r="S70" i="9"/>
  <c r="S67" i="9"/>
  <c r="S71" i="9"/>
  <c r="S65" i="9"/>
  <c r="S57" i="9"/>
  <c r="S58" i="9"/>
  <c r="S81" i="9"/>
  <c r="S60" i="9"/>
  <c r="S61" i="9"/>
  <c r="S74" i="9"/>
  <c r="S64" i="9"/>
  <c r="S59" i="9"/>
  <c r="S66" i="9"/>
  <c r="S83" i="9"/>
  <c r="S87" i="9"/>
  <c r="S79" i="9"/>
  <c r="S40" i="9"/>
  <c r="S50" i="9"/>
  <c r="S27" i="9"/>
  <c r="S29" i="9"/>
  <c r="S44" i="9"/>
  <c r="S30" i="9"/>
  <c r="S42" i="9"/>
  <c r="S33" i="9"/>
  <c r="S47" i="9"/>
  <c r="S31" i="9"/>
  <c r="S25" i="9"/>
  <c r="S36" i="9"/>
  <c r="S37" i="9"/>
  <c r="S35" i="9"/>
  <c r="S53" i="9"/>
  <c r="S26" i="9"/>
  <c r="S43" i="9"/>
  <c r="S41" i="9"/>
  <c r="S52" i="9"/>
  <c r="S32" i="9"/>
  <c r="S39" i="9"/>
  <c r="S28" i="9"/>
  <c r="S49" i="9"/>
  <c r="S51" i="9"/>
  <c r="S46" i="9"/>
  <c r="S38" i="9"/>
  <c r="S34" i="9"/>
  <c r="S45" i="9"/>
  <c r="S54" i="9"/>
  <c r="S48" i="9"/>
  <c r="S13" i="9"/>
  <c r="S11" i="9"/>
  <c r="S16" i="9"/>
  <c r="S6" i="9"/>
  <c r="S20" i="9"/>
  <c r="S8" i="9"/>
  <c r="S10" i="9"/>
  <c r="S14" i="9"/>
  <c r="S17" i="9"/>
  <c r="S9" i="9"/>
  <c r="S21" i="9"/>
  <c r="S15" i="9"/>
  <c r="S7" i="9"/>
  <c r="S12" i="9"/>
  <c r="S19" i="9"/>
  <c r="S22" i="9"/>
  <c r="S18" i="9"/>
  <c r="B145" i="11" l="1"/>
  <c r="B53" i="11"/>
  <c r="F53" i="11" l="1"/>
  <c r="F145" i="11"/>
  <c r="B187" i="11"/>
  <c r="B172" i="11"/>
  <c r="B166" i="11"/>
  <c r="B151" i="11"/>
  <c r="B118" i="11"/>
  <c r="C103" i="11"/>
  <c r="C106" i="11"/>
  <c r="B103" i="11"/>
  <c r="C97" i="11"/>
  <c r="C95" i="11"/>
  <c r="G91" i="11"/>
  <c r="C90" i="11"/>
  <c r="C98" i="11"/>
  <c r="B97" i="11"/>
  <c r="B95" i="11"/>
  <c r="B98" i="11"/>
  <c r="B86" i="11"/>
  <c r="B21" i="11"/>
  <c r="G90" i="11" l="1"/>
  <c r="F151" i="11"/>
  <c r="F21" i="11"/>
  <c r="G95" i="11"/>
  <c r="G97" i="11"/>
  <c r="F187" i="11"/>
  <c r="F103" i="11"/>
  <c r="G103" i="11"/>
  <c r="F86" i="11"/>
  <c r="F95" i="11"/>
  <c r="G106" i="11"/>
  <c r="F97" i="11"/>
  <c r="G98" i="11"/>
  <c r="F118" i="11"/>
  <c r="F166" i="11"/>
  <c r="B111" i="11"/>
  <c r="F98" i="11"/>
  <c r="B167" i="11" l="1"/>
  <c r="P15" i="9"/>
  <c r="B188" i="11" l="1"/>
  <c r="F188" i="11" s="1"/>
  <c r="F167" i="11"/>
  <c r="K10" i="1" l="1"/>
  <c r="K12" i="1" l="1"/>
  <c r="R110" i="9" l="1"/>
  <c r="Q110" i="9"/>
  <c r="R104" i="9"/>
  <c r="Q104" i="9"/>
  <c r="P104" i="9"/>
  <c r="R98" i="9"/>
  <c r="Q98" i="9"/>
  <c r="P98" i="9"/>
  <c r="P110" i="9" l="1"/>
  <c r="E139" i="9" l="1"/>
  <c r="E130" i="9" l="1"/>
  <c r="E122" i="9"/>
  <c r="E140" i="9"/>
  <c r="E134" i="9"/>
  <c r="E126" i="9"/>
  <c r="E143" i="9"/>
  <c r="E128" i="9"/>
  <c r="E129" i="9"/>
  <c r="E132" i="9"/>
  <c r="E131" i="9"/>
  <c r="E142" i="9"/>
  <c r="E124" i="9"/>
  <c r="E137" i="9"/>
  <c r="E138" i="9"/>
  <c r="E123" i="9"/>
  <c r="E125" i="9"/>
  <c r="E144" i="9"/>
  <c r="E141" i="9"/>
  <c r="E135" i="9"/>
  <c r="E136" i="9"/>
  <c r="E145" i="9"/>
  <c r="E127" i="9"/>
  <c r="E133" i="9"/>
  <c r="E110" i="9" l="1"/>
  <c r="E98" i="9"/>
  <c r="J22" i="9" l="1"/>
  <c r="R96" i="9" l="1"/>
  <c r="P96" i="9"/>
  <c r="Q96" i="9"/>
  <c r="E96" i="9" l="1"/>
  <c r="R192" i="9" l="1"/>
  <c r="Q99" i="9"/>
  <c r="Q18" i="9"/>
  <c r="R130" i="9" l="1"/>
  <c r="Q130" i="9"/>
  <c r="P130" i="9"/>
  <c r="R66" i="9"/>
  <c r="Q66" i="9"/>
  <c r="P66" i="9"/>
  <c r="R12" i="9"/>
  <c r="Q12" i="9"/>
  <c r="P12" i="9"/>
  <c r="E66" i="9" l="1"/>
  <c r="E12" i="9"/>
  <c r="R59" i="9" l="1"/>
  <c r="Q59" i="9"/>
  <c r="P59" i="9"/>
  <c r="E59" i="9" l="1"/>
  <c r="J146" i="9" l="1"/>
  <c r="K145" i="9" s="1"/>
  <c r="J119" i="9"/>
  <c r="J112" i="9"/>
  <c r="K95" i="9" s="1"/>
  <c r="J87" i="9"/>
  <c r="J54" i="9"/>
  <c r="K26" i="9" s="1"/>
  <c r="K137" i="9" l="1"/>
  <c r="K141" i="9"/>
  <c r="K110" i="9"/>
  <c r="K103" i="9"/>
  <c r="K128" i="9"/>
  <c r="K144" i="9"/>
  <c r="K82" i="9"/>
  <c r="K80" i="9"/>
  <c r="K104" i="9"/>
  <c r="E104" i="9"/>
  <c r="K96" i="9"/>
  <c r="K98" i="9"/>
  <c r="K52" i="9"/>
  <c r="K44" i="9"/>
  <c r="K66" i="9"/>
  <c r="K60" i="9"/>
  <c r="K130" i="9"/>
  <c r="K124" i="9"/>
  <c r="K43" i="9"/>
  <c r="K46" i="9"/>
  <c r="K28" i="9"/>
  <c r="K41" i="9"/>
  <c r="K38" i="9"/>
  <c r="K51" i="9"/>
  <c r="K34" i="9"/>
  <c r="K39" i="9"/>
  <c r="K49" i="9"/>
  <c r="K32" i="9"/>
  <c r="K45" i="9"/>
  <c r="K136" i="9"/>
  <c r="K125" i="9"/>
  <c r="K59" i="9"/>
  <c r="K73" i="9"/>
  <c r="R93" i="9"/>
  <c r="Q93" i="9"/>
  <c r="P93" i="9"/>
  <c r="K93" i="9"/>
  <c r="R161" i="9"/>
  <c r="Q161" i="9"/>
  <c r="P161" i="9"/>
  <c r="R128" i="9"/>
  <c r="Q128" i="9"/>
  <c r="P128" i="9"/>
  <c r="E93" i="9"/>
  <c r="E161" i="9" l="1"/>
  <c r="J192" i="9" l="1"/>
  <c r="J175" i="9"/>
  <c r="J167" i="9"/>
  <c r="K183" i="9" l="1"/>
  <c r="K190" i="9"/>
  <c r="K161" i="9"/>
  <c r="J168" i="9"/>
  <c r="J193" i="9" l="1"/>
  <c r="K167" i="9"/>
  <c r="R182" i="9"/>
  <c r="Q182" i="9"/>
  <c r="P182" i="9"/>
  <c r="E182" i="9"/>
  <c r="R183" i="9"/>
  <c r="Q183" i="9"/>
  <c r="P183" i="9"/>
  <c r="E183" i="9"/>
  <c r="R180" i="9"/>
  <c r="Q180" i="9"/>
  <c r="P180" i="9"/>
  <c r="E180" i="9"/>
  <c r="R185" i="9"/>
  <c r="Q185" i="9"/>
  <c r="P185" i="9"/>
  <c r="E185" i="9"/>
  <c r="R186" i="9"/>
  <c r="Q186" i="9"/>
  <c r="P186" i="9"/>
  <c r="E186" i="9"/>
  <c r="R181" i="9"/>
  <c r="Q181" i="9"/>
  <c r="P181" i="9"/>
  <c r="E181" i="9"/>
  <c r="R184" i="9"/>
  <c r="Q184" i="9"/>
  <c r="P184" i="9"/>
  <c r="E184" i="9"/>
  <c r="R189" i="9"/>
  <c r="Q189" i="9"/>
  <c r="P189" i="9"/>
  <c r="E189" i="9"/>
  <c r="R191" i="9"/>
  <c r="Q191" i="9"/>
  <c r="P191" i="9"/>
  <c r="E191" i="9"/>
  <c r="R187" i="9"/>
  <c r="Q187" i="9"/>
  <c r="P187" i="9"/>
  <c r="E187" i="9"/>
  <c r="R188" i="9"/>
  <c r="Q188" i="9"/>
  <c r="P188" i="9"/>
  <c r="E188" i="9"/>
  <c r="R190" i="9"/>
  <c r="Q190" i="9"/>
  <c r="P190" i="9"/>
  <c r="E190" i="9"/>
  <c r="R175" i="9"/>
  <c r="P175" i="9"/>
  <c r="R174" i="9"/>
  <c r="Q174" i="9"/>
  <c r="P174" i="9"/>
  <c r="K174" i="9"/>
  <c r="E174" i="9"/>
  <c r="R173" i="9"/>
  <c r="Q173" i="9"/>
  <c r="P173" i="9"/>
  <c r="K173" i="9"/>
  <c r="E173" i="9"/>
  <c r="R167" i="9"/>
  <c r="K165" i="9"/>
  <c r="E157" i="9"/>
  <c r="R162" i="9"/>
  <c r="Q162" i="9"/>
  <c r="P162" i="9"/>
  <c r="R160" i="9"/>
  <c r="Q160" i="9"/>
  <c r="P160" i="9"/>
  <c r="R164" i="9"/>
  <c r="Q164" i="9"/>
  <c r="P164" i="9"/>
  <c r="R166" i="9"/>
  <c r="Q166" i="9"/>
  <c r="P166" i="9"/>
  <c r="R163" i="9"/>
  <c r="Q163" i="9"/>
  <c r="P163" i="9"/>
  <c r="E163" i="9"/>
  <c r="R165" i="9"/>
  <c r="Q165" i="9"/>
  <c r="P165" i="9"/>
  <c r="R157" i="9"/>
  <c r="Q157" i="9"/>
  <c r="P157" i="9"/>
  <c r="K157" i="9"/>
  <c r="R156" i="9"/>
  <c r="Q156" i="9"/>
  <c r="P156" i="9"/>
  <c r="R152" i="9"/>
  <c r="P152" i="9"/>
  <c r="R149" i="9"/>
  <c r="Q149" i="9"/>
  <c r="P149" i="9"/>
  <c r="E149" i="9"/>
  <c r="R151" i="9"/>
  <c r="Q151" i="9"/>
  <c r="P151" i="9"/>
  <c r="E151" i="9"/>
  <c r="R150" i="9"/>
  <c r="Q150" i="9"/>
  <c r="P150" i="9"/>
  <c r="E150" i="9"/>
  <c r="R146" i="9"/>
  <c r="R140" i="9"/>
  <c r="Q140" i="9"/>
  <c r="P140" i="9"/>
  <c r="R131" i="9"/>
  <c r="Q131" i="9"/>
  <c r="P131" i="9"/>
  <c r="R137" i="9"/>
  <c r="Q137" i="9"/>
  <c r="P137" i="9"/>
  <c r="R125" i="9"/>
  <c r="Q125" i="9"/>
  <c r="P125" i="9"/>
  <c r="R135" i="9"/>
  <c r="Q135" i="9"/>
  <c r="P135" i="9"/>
  <c r="R127" i="9"/>
  <c r="Q127" i="9"/>
  <c r="P127" i="9"/>
  <c r="R122" i="9"/>
  <c r="Q122" i="9"/>
  <c r="P122" i="9"/>
  <c r="R134" i="9"/>
  <c r="Q134" i="9"/>
  <c r="P134" i="9"/>
  <c r="R129" i="9"/>
  <c r="Q129" i="9"/>
  <c r="P129" i="9"/>
  <c r="R142" i="9"/>
  <c r="Q142" i="9"/>
  <c r="P142" i="9"/>
  <c r="R138" i="9"/>
  <c r="Q138" i="9"/>
  <c r="P138" i="9"/>
  <c r="R144" i="9"/>
  <c r="Q144" i="9"/>
  <c r="P144" i="9"/>
  <c r="R136" i="9"/>
  <c r="Q136" i="9"/>
  <c r="P136" i="9"/>
  <c r="R133" i="9"/>
  <c r="Q133" i="9"/>
  <c r="P133" i="9"/>
  <c r="R126" i="9"/>
  <c r="Q126" i="9"/>
  <c r="P126" i="9"/>
  <c r="R143" i="9"/>
  <c r="Q143" i="9"/>
  <c r="P143" i="9"/>
  <c r="R132" i="9"/>
  <c r="Q132" i="9"/>
  <c r="P132" i="9"/>
  <c r="R124" i="9"/>
  <c r="Q124" i="9"/>
  <c r="P124" i="9"/>
  <c r="R123" i="9"/>
  <c r="Q123" i="9"/>
  <c r="P123" i="9"/>
  <c r="R141" i="9"/>
  <c r="Q141" i="9"/>
  <c r="P141" i="9"/>
  <c r="R145" i="9"/>
  <c r="Q145" i="9"/>
  <c r="P145" i="9"/>
  <c r="R139" i="9"/>
  <c r="Q139" i="9"/>
  <c r="P139" i="9"/>
  <c r="R119" i="9"/>
  <c r="P119" i="9"/>
  <c r="E115" i="9"/>
  <c r="R115" i="9"/>
  <c r="Q115" i="9"/>
  <c r="P115" i="9"/>
  <c r="R118" i="9"/>
  <c r="Q118" i="9"/>
  <c r="P118" i="9"/>
  <c r="E118" i="9"/>
  <c r="R117" i="9"/>
  <c r="Q117" i="9"/>
  <c r="P117" i="9"/>
  <c r="R116" i="9"/>
  <c r="Q116" i="9"/>
  <c r="P116" i="9"/>
  <c r="E116" i="9"/>
  <c r="R112" i="9"/>
  <c r="R107" i="9"/>
  <c r="Q107" i="9"/>
  <c r="P107" i="9"/>
  <c r="R108" i="9"/>
  <c r="Q108" i="9"/>
  <c r="P108" i="9"/>
  <c r="R106" i="9"/>
  <c r="Q106" i="9"/>
  <c r="P106" i="9"/>
  <c r="R103" i="9"/>
  <c r="Q103" i="9"/>
  <c r="P103" i="9"/>
  <c r="R105" i="9"/>
  <c r="Q105" i="9"/>
  <c r="P105" i="9"/>
  <c r="R111" i="9"/>
  <c r="Q111" i="9"/>
  <c r="P111" i="9"/>
  <c r="R109" i="9"/>
  <c r="Q109" i="9"/>
  <c r="P109" i="9"/>
  <c r="R92" i="9"/>
  <c r="Q92" i="9"/>
  <c r="R91" i="9"/>
  <c r="P91" i="9"/>
  <c r="Q91" i="9"/>
  <c r="R99" i="9"/>
  <c r="P99" i="9"/>
  <c r="R97" i="9"/>
  <c r="Q97" i="9"/>
  <c r="P97" i="9"/>
  <c r="R100" i="9"/>
  <c r="Q100" i="9"/>
  <c r="P100" i="9"/>
  <c r="R94" i="9"/>
  <c r="Q94" i="9"/>
  <c r="R87" i="9"/>
  <c r="P87" i="9"/>
  <c r="E83" i="9"/>
  <c r="R83" i="9"/>
  <c r="Q83" i="9"/>
  <c r="P83" i="9"/>
  <c r="R64" i="9"/>
  <c r="Q64" i="9"/>
  <c r="P64" i="9"/>
  <c r="E64" i="9"/>
  <c r="R74" i="9"/>
  <c r="Q74" i="9"/>
  <c r="P74" i="9"/>
  <c r="R61" i="9"/>
  <c r="Q61" i="9"/>
  <c r="P61" i="9"/>
  <c r="R60" i="9"/>
  <c r="Q60" i="9"/>
  <c r="P60" i="9"/>
  <c r="E60" i="9"/>
  <c r="R81" i="9"/>
  <c r="Q81" i="9"/>
  <c r="P81" i="9"/>
  <c r="E81" i="9"/>
  <c r="R58" i="9"/>
  <c r="Q58" i="9"/>
  <c r="P58" i="9"/>
  <c r="E58" i="9"/>
  <c r="R57" i="9"/>
  <c r="Q57" i="9"/>
  <c r="E57" i="9"/>
  <c r="R65" i="9"/>
  <c r="Q65" i="9"/>
  <c r="P65" i="9"/>
  <c r="E65" i="9"/>
  <c r="R71" i="9"/>
  <c r="Q71" i="9"/>
  <c r="P71" i="9"/>
  <c r="E71" i="9"/>
  <c r="R67" i="9"/>
  <c r="Q67" i="9"/>
  <c r="P67" i="9"/>
  <c r="E67" i="9"/>
  <c r="R70" i="9"/>
  <c r="Q70" i="9"/>
  <c r="P70" i="9"/>
  <c r="E70" i="9"/>
  <c r="R73" i="9"/>
  <c r="Q73" i="9"/>
  <c r="P73" i="9"/>
  <c r="E73" i="9"/>
  <c r="R76" i="9"/>
  <c r="Q76" i="9"/>
  <c r="P76" i="9"/>
  <c r="E76" i="9"/>
  <c r="R80" i="9"/>
  <c r="Q80" i="9"/>
  <c r="P80" i="9"/>
  <c r="E80" i="9"/>
  <c r="R78" i="9"/>
  <c r="Q78" i="9"/>
  <c r="P78" i="9"/>
  <c r="E78" i="9"/>
  <c r="R72" i="9"/>
  <c r="Q72" i="9"/>
  <c r="P72" i="9"/>
  <c r="E72" i="9"/>
  <c r="R77" i="9"/>
  <c r="Q77" i="9"/>
  <c r="P77" i="9"/>
  <c r="E77" i="9"/>
  <c r="R82" i="9"/>
  <c r="Q82" i="9"/>
  <c r="P82" i="9"/>
  <c r="E82" i="9"/>
  <c r="R62" i="9"/>
  <c r="Q62" i="9"/>
  <c r="P62" i="9"/>
  <c r="E62" i="9"/>
  <c r="R86" i="9"/>
  <c r="Q86" i="9"/>
  <c r="P86" i="9"/>
  <c r="E86" i="9"/>
  <c r="R85" i="9"/>
  <c r="Q85" i="9"/>
  <c r="P85" i="9"/>
  <c r="E85" i="9"/>
  <c r="R84" i="9"/>
  <c r="Q84" i="9"/>
  <c r="P84" i="9"/>
  <c r="E84" i="9"/>
  <c r="R63" i="9"/>
  <c r="Q63" i="9"/>
  <c r="P63" i="9"/>
  <c r="E63" i="9"/>
  <c r="R68" i="9"/>
  <c r="Q68" i="9"/>
  <c r="E68" i="9"/>
  <c r="R69" i="9"/>
  <c r="Q69" i="9"/>
  <c r="P69" i="9"/>
  <c r="E69" i="9"/>
  <c r="R75" i="9"/>
  <c r="Q75" i="9"/>
  <c r="P75" i="9"/>
  <c r="E75" i="9"/>
  <c r="R79" i="9"/>
  <c r="Q79" i="9"/>
  <c r="P79" i="9"/>
  <c r="E79" i="9"/>
  <c r="R54" i="9"/>
  <c r="E39" i="9"/>
  <c r="R45" i="9"/>
  <c r="Q45" i="9"/>
  <c r="P45" i="9"/>
  <c r="R34" i="9"/>
  <c r="Q34" i="9"/>
  <c r="P34" i="9"/>
  <c r="R38" i="9"/>
  <c r="Q38" i="9"/>
  <c r="P38" i="9"/>
  <c r="R46" i="9"/>
  <c r="Q46" i="9"/>
  <c r="P46" i="9"/>
  <c r="R51" i="9"/>
  <c r="Q51" i="9"/>
  <c r="P51" i="9"/>
  <c r="R49" i="9"/>
  <c r="Q49" i="9"/>
  <c r="P49" i="9"/>
  <c r="R28" i="9"/>
  <c r="Q28" i="9"/>
  <c r="P28" i="9"/>
  <c r="R39" i="9"/>
  <c r="Q39" i="9"/>
  <c r="P39" i="9"/>
  <c r="R32" i="9"/>
  <c r="Q32" i="9"/>
  <c r="P32" i="9"/>
  <c r="R52" i="9"/>
  <c r="Q52" i="9"/>
  <c r="P52" i="9"/>
  <c r="R41" i="9"/>
  <c r="Q41" i="9"/>
  <c r="P41" i="9"/>
  <c r="R43" i="9"/>
  <c r="Q43" i="9"/>
  <c r="P43" i="9"/>
  <c r="R26" i="9"/>
  <c r="Q26" i="9"/>
  <c r="P26" i="9"/>
  <c r="R53" i="9"/>
  <c r="Q53" i="9"/>
  <c r="P53" i="9"/>
  <c r="R35" i="9"/>
  <c r="Q35" i="9"/>
  <c r="P35" i="9"/>
  <c r="R37" i="9"/>
  <c r="Q37" i="9"/>
  <c r="P37" i="9"/>
  <c r="R36" i="9"/>
  <c r="Q36" i="9"/>
  <c r="P36" i="9"/>
  <c r="R25" i="9"/>
  <c r="Q25" i="9"/>
  <c r="P25" i="9"/>
  <c r="R31" i="9"/>
  <c r="Q31" i="9"/>
  <c r="P31" i="9"/>
  <c r="R47" i="9"/>
  <c r="Q47" i="9"/>
  <c r="R33" i="9"/>
  <c r="Q33" i="9"/>
  <c r="P33" i="9"/>
  <c r="R42" i="9"/>
  <c r="Q42" i="9"/>
  <c r="P42" i="9"/>
  <c r="R30" i="9"/>
  <c r="Q30" i="9"/>
  <c r="P30" i="9"/>
  <c r="R44" i="9"/>
  <c r="Q44" i="9"/>
  <c r="P44" i="9"/>
  <c r="R29" i="9"/>
  <c r="Q29" i="9"/>
  <c r="P29" i="9"/>
  <c r="R27" i="9"/>
  <c r="Q27" i="9"/>
  <c r="P27" i="9"/>
  <c r="R50" i="9"/>
  <c r="Q50" i="9"/>
  <c r="P50" i="9"/>
  <c r="R40" i="9"/>
  <c r="Q40" i="9"/>
  <c r="P40" i="9"/>
  <c r="R48" i="9"/>
  <c r="Q48" i="9"/>
  <c r="P48" i="9"/>
  <c r="R22" i="9"/>
  <c r="P22" i="9"/>
  <c r="E8" i="9"/>
  <c r="R19" i="9"/>
  <c r="Q19" i="9"/>
  <c r="P19" i="9"/>
  <c r="R7" i="9"/>
  <c r="Q7" i="9"/>
  <c r="R15" i="9"/>
  <c r="Q15" i="9"/>
  <c r="R21" i="9"/>
  <c r="Q21" i="9"/>
  <c r="P21" i="9"/>
  <c r="E21" i="9"/>
  <c r="R9" i="9"/>
  <c r="Q9" i="9"/>
  <c r="P9" i="9"/>
  <c r="R17" i="9"/>
  <c r="Q17" i="9"/>
  <c r="P17" i="9"/>
  <c r="R14" i="9"/>
  <c r="Q14" i="9"/>
  <c r="P14" i="9"/>
  <c r="E14" i="9"/>
  <c r="R10" i="9"/>
  <c r="Q10" i="9"/>
  <c r="P10" i="9"/>
  <c r="R8" i="9"/>
  <c r="Q8" i="9"/>
  <c r="P8" i="9"/>
  <c r="R20" i="9"/>
  <c r="Q20" i="9"/>
  <c r="P20" i="9"/>
  <c r="E20" i="9"/>
  <c r="R6" i="9"/>
  <c r="Q6" i="9"/>
  <c r="P6" i="9"/>
  <c r="R16" i="9"/>
  <c r="Q16" i="9"/>
  <c r="P16" i="9"/>
  <c r="E16" i="9"/>
  <c r="R11" i="9"/>
  <c r="Q11" i="9"/>
  <c r="P11" i="9"/>
  <c r="R13" i="9"/>
  <c r="Q13" i="9"/>
  <c r="P13" i="9"/>
  <c r="R18" i="9"/>
  <c r="P18" i="9"/>
  <c r="E18" i="9"/>
  <c r="K180" i="9" l="1"/>
  <c r="K187" i="9"/>
  <c r="K189" i="9"/>
  <c r="K181" i="9"/>
  <c r="K188" i="9"/>
  <c r="K185" i="9"/>
  <c r="P192" i="9"/>
  <c r="K186" i="9"/>
  <c r="K182" i="9"/>
  <c r="K184" i="9"/>
  <c r="K166" i="9"/>
  <c r="K156" i="9"/>
  <c r="K163" i="9"/>
  <c r="K164" i="9"/>
  <c r="K160" i="9"/>
  <c r="K162" i="9"/>
  <c r="K123" i="9"/>
  <c r="K67" i="9"/>
  <c r="K75" i="9"/>
  <c r="K85" i="9"/>
  <c r="K78" i="9"/>
  <c r="K64" i="9"/>
  <c r="K84" i="9"/>
  <c r="K76" i="9"/>
  <c r="K63" i="9"/>
  <c r="K65" i="9"/>
  <c r="K58" i="9"/>
  <c r="K61" i="9"/>
  <c r="K35" i="9"/>
  <c r="K30" i="9"/>
  <c r="K29" i="9"/>
  <c r="K50" i="9"/>
  <c r="K36" i="9"/>
  <c r="K33" i="9"/>
  <c r="K48" i="9"/>
  <c r="K31" i="9"/>
  <c r="P54" i="9"/>
  <c r="K13" i="9"/>
  <c r="K16" i="9"/>
  <c r="K20" i="9"/>
  <c r="K15" i="9"/>
  <c r="K18" i="9"/>
  <c r="K14" i="9"/>
  <c r="K17" i="9"/>
  <c r="K10" i="9"/>
  <c r="K21" i="9"/>
  <c r="K11" i="9"/>
  <c r="K143" i="9"/>
  <c r="K138" i="9"/>
  <c r="K134" i="9"/>
  <c r="K117" i="9"/>
  <c r="K118" i="9"/>
  <c r="K116" i="9"/>
  <c r="K7" i="9"/>
  <c r="K6" i="9"/>
  <c r="K8" i="9"/>
  <c r="K9" i="9"/>
  <c r="E156" i="9"/>
  <c r="E160" i="9"/>
  <c r="P167" i="9"/>
  <c r="E7" i="9"/>
  <c r="K68" i="9"/>
  <c r="K72" i="9"/>
  <c r="K71" i="9"/>
  <c r="K132" i="9"/>
  <c r="K129" i="9"/>
  <c r="K140" i="9"/>
  <c r="P146" i="9"/>
  <c r="E164" i="9"/>
  <c r="E11" i="9"/>
  <c r="E9" i="9"/>
  <c r="E10" i="9"/>
  <c r="K40" i="9"/>
  <c r="K27" i="9"/>
  <c r="K42" i="9"/>
  <c r="K47" i="9"/>
  <c r="K25" i="9"/>
  <c r="K37" i="9"/>
  <c r="K53" i="9"/>
  <c r="K79" i="9"/>
  <c r="K62" i="9"/>
  <c r="K70" i="9"/>
  <c r="E74" i="9"/>
  <c r="E117" i="9"/>
  <c r="E165" i="9"/>
  <c r="P92" i="9"/>
  <c r="K133" i="9"/>
  <c r="K127" i="9"/>
  <c r="K57" i="9"/>
  <c r="K74" i="9"/>
  <c r="K126" i="9"/>
  <c r="K122" i="9"/>
  <c r="E162" i="9"/>
  <c r="K139" i="9"/>
  <c r="E13" i="9"/>
  <c r="E17" i="9"/>
  <c r="E19" i="9"/>
  <c r="K69" i="9"/>
  <c r="K77" i="9"/>
  <c r="K81" i="9"/>
  <c r="K142" i="9"/>
  <c r="K131" i="9"/>
  <c r="E166" i="9"/>
  <c r="E92" i="9"/>
  <c r="E6" i="9"/>
  <c r="E15" i="9"/>
  <c r="K86" i="9"/>
  <c r="E61" i="9"/>
  <c r="K83" i="9"/>
  <c r="K115" i="9"/>
  <c r="E109" i="9" l="1"/>
  <c r="E103" i="9"/>
  <c r="E107" i="9"/>
  <c r="E111" i="9"/>
  <c r="E97" i="9"/>
  <c r="E106" i="9"/>
  <c r="E99" i="9"/>
  <c r="E108" i="9"/>
  <c r="E94" i="9"/>
  <c r="E91" i="9"/>
  <c r="E105" i="9"/>
  <c r="E100" i="9"/>
  <c r="E146" i="9" l="1"/>
  <c r="E119" i="9"/>
  <c r="E152" i="9"/>
  <c r="E167" i="9"/>
  <c r="E54" i="9"/>
  <c r="E22" i="9"/>
  <c r="E87" i="9"/>
  <c r="E112" i="9"/>
  <c r="AT142" i="11" l="1"/>
  <c r="AT137" i="11"/>
  <c r="AQ137" i="11"/>
  <c r="AS137" i="11" s="1"/>
  <c r="AT136" i="11"/>
  <c r="AS136" i="11"/>
  <c r="AT135" i="11"/>
  <c r="AS135" i="11"/>
  <c r="AT134" i="11"/>
  <c r="AS134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Q125" i="11"/>
  <c r="AQ142" i="11" s="1"/>
  <c r="AS142" i="11" s="1"/>
  <c r="AT124" i="11"/>
  <c r="AQ124" i="11"/>
  <c r="AS124" i="11" s="1"/>
  <c r="AT120" i="11"/>
  <c r="AS120" i="11"/>
  <c r="AT118" i="11"/>
  <c r="AS118" i="11"/>
  <c r="AT117" i="11"/>
  <c r="AS117" i="11"/>
  <c r="AT116" i="11"/>
  <c r="AS116" i="11"/>
  <c r="AT115" i="11"/>
  <c r="AS115" i="11"/>
  <c r="AT114" i="11"/>
  <c r="AS114" i="11"/>
  <c r="AT113" i="11"/>
  <c r="AQ113" i="11"/>
  <c r="AS113" i="11" s="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6" i="11"/>
  <c r="AS96" i="11"/>
  <c r="AT95" i="11"/>
  <c r="AS95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9" i="11"/>
  <c r="AS29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20" i="11"/>
  <c r="AS20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5" i="11" l="1"/>
  <c r="T175" i="9"/>
  <c r="T193" i="9"/>
  <c r="K106" i="9"/>
  <c r="P168" i="9" l="1"/>
  <c r="K99" i="9"/>
  <c r="K92" i="9"/>
  <c r="K107" i="9"/>
  <c r="K109" i="9"/>
  <c r="K105" i="9"/>
  <c r="K108" i="9"/>
  <c r="K97" i="9"/>
  <c r="P112" i="9"/>
  <c r="K100" i="9"/>
  <c r="K94" i="9"/>
  <c r="K91" i="9"/>
  <c r="K111" i="9"/>
  <c r="K54" i="9" l="1"/>
  <c r="K87" i="9"/>
  <c r="T168" i="9"/>
  <c r="K152" i="9"/>
  <c r="K22" i="9"/>
  <c r="K112" i="9"/>
  <c r="K146" i="9"/>
  <c r="K119" i="9"/>
</calcChain>
</file>

<file path=xl/sharedStrings.xml><?xml version="1.0" encoding="utf-8"?>
<sst xmlns="http://schemas.openxmlformats.org/spreadsheetml/2006/main" count="723" uniqueCount="286">
  <si>
    <t>EQUITY BASED FUNDS</t>
  </si>
  <si>
    <t>S/N</t>
  </si>
  <si>
    <t>FUND</t>
  </si>
  <si>
    <t>Unit Price</t>
  </si>
  <si>
    <t>N</t>
  </si>
  <si>
    <t>Stanbic IBTC Asset Mgt. Limited</t>
  </si>
  <si>
    <t>Asset &amp; Resources Mgt. Co. Ltd</t>
  </si>
  <si>
    <t>FSDH Asset Management Ltd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</si>
  <si>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</si>
  <si>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</si>
  <si>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</si>
  <si>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</si>
  <si>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</si>
  <si>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</si>
  <si>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</si>
  <si>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</si>
  <si>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</si>
  <si>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</si>
  <si>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</si>
  <si>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</si>
  <si>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</si>
  <si>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</si>
  <si>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</si>
  <si>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</si>
  <si>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</si>
  <si>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</si>
  <si>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</si>
  <si>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</si>
  <si>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</si>
  <si>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</si>
  <si>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</si>
  <si>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</si>
  <si>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</si>
  <si>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</si>
  <si>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</si>
  <si>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</si>
  <si>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</si>
  <si>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</si>
  <si>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</si>
  <si>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</si>
  <si>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</si>
  <si>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</si>
  <si>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</si>
  <si>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</si>
  <si>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</si>
  <si>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</si>
  <si>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</si>
  <si>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</si>
  <si>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</si>
  <si>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</si>
  <si>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</si>
  <si>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</si>
  <si>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</si>
  <si>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</si>
  <si>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</si>
  <si>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</si>
  <si>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</si>
  <si>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</si>
  <si>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</si>
  <si>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</si>
  <si>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</si>
  <si>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</si>
  <si>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</si>
  <si>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</si>
  <si>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</si>
  <si>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</si>
  <si>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</si>
  <si>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</si>
  <si>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</si>
  <si>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</si>
  <si>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</si>
  <si>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</si>
  <si>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</si>
  <si>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</si>
  <si>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</si>
  <si>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</si>
  <si>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</si>
  <si>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</si>
  <si>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</si>
  <si>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</si>
  <si>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</si>
  <si>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</si>
  <si>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</si>
  <si>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</si>
  <si>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</si>
  <si>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</si>
  <si>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</si>
  <si>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</si>
  <si>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</si>
  <si>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</si>
  <si>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</si>
  <si>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</si>
  <si>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</si>
  <si>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</si>
  <si>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</si>
  <si>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</si>
  <si>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</si>
  <si>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</si>
  <si>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</si>
  <si>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</si>
  <si>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</si>
  <si>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</si>
  <si>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</si>
  <si>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</si>
  <si>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</si>
  <si>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</si>
  <si>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</si>
  <si>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</si>
  <si>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</si>
  <si>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</si>
  <si>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</si>
  <si>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</si>
  <si>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</si>
  <si>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</si>
  <si>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</si>
  <si>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</si>
  <si>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</si>
  <si>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</si>
  <si>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</si>
  <si>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</si>
  <si>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</si>
  <si>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</si>
  <si>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</si>
  <si>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</si>
  <si>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</si>
  <si>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</si>
  <si>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</si>
  <si>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</si>
  <si>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</si>
  <si>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</si>
  <si>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</si>
  <si>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</si>
  <si>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</si>
  <si>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</si>
  <si>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</si>
  <si>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</si>
  <si>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</si>
  <si>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</si>
  <si>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</si>
  <si>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</si>
  <si>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</si>
  <si>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</si>
  <si>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</si>
  <si>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</si>
  <si>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</si>
  <si>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</si>
  <si>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</si>
  <si>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</si>
  <si>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</si>
  <si>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</si>
  <si>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</si>
  <si>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</si>
  <si>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</si>
  <si>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</si>
  <si>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</si>
  <si>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</si>
  <si>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</si>
  <si>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</si>
  <si>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</si>
  <si>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</si>
  <si>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</si>
  <si>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</si>
  <si>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</si>
  <si>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 xml:space="preserve">Novambl Asset Management 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</si>
  <si>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</si>
  <si>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</si>
  <si>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</si>
  <si>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</si>
  <si>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</si>
  <si>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</si>
  <si>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</si>
  <si>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</si>
  <si>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</si>
  <si>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</si>
  <si>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</si>
  <si>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</si>
  <si>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</si>
  <si>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</si>
  <si>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</si>
  <si>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</si>
  <si>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</si>
  <si>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</si>
  <si>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</si>
  <si>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</si>
  <si>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</si>
  <si>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</si>
  <si>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</si>
  <si>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</si>
  <si>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</si>
  <si>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</si>
  <si>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</si>
  <si>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</si>
  <si>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</si>
  <si>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</si>
  <si>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</si>
  <si>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</si>
  <si>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</si>
  <si>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</si>
  <si>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</si>
  <si>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</si>
  <si>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</si>
  <si>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</si>
  <si>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</si>
  <si>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</si>
  <si>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</si>
  <si>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</si>
  <si>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</si>
  <si>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</si>
  <si>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</si>
  <si>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</si>
  <si>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</si>
  <si>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</si>
  <si>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</si>
  <si>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</si>
  <si>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United Capital Wealth for Women Fund (Gender/Diversity)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</si>
  <si>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</si>
  <si>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</si>
  <si>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</si>
  <si>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</si>
  <si>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</si>
  <si>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</si>
  <si>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</si>
  <si>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</si>
  <si>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</si>
  <si>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</si>
  <si>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</si>
  <si>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</si>
  <si>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</si>
  <si>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</si>
  <si>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</si>
  <si>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</si>
  <si>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</si>
  <si>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</si>
  <si>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</si>
  <si>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</si>
  <si>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</si>
  <si>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</si>
  <si>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</si>
  <si>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</si>
  <si>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</si>
  <si>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</si>
  <si>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</si>
  <si>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</si>
  <si>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</si>
  <si>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</si>
  <si>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</si>
  <si>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</si>
  <si>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</si>
  <si>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Guaranty Trust Fund Managers</t>
  </si>
  <si>
    <t>United Capital Infrastructure Fund</t>
  </si>
  <si>
    <t>UBA Nom-Cowry Equity Fund</t>
  </si>
  <si>
    <t>Cowry Treasurers Limited</t>
  </si>
  <si>
    <t>UBA Nom-Cowry Fixed Income Fund</t>
  </si>
  <si>
    <t>UBA Nom-Cowry Balanced Fund</t>
  </si>
  <si>
    <t>TOTAL</t>
  </si>
  <si>
    <t>Norrenberger Dollar Fund</t>
  </si>
  <si>
    <t>FBN Bond Fund</t>
  </si>
  <si>
    <t>United Capital Nigerian Eurobond Fund</t>
  </si>
  <si>
    <t>United Capital Global Fixed Income Fund</t>
  </si>
  <si>
    <t>Yield (WTD)</t>
  </si>
  <si>
    <t>Yield  (YTD)</t>
  </si>
  <si>
    <t>Greenwich Balanced Fund</t>
  </si>
  <si>
    <t>NAV and Unit Price as at Week Ended March 24, 2023</t>
  </si>
  <si>
    <t>Yield (%) WYD</t>
  </si>
  <si>
    <t>Yield (%) YTD</t>
  </si>
  <si>
    <t>Coronation Asset Management Ltd</t>
  </si>
  <si>
    <t>NAV and Unit Price as at Week Ended March 31, 2023</t>
  </si>
  <si>
    <t>NAV and Unit Price as at Week Ended April 6, 2023</t>
  </si>
  <si>
    <t>% Change in Total NAV of ETFs</t>
  </si>
  <si>
    <t>% Change in Total NAV of CIS</t>
  </si>
  <si>
    <t>First Ally Money Market Fund</t>
  </si>
  <si>
    <t>BOND/FIXED INCOME FUNDS</t>
  </si>
  <si>
    <t>NAV and Unit Price as at Week Ended April 14, 2023</t>
  </si>
  <si>
    <t>Emerging Africa Balanced-Diversity Fund</t>
  </si>
  <si>
    <t>GDL CanaryGrowth Fund</t>
  </si>
  <si>
    <t>Coral Balanced Fund</t>
  </si>
  <si>
    <t>FBN Specialized Dollar Fund</t>
  </si>
  <si>
    <t>NAV and Unit Price as at Week Ended April 20, 2023</t>
  </si>
  <si>
    <t>NAV and Unit Price as at Week Ended April 28, 2023</t>
  </si>
  <si>
    <t>NAV and Unit Price as at Week Ended May 5, 2023</t>
  </si>
  <si>
    <t>NAV, Unit Price and Yield as at Week Ended May 12, 2023</t>
  </si>
  <si>
    <t>NAV and Unit Price as at Week Ended May 12, 2023</t>
  </si>
  <si>
    <t>NET ASSET VALUES AND UNIT PRICES OF COLLECTIVE INVESTMENT SCHEMES AS AT WEEK ENDED MAY 19, 2023</t>
  </si>
  <si>
    <t>NAV, Unit Price and Yield as at Week Ended May 19, 2023</t>
  </si>
  <si>
    <t>NAV and Unit Price as at Week Ended May 19, 2023</t>
  </si>
  <si>
    <t>The chart above shows that Money Market Fund category has 49.33% share of the Net Asset Value (NAV), followed by Dollar Fund (Eurobonds and Fixed Income) with 20.17%, Bond/Fixed Income Fund at 19.98%, Real Estate Investment Trust at 5.76%.  Next is Balanced Fund at 1.96%, Shari'ah Compliant Fund at 1.56%, Equity Fund at 1.05% and Ethical Fund at 0.19%.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</si>
</sst>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  <numFmt numFmtId="170" formatCode="&quot;True&quot;;&quot;True&quot;;&quot;False&quot;"/>
    <numFmt numFmtId="171" formatCode="#,##0_ ;\-#,##0\ "/>
    <numFmt numFmtId="172" formatCode="&quot; &quot;#,##0.00&quot; &quot;;&quot;-&quot;#,##0.00&quot; &quot;;&quot; -&quot;00&quot; &quot;;&quot; &quot;@&quot; &quot;"/>
    <numFmt numFmtId="173" formatCode="_([$€]* #,##0.00_);_([$€]* \(#,##0.00\);_([$€]* &quot;-&quot;??_);_(@_)"/>
  </numFmts>
  <fonts count="97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9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Book Antiqua"/>
      <family val="2"/>
    </font>
    <font>
      <sz val="11"/>
      <color theme="1"/>
      <name val="Book Antiqua"/>
      <family val="2"/>
    </font>
    <font>
      <b/>
      <sz val="14"/>
      <color rgb="FFFF0000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6"/>
      <color theme="0"/>
      <name val="Arial Narrow"/>
      <family val="2"/>
    </font>
    <font>
      <b/>
      <sz val="10"/>
      <color theme="0"/>
      <name val="Arial Narrow"/>
      <family val="2"/>
    </font>
    <font>
      <b/>
      <sz val="36"/>
      <color rgb="FFFF0000"/>
      <name val="Calibri"/>
      <family val="2"/>
      <scheme val="minor"/>
    </font>
    <font>
      <sz val="8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351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6" fillId="16" borderId="15" applyNumberFormat="0" applyAlignment="0" applyProtection="0"/>
    <xf numFmtId="0" fontId="47" fillId="17" borderId="16" applyNumberFormat="0" applyAlignment="0" applyProtection="0"/>
    <xf numFmtId="0" fontId="48" fillId="17" borderId="15" applyNumberFormat="0" applyAlignment="0" applyProtection="0"/>
    <xf numFmtId="0" fontId="49" fillId="0" borderId="17" applyNumberFormat="0" applyFill="0" applyAlignment="0" applyProtection="0"/>
    <xf numFmtId="0" fontId="50" fillId="18" borderId="18" applyNumberFormat="0" applyAlignment="0" applyProtection="0"/>
    <xf numFmtId="0" fontId="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2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2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2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2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2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2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8" fillId="0" borderId="0"/>
    <xf numFmtId="0" fontId="70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" fillId="19" borderId="19" applyNumberFormat="0" applyFont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74" fillId="0" borderId="0">
      <alignment vertical="top"/>
    </xf>
    <xf numFmtId="0" fontId="74" fillId="0" borderId="0">
      <alignment vertical="top"/>
    </xf>
    <xf numFmtId="0" fontId="53" fillId="0" borderId="0">
      <alignment wrapText="1"/>
    </xf>
    <xf numFmtId="0" fontId="55" fillId="0" borderId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5" fillId="0" borderId="0"/>
    <xf numFmtId="164" fontId="53" fillId="0" borderId="0" applyFont="0" applyFill="0" applyBorder="0" applyAlignment="0" applyProtection="0"/>
    <xf numFmtId="0" fontId="76" fillId="48" borderId="0" applyNumberFormat="0" applyBorder="0" applyAlignment="0" applyProtection="0"/>
    <xf numFmtId="0" fontId="77" fillId="16" borderId="15" applyNumberFormat="0" applyAlignment="0" applyProtection="0"/>
    <xf numFmtId="0" fontId="78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3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43" fontId="5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88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8" fillId="0" borderId="0"/>
    <xf numFmtId="0" fontId="53" fillId="0" borderId="0">
      <alignment wrapText="1"/>
    </xf>
    <xf numFmtId="0" fontId="53" fillId="0" borderId="0">
      <alignment wrapText="1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57" fillId="0" borderId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8" fillId="0" borderId="0" applyNumberFormat="0" applyFont="0" applyBorder="0" applyProtection="0"/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5" fillId="19" borderId="19" applyNumberFormat="0" applyFont="0" applyAlignment="0" applyProtection="0"/>
    <xf numFmtId="9" fontId="57" fillId="0" borderId="0" applyFont="0" applyFill="0" applyBorder="0" applyAlignment="0" applyProtection="0"/>
    <xf numFmtId="9" fontId="88" fillId="0" borderId="0" applyFont="0" applyFill="0" applyBorder="0" applyAlignment="0" applyProtection="0"/>
    <xf numFmtId="169" fontId="53" fillId="0" borderId="0" applyFont="0" applyFill="0" applyBorder="0" applyAlignment="0" applyProtection="0">
      <alignment wrapText="1"/>
    </xf>
    <xf numFmtId="43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9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>
      <alignment wrapText="1"/>
    </xf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9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8" fillId="0" borderId="0"/>
    <xf numFmtId="0" fontId="53" fillId="0" borderId="0">
      <alignment wrapText="1"/>
    </xf>
    <xf numFmtId="0" fontId="5" fillId="0" borderId="0"/>
    <xf numFmtId="0" fontId="5" fillId="0" borderId="0"/>
    <xf numFmtId="0" fontId="53" fillId="0" borderId="0"/>
    <xf numFmtId="0" fontId="89" fillId="0" borderId="0"/>
    <xf numFmtId="0" fontId="55" fillId="0" borderId="0"/>
    <xf numFmtId="0" fontId="58" fillId="0" borderId="0"/>
    <xf numFmtId="0" fontId="58" fillId="0" borderId="0"/>
    <xf numFmtId="0" fontId="53" fillId="0" borderId="0"/>
    <xf numFmtId="0" fontId="53" fillId="0" borderId="0">
      <alignment wrapText="1"/>
    </xf>
    <xf numFmtId="0" fontId="5" fillId="0" borderId="0"/>
    <xf numFmtId="0" fontId="53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9" fillId="0" borderId="0"/>
    <xf numFmtId="0" fontId="58" fillId="0" borderId="0"/>
    <xf numFmtId="0" fontId="53" fillId="0" borderId="0">
      <alignment wrapText="1"/>
    </xf>
    <xf numFmtId="0" fontId="5" fillId="0" borderId="0"/>
    <xf numFmtId="0" fontId="53" fillId="0" borderId="0">
      <alignment wrapText="1"/>
    </xf>
    <xf numFmtId="0" fontId="53" fillId="0" borderId="0">
      <alignment wrapText="1"/>
    </xf>
    <xf numFmtId="0" fontId="5" fillId="0" borderId="0"/>
    <xf numFmtId="0" fontId="5" fillId="0" borderId="0"/>
    <xf numFmtId="0" fontId="5" fillId="0" borderId="0"/>
    <xf numFmtId="0" fontId="53" fillId="0" borderId="0"/>
    <xf numFmtId="0" fontId="38" fillId="0" borderId="0"/>
    <xf numFmtId="0" fontId="53" fillId="0" borderId="0">
      <alignment wrapText="1"/>
    </xf>
    <xf numFmtId="0" fontId="89" fillId="0" borderId="0"/>
    <xf numFmtId="0" fontId="89" fillId="0" borderId="0"/>
    <xf numFmtId="0" fontId="89" fillId="0" borderId="0"/>
    <xf numFmtId="0" fontId="53" fillId="0" borderId="0"/>
    <xf numFmtId="0" fontId="38" fillId="0" borderId="0"/>
    <xf numFmtId="0" fontId="53" fillId="0" borderId="0"/>
    <xf numFmtId="0" fontId="53" fillId="0" borderId="0"/>
    <xf numFmtId="0" fontId="53" fillId="0" borderId="0"/>
    <xf numFmtId="0" fontId="90" fillId="0" borderId="0"/>
    <xf numFmtId="0" fontId="90" fillId="0" borderId="0"/>
    <xf numFmtId="0" fontId="90" fillId="0" borderId="0"/>
    <xf numFmtId="0" fontId="53" fillId="0" borderId="0"/>
    <xf numFmtId="0" fontId="5" fillId="19" borderId="19" applyNumberFormat="0" applyFont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>
      <alignment wrapText="1"/>
    </xf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7">
    <xf numFmtId="0" fontId="0" fillId="0" borderId="0" xfId="0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59" fillId="0" borderId="0" xfId="0" applyFont="1" applyBorder="1"/>
    <xf numFmtId="0" fontId="59" fillId="0" borderId="0" xfId="0" applyFont="1" applyAlignment="1">
      <alignment horizontal="right"/>
    </xf>
    <xf numFmtId="4" fontId="60" fillId="0" borderId="0" xfId="0" applyNumberFormat="1" applyFont="1"/>
    <xf numFmtId="0" fontId="3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2" fillId="6" borderId="0" xfId="0" quotePrefix="1" applyFont="1" applyFill="1" applyBorder="1" applyAlignment="1">
      <alignment horizontal="center"/>
    </xf>
    <xf numFmtId="10" fontId="61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5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4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0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67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6" fillId="6" borderId="0" xfId="0" applyFont="1" applyFill="1" applyBorder="1" applyAlignment="1">
      <alignment vertical="center"/>
    </xf>
    <xf numFmtId="4" fontId="66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39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8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3" fillId="6" borderId="0" xfId="0" applyFont="1" applyFill="1" applyBorder="1"/>
    <xf numFmtId="4" fontId="35" fillId="6" borderId="0" xfId="0" applyNumberFormat="1" applyFont="1" applyFill="1" applyBorder="1"/>
    <xf numFmtId="0" fontId="40" fillId="6" borderId="0" xfId="0" applyFont="1" applyFill="1" applyBorder="1"/>
    <xf numFmtId="4" fontId="40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2" fillId="0" borderId="0" xfId="0" applyFont="1" applyBorder="1"/>
    <xf numFmtId="4" fontId="52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69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center" vertical="center" wrapText="1"/>
    </xf>
    <xf numFmtId="0" fontId="69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8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1" fillId="6" borderId="0" xfId="0" applyNumberFormat="1" applyFont="1" applyFill="1" applyBorder="1" applyAlignment="1">
      <alignment horizontal="center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3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1" xfId="0" applyFont="1" applyFill="1" applyBorder="1" applyAlignment="1">
      <alignment horizontal="right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79" fillId="6" borderId="0" xfId="13398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43" fontId="1" fillId="6" borderId="1" xfId="13398" applyFont="1" applyFill="1" applyBorder="1" applyAlignment="1">
      <alignment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 wrapText="1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16" fontId="80" fillId="6" borderId="1" xfId="0" applyNumberFormat="1" applyFont="1" applyFill="1" applyBorder="1"/>
    <xf numFmtId="4" fontId="64" fillId="6" borderId="1" xfId="0" applyNumberFormat="1" applyFont="1" applyFill="1" applyBorder="1"/>
    <xf numFmtId="4" fontId="64" fillId="6" borderId="1" xfId="0" applyNumberFormat="1" applyFont="1" applyFill="1" applyBorder="1" applyAlignment="1">
      <alignment horizontal="right"/>
    </xf>
    <xf numFmtId="165" fontId="81" fillId="6" borderId="1" xfId="2" applyFont="1" applyFill="1" applyBorder="1" applyAlignment="1">
      <alignment horizontal="right" vertical="top" wrapText="1"/>
    </xf>
    <xf numFmtId="0" fontId="64" fillId="0" borderId="0" xfId="0" applyFont="1"/>
    <xf numFmtId="165" fontId="64" fillId="0" borderId="0" xfId="2" applyFont="1"/>
    <xf numFmtId="0" fontId="82" fillId="0" borderId="1" xfId="0" applyFont="1" applyBorder="1" applyAlignment="1">
      <alignment horizontal="right"/>
    </xf>
    <xf numFmtId="0" fontId="80" fillId="0" borderId="1" xfId="0" applyFont="1" applyBorder="1" applyAlignment="1">
      <alignment horizontal="right"/>
    </xf>
    <xf numFmtId="0" fontId="83" fillId="44" borderId="1" xfId="0" applyFont="1" applyFill="1" applyBorder="1" applyAlignment="1">
      <alignment horizontal="right"/>
    </xf>
    <xf numFmtId="165" fontId="83" fillId="44" borderId="1" xfId="0" applyNumberFormat="1" applyFont="1" applyFill="1" applyBorder="1"/>
    <xf numFmtId="0" fontId="82" fillId="50" borderId="1" xfId="0" applyFont="1" applyFill="1" applyBorder="1" applyAlignment="1">
      <alignment horizontal="right"/>
    </xf>
    <xf numFmtId="165" fontId="82" fillId="50" borderId="1" xfId="0" quotePrefix="1" applyNumberFormat="1" applyFont="1" applyFill="1" applyBorder="1" applyAlignment="1">
      <alignment horizontal="center"/>
    </xf>
    <xf numFmtId="165" fontId="82" fillId="50" borderId="1" xfId="0" applyNumberFormat="1" applyFont="1" applyFill="1" applyBorder="1"/>
    <xf numFmtId="165" fontId="82" fillId="50" borderId="1" xfId="2" applyFont="1" applyFill="1" applyBorder="1"/>
    <xf numFmtId="4" fontId="35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 wrapText="1"/>
    </xf>
    <xf numFmtId="0" fontId="0" fillId="0" borderId="0" xfId="0"/>
    <xf numFmtId="16" fontId="80" fillId="6" borderId="0" xfId="0" applyNumberFormat="1" applyFont="1" applyFill="1" applyBorder="1"/>
    <xf numFmtId="0" fontId="80" fillId="0" borderId="0" xfId="0" applyFont="1" applyBorder="1" applyAlignment="1">
      <alignment horizontal="right"/>
    </xf>
    <xf numFmtId="4" fontId="64" fillId="6" borderId="0" xfId="0" applyNumberFormat="1" applyFont="1" applyFill="1" applyBorder="1"/>
    <xf numFmtId="4" fontId="64" fillId="6" borderId="0" xfId="0" applyNumberFormat="1" applyFont="1" applyFill="1" applyBorder="1" applyAlignment="1">
      <alignment horizontal="right"/>
    </xf>
    <xf numFmtId="165" fontId="81" fillId="6" borderId="0" xfId="2" applyFont="1" applyFill="1" applyBorder="1" applyAlignment="1">
      <alignment horizontal="right" vertical="top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0" fontId="10" fillId="8" borderId="3" xfId="2" applyNumberFormat="1" applyFont="1" applyFill="1" applyBorder="1" applyAlignment="1">
      <alignment horizontal="center" vertical="top" wrapText="1"/>
    </xf>
    <xf numFmtId="0" fontId="10" fillId="6" borderId="3" xfId="0" applyFont="1" applyFill="1" applyBorder="1"/>
    <xf numFmtId="0" fontId="10" fillId="8" borderId="3" xfId="0" applyFont="1" applyFill="1" applyBorder="1"/>
    <xf numFmtId="0" fontId="2" fillId="7" borderId="3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5" fontId="3" fillId="46" borderId="1" xfId="2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center" vertical="top" wrapText="1"/>
    </xf>
    <xf numFmtId="165" fontId="72" fillId="46" borderId="1" xfId="2" applyFont="1" applyFill="1" applyBorder="1" applyAlignment="1">
      <alignment horizontal="right" vertical="top" wrapText="1"/>
    </xf>
    <xf numFmtId="10" fontId="13" fillId="46" borderId="1" xfId="6" applyNumberFormat="1" applyFont="1" applyFill="1" applyBorder="1" applyAlignment="1">
      <alignment horizontal="center" vertical="top" wrapText="1"/>
    </xf>
    <xf numFmtId="166" fontId="13" fillId="46" borderId="1" xfId="6" applyNumberFormat="1" applyFont="1" applyFill="1" applyBorder="1" applyAlignment="1">
      <alignment horizontal="center" vertical="top" wrapText="1"/>
    </xf>
    <xf numFmtId="10" fontId="10" fillId="46" borderId="3" xfId="2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right"/>
    </xf>
    <xf numFmtId="0" fontId="2" fillId="46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43" fontId="1" fillId="6" borderId="0" xfId="13398" applyFont="1" applyFill="1" applyBorder="1" applyAlignment="1">
      <alignment horizontal="right"/>
    </xf>
    <xf numFmtId="4" fontId="84" fillId="0" borderId="1" xfId="0" applyNumberFormat="1" applyFont="1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91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49" fontId="96" fillId="0" borderId="1" xfId="0" applyNumberFormat="1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69" fillId="44" borderId="6" xfId="0" applyFont="1" applyFill="1" applyBorder="1" applyAlignment="1">
      <alignment horizontal="center"/>
    </xf>
    <xf numFmtId="0" fontId="69" fillId="44" borderId="26" xfId="0" applyFont="1" applyFill="1" applyBorder="1" applyAlignment="1">
      <alignment horizontal="center"/>
    </xf>
    <xf numFmtId="0" fontId="69" fillId="44" borderId="1" xfId="0" applyFont="1" applyFill="1" applyBorder="1" applyAlignment="1">
      <alignment horizontal="center"/>
    </xf>
    <xf numFmtId="0" fontId="69" fillId="44" borderId="3" xfId="0" applyFont="1" applyFill="1" applyBorder="1" applyAlignment="1">
      <alignment horizontal="center"/>
    </xf>
    <xf numFmtId="0" fontId="69" fillId="44" borderId="6" xfId="0" applyFont="1" applyFill="1" applyBorder="1" applyAlignment="1">
      <alignment horizontal="center" wrapText="1"/>
    </xf>
    <xf numFmtId="0" fontId="69" fillId="44" borderId="26" xfId="0" applyFont="1" applyFill="1" applyBorder="1" applyAlignment="1">
      <alignment horizontal="center" wrapText="1"/>
    </xf>
    <xf numFmtId="0" fontId="69" fillId="44" borderId="1" xfId="0" applyFont="1" applyFill="1" applyBorder="1" applyAlignment="1">
      <alignment horizontal="center" wrapText="1"/>
    </xf>
    <xf numFmtId="0" fontId="69" fillId="44" borderId="3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2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0" fillId="6" borderId="0" xfId="0" applyFill="1" applyBorder="1" applyAlignment="1">
      <alignment wrapText="1"/>
    </xf>
    <xf numFmtId="0" fontId="37" fillId="6" borderId="0" xfId="0" applyFont="1" applyFill="1" applyBorder="1" applyAlignment="1">
      <alignment wrapText="1"/>
    </xf>
    <xf numFmtId="165" fontId="5" fillId="6" borderId="0" xfId="2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 vertical="top"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0" fontId="35" fillId="6" borderId="0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 wrapText="1"/>
    </xf>
    <xf numFmtId="0" fontId="69" fillId="44" borderId="6" xfId="0" applyFont="1" applyFill="1" applyBorder="1" applyAlignment="1">
      <alignment horizontal="center" vertical="top" wrapText="1"/>
    </xf>
    <xf numFmtId="0" fontId="69" fillId="44" borderId="26" xfId="0" applyFont="1" applyFill="1" applyBorder="1" applyAlignment="1">
      <alignment horizontal="center" vertical="top" wrapText="1"/>
    </xf>
    <xf numFmtId="0" fontId="69" fillId="44" borderId="1" xfId="0" applyFont="1" applyFill="1" applyBorder="1" applyAlignment="1">
      <alignment horizontal="center" vertical="top" wrapText="1"/>
    </xf>
    <xf numFmtId="0" fontId="69" fillId="44" borderId="3" xfId="0" applyFont="1" applyFill="1" applyBorder="1" applyAlignment="1">
      <alignment horizontal="center" vertical="top" wrapText="1"/>
    </xf>
    <xf numFmtId="0" fontId="93" fillId="49" borderId="21" xfId="0" applyFont="1" applyFill="1" applyBorder="1" applyAlignment="1">
      <alignment horizontal="center"/>
    </xf>
    <xf numFmtId="0" fontId="93" fillId="49" borderId="25" xfId="0" applyFont="1" applyFill="1" applyBorder="1" applyAlignment="1">
      <alignment horizontal="center"/>
    </xf>
    <xf numFmtId="0" fontId="93" fillId="49" borderId="22" xfId="0" applyFont="1" applyFill="1" applyBorder="1" applyAlignment="1">
      <alignment horizontal="center"/>
    </xf>
    <xf numFmtId="0" fontId="93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2" fillId="7" borderId="26" xfId="0" applyFont="1" applyFill="1" applyBorder="1" applyAlignment="1">
      <alignment horizontal="center" vertical="top" wrapText="1"/>
    </xf>
    <xf numFmtId="0" fontId="94" fillId="45" borderId="6" xfId="0" applyFont="1" applyFill="1" applyBorder="1" applyAlignment="1">
      <alignment horizontal="center"/>
    </xf>
    <xf numFmtId="0" fontId="94" fillId="45" borderId="26" xfId="0" applyFont="1" applyFill="1" applyBorder="1" applyAlignment="1">
      <alignment horizontal="center"/>
    </xf>
    <xf numFmtId="0" fontId="94" fillId="45" borderId="1" xfId="0" applyFont="1" applyFill="1" applyBorder="1" applyAlignment="1">
      <alignment horizontal="center"/>
    </xf>
    <xf numFmtId="0" fontId="94" fillId="45" borderId="3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2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0" fontId="95" fillId="6" borderId="21" xfId="0" applyFont="1" applyFill="1" applyBorder="1" applyAlignment="1">
      <alignment horizontal="center"/>
    </xf>
    <xf numFmtId="0" fontId="95" fillId="6" borderId="22" xfId="0" applyFont="1" applyFill="1" applyBorder="1" applyAlignment="1">
      <alignment horizontal="center"/>
    </xf>
    <xf numFmtId="0" fontId="95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2035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13 3" xfId="19789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2 5" xfId="19795"/>
    <cellStyle name="Comma 10 2 6" xfId="20220"/>
    <cellStyle name="Comma 10 3" xfId="2337"/>
    <cellStyle name="Comma 10 3 2" xfId="13985"/>
    <cellStyle name="Comma 10 3 3" xfId="20293"/>
    <cellStyle name="Comma 10 4" xfId="10298"/>
    <cellStyle name="Comma 10 4 2" xfId="16837"/>
    <cellStyle name="Comma 10 5" xfId="13190"/>
    <cellStyle name="Comma 10 5 2" xfId="19699"/>
    <cellStyle name="Comma 10 6" xfId="13409"/>
    <cellStyle name="Comma 10 7" xfId="19794"/>
    <cellStyle name="Comma 10 8" xfId="20051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2 5" xfId="19797"/>
    <cellStyle name="Comma 11 2 6" xfId="20218"/>
    <cellStyle name="Comma 11 3" xfId="2373"/>
    <cellStyle name="Comma 11 3 2" xfId="13186"/>
    <cellStyle name="Comma 11 3 2 2" xfId="19696"/>
    <cellStyle name="Comma 11 3 3" xfId="14021"/>
    <cellStyle name="Comma 11 3 4" xfId="20291"/>
    <cellStyle name="Comma 11 4" xfId="10334"/>
    <cellStyle name="Comma 11 4 2" xfId="16873"/>
    <cellStyle name="Comma 11 5" xfId="13192"/>
    <cellStyle name="Comma 11 5 2" xfId="19701"/>
    <cellStyle name="Comma 11 6" xfId="13446"/>
    <cellStyle name="Comma 11 7" xfId="19796"/>
    <cellStyle name="Comma 11 8" xfId="20048"/>
    <cellStyle name="Comma 12" xfId="211"/>
    <cellStyle name="Comma 12 10" xfId="13194"/>
    <cellStyle name="Comma 12 10 2" xfId="19703"/>
    <cellStyle name="Comma 12 11" xfId="13445"/>
    <cellStyle name="Comma 12 12" xfId="19798"/>
    <cellStyle name="Comma 12 13" xfId="20044"/>
    <cellStyle name="Comma 12 2" xfId="449"/>
    <cellStyle name="Comma 12 2 10" xfId="19799"/>
    <cellStyle name="Comma 12 2 11" xfId="20215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3 8" xfId="20288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10" xfId="19800"/>
    <cellStyle name="Comma 13 11" xfId="20191"/>
    <cellStyle name="Comma 13 2" xfId="5744"/>
    <cellStyle name="Comma 13 2 2" xfId="11998"/>
    <cellStyle name="Comma 13 2 2 2" xfId="18537"/>
    <cellStyle name="Comma 13 2 3" xfId="15685"/>
    <cellStyle name="Comma 13 2 4" xfId="20270"/>
    <cellStyle name="Comma 13 3" xfId="8016"/>
    <cellStyle name="Comma 13 3 2" xfId="12569"/>
    <cellStyle name="Comma 13 3 2 2" xfId="19108"/>
    <cellStyle name="Comma 13 3 3" xfId="16256"/>
    <cellStyle name="Comma 13 3 4" xfId="20343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2 3" xfId="20272"/>
    <cellStyle name="Comma 14 3" xfId="13197"/>
    <cellStyle name="Comma 14 3 2" xfId="19706"/>
    <cellStyle name="Comma 14 3 3" xfId="20345"/>
    <cellStyle name="Comma 14 4" xfId="14540"/>
    <cellStyle name="Comma 14 5" xfId="19801"/>
    <cellStyle name="Comma 14 6" xfId="20193"/>
    <cellStyle name="Comma 15" xfId="13153"/>
    <cellStyle name="Comma 15 2" xfId="13198"/>
    <cellStyle name="Comma 15 2 2" xfId="19707"/>
    <cellStyle name="Comma 15 2 3" xfId="20201"/>
    <cellStyle name="Comma 15 3" xfId="19682"/>
    <cellStyle name="Comma 15 3 2" xfId="20346"/>
    <cellStyle name="Comma 15 4" xfId="19802"/>
    <cellStyle name="Comma 15 5" xfId="20195"/>
    <cellStyle name="Comma 16" xfId="13154"/>
    <cellStyle name="Comma 16 2" xfId="13199"/>
    <cellStyle name="Comma 16 2 2" xfId="19708"/>
    <cellStyle name="Comma 16 2 3" xfId="20347"/>
    <cellStyle name="Comma 16 3" xfId="19683"/>
    <cellStyle name="Comma 16 4" xfId="19803"/>
    <cellStyle name="Comma 16 5" xfId="20196"/>
    <cellStyle name="Comma 17" xfId="13180"/>
    <cellStyle name="Comma 17 2" xfId="13200"/>
    <cellStyle name="Comma 17 2 2" xfId="19709"/>
    <cellStyle name="Comma 17 2 3" xfId="20348"/>
    <cellStyle name="Comma 17 3" xfId="19691"/>
    <cellStyle name="Comma 17 4" xfId="19804"/>
    <cellStyle name="Comma 17 5" xfId="20197"/>
    <cellStyle name="Comma 18" xfId="13201"/>
    <cellStyle name="Comma 18 2" xfId="19710"/>
    <cellStyle name="Comma 18 2 2" xfId="20349"/>
    <cellStyle name="Comma 18 3" xfId="19805"/>
    <cellStyle name="Comma 18 4" xfId="20198"/>
    <cellStyle name="Comma 19" xfId="13202"/>
    <cellStyle name="Comma 19 2" xfId="19711"/>
    <cellStyle name="Comma 19 3" xfId="19806"/>
    <cellStyle name="Comma 19 4" xfId="20274"/>
    <cellStyle name="Comma 2" xfId="3"/>
    <cellStyle name="Comma 2 10" xfId="13203"/>
    <cellStyle name="Comma 2 10 2" xfId="19712"/>
    <cellStyle name="Comma 2 10 2 2" xfId="20211"/>
    <cellStyle name="Comma 2 10 3" xfId="20284"/>
    <cellStyle name="Comma 2 10 4" xfId="20037"/>
    <cellStyle name="Comma 2 11" xfId="13399"/>
    <cellStyle name="Comma 2 11 2" xfId="20033"/>
    <cellStyle name="Comma 2 12" xfId="19778"/>
    <cellStyle name="Comma 2 12 2" xfId="20222"/>
    <cellStyle name="Comma 2 12 3" xfId="20295"/>
    <cellStyle name="Comma 2 12 4" xfId="20054"/>
    <cellStyle name="Comma 2 13" xfId="19785"/>
    <cellStyle name="Comma 2 13 2" xfId="20271"/>
    <cellStyle name="Comma 2 13 3" xfId="20344"/>
    <cellStyle name="Comma 2 13 4" xfId="20192"/>
    <cellStyle name="Comma 2 14" xfId="19791"/>
    <cellStyle name="Comma 2 14 2" xfId="20199"/>
    <cellStyle name="Comma 2 15" xfId="19807"/>
    <cellStyle name="Comma 2 15 2" xfId="20273"/>
    <cellStyle name="Comma 2 16" xfId="19871"/>
    <cellStyle name="Comma 2 2" xfId="41"/>
    <cellStyle name="Comma 2 2 2" xfId="2894"/>
    <cellStyle name="Comma 2 2 2 2" xfId="14541"/>
    <cellStyle name="Comma 2 2 2 2 2" xfId="20043"/>
    <cellStyle name="Comma 2 2 2 3" xfId="20040"/>
    <cellStyle name="Comma 2 2 2 4" xfId="20036"/>
    <cellStyle name="Comma 2 2 2 5" xfId="20047"/>
    <cellStyle name="Comma 2 2 2 6" xfId="20203"/>
    <cellStyle name="Comma 2 2 2 7" xfId="20276"/>
    <cellStyle name="Comma 2 2 2 8" xfId="19879"/>
    <cellStyle name="Comma 2 2 3" xfId="10854"/>
    <cellStyle name="Comma 2 2 3 2" xfId="17393"/>
    <cellStyle name="Comma 2 2 3 3" xfId="20053"/>
    <cellStyle name="Comma 2 2 4" xfId="13177"/>
    <cellStyle name="Comma 2 2 4 2" xfId="19688"/>
    <cellStyle name="Comma 2 2 4 3" xfId="20050"/>
    <cellStyle name="Comma 2 2 5" xfId="13204"/>
    <cellStyle name="Comma 2 2 5 2" xfId="19713"/>
    <cellStyle name="Comma 2 2 5 2 2" xfId="20217"/>
    <cellStyle name="Comma 2 2 5 3" xfId="20290"/>
    <cellStyle name="Comma 2 2 5 4" xfId="20046"/>
    <cellStyle name="Comma 2 2 6" xfId="13401"/>
    <cellStyle name="Comma 2 2 6 2" xfId="20214"/>
    <cellStyle name="Comma 2 2 6 3" xfId="20287"/>
    <cellStyle name="Comma 2 2 6 4" xfId="20042"/>
    <cellStyle name="Comma 2 2 7" xfId="19780"/>
    <cellStyle name="Comma 2 2 7 2" xfId="20200"/>
    <cellStyle name="Comma 2 2 8" xfId="19808"/>
    <cellStyle name="Comma 2 2 9" xfId="19872"/>
    <cellStyle name="Comma 2 3" xfId="2323"/>
    <cellStyle name="Comma 2 3 2" xfId="13179"/>
    <cellStyle name="Comma 2 3 2 2" xfId="19690"/>
    <cellStyle name="Comma 2 3 2 2 2" xfId="20213"/>
    <cellStyle name="Comma 2 3 2 3" xfId="20286"/>
    <cellStyle name="Comma 2 3 2 4" xfId="20039"/>
    <cellStyle name="Comma 2 3 3" xfId="13974"/>
    <cellStyle name="Comma 2 3 3 2" xfId="20206"/>
    <cellStyle name="Comma 2 3 4" xfId="19782"/>
    <cellStyle name="Comma 2 3 4 2" xfId="20279"/>
    <cellStyle name="Comma 2 3 5" xfId="19884"/>
    <cellStyle name="Comma 2 4" xfId="2329"/>
    <cellStyle name="Comma 2 4 2" xfId="13977"/>
    <cellStyle name="Comma 2 4 2 2" xfId="20210"/>
    <cellStyle name="Comma 2 4 2 3" xfId="20283"/>
    <cellStyle name="Comma 2 4 2 4" xfId="20035"/>
    <cellStyle name="Comma 2 4 3" xfId="20223"/>
    <cellStyle name="Comma 2 4 4" xfId="20296"/>
    <cellStyle name="Comma 2 4 5" xfId="20055"/>
    <cellStyle name="Comma 2 5" xfId="10290"/>
    <cellStyle name="Comma 2 5 2" xfId="16829"/>
    <cellStyle name="Comma 2 5 2 2" xfId="20221"/>
    <cellStyle name="Comma 2 5 2 3" xfId="20294"/>
    <cellStyle name="Comma 2 5 2 4" xfId="20052"/>
    <cellStyle name="Comma 2 5 3" xfId="20205"/>
    <cellStyle name="Comma 2 5 4" xfId="20278"/>
    <cellStyle name="Comma 2 5 5" xfId="19883"/>
    <cellStyle name="Comma 2 6" xfId="13141"/>
    <cellStyle name="Comma 2 6 2" xfId="19680"/>
    <cellStyle name="Comma 2 6 2 2" xfId="20219"/>
    <cellStyle name="Comma 2 6 3" xfId="20292"/>
    <cellStyle name="Comma 2 6 4" xfId="20049"/>
    <cellStyle name="Comma 2 7" xfId="13170"/>
    <cellStyle name="Comma 2 7 2" xfId="19686"/>
    <cellStyle name="Comma 2 7 2 2" xfId="20216"/>
    <cellStyle name="Comma 2 7 3" xfId="20289"/>
    <cellStyle name="Comma 2 7 4" xfId="20045"/>
    <cellStyle name="Comma 2 8" xfId="13181"/>
    <cellStyle name="Comma 2 8 2" xfId="19692"/>
    <cellStyle name="Comma 2 8 3" xfId="20041"/>
    <cellStyle name="Comma 2 9" xfId="13183"/>
    <cellStyle name="Comma 2 9 2" xfId="19694"/>
    <cellStyle name="Comma 2 9 2 2" xfId="20212"/>
    <cellStyle name="Comma 2 9 3" xfId="20285"/>
    <cellStyle name="Comma 2 9 4" xfId="20038"/>
    <cellStyle name="Comma 20" xfId="13205"/>
    <cellStyle name="Comma 20 2" xfId="19714"/>
    <cellStyle name="Comma 20 3" xfId="19809"/>
    <cellStyle name="Comma 20 4" xfId="20350"/>
    <cellStyle name="Comma 21" xfId="13206"/>
    <cellStyle name="Comma 21 2" xfId="19715"/>
    <cellStyle name="Comma 21 3" xfId="19810"/>
    <cellStyle name="Comma 21 4" xfId="19873"/>
    <cellStyle name="Comma 22" xfId="13207"/>
    <cellStyle name="Comma 22 2" xfId="19716"/>
    <cellStyle name="Comma 22 3" xfId="19811"/>
    <cellStyle name="Comma 23" xfId="13208"/>
    <cellStyle name="Comma 23 2" xfId="19717"/>
    <cellStyle name="Comma 23 2 2" xfId="20204"/>
    <cellStyle name="Comma 23 3" xfId="19812"/>
    <cellStyle name="Comma 23 3 2" xfId="20277"/>
    <cellStyle name="Comma 23 4" xfId="19882"/>
    <cellStyle name="Comma 24" xfId="13209"/>
    <cellStyle name="Comma 24 2" xfId="19718"/>
    <cellStyle name="Comma 24 3" xfId="19813"/>
    <cellStyle name="Comma 25" xfId="13210"/>
    <cellStyle name="Comma 25 2" xfId="19719"/>
    <cellStyle name="Comma 25 3" xfId="19814"/>
    <cellStyle name="Comma 26" xfId="13211"/>
    <cellStyle name="Comma 26 2" xfId="19720"/>
    <cellStyle name="Comma 26 3" xfId="19815"/>
    <cellStyle name="Comma 27" xfId="13212"/>
    <cellStyle name="Comma 27 2" xfId="19721"/>
    <cellStyle name="Comma 27 3" xfId="19816"/>
    <cellStyle name="Comma 28" xfId="13213"/>
    <cellStyle name="Comma 28 2" xfId="19722"/>
    <cellStyle name="Comma 28 3" xfId="19817"/>
    <cellStyle name="Comma 29" xfId="13214"/>
    <cellStyle name="Comma 29 2" xfId="19723"/>
    <cellStyle name="Comma 29 3" xfId="19818"/>
    <cellStyle name="Comma 3" xfId="54"/>
    <cellStyle name="Comma 3 10" xfId="3488"/>
    <cellStyle name="Comma 3 10 2" xfId="11428"/>
    <cellStyle name="Comma 3 10 2 2" xfId="17967"/>
    <cellStyle name="Comma 3 10 2 3" xfId="20224"/>
    <cellStyle name="Comma 3 10 3" xfId="15115"/>
    <cellStyle name="Comma 3 10 3 2" xfId="20297"/>
    <cellStyle name="Comma 3 10 4" xfId="20057"/>
    <cellStyle name="Comma 3 11" xfId="5760"/>
    <cellStyle name="Comma 3 11 2" xfId="11999"/>
    <cellStyle name="Comma 3 11 2 2" xfId="18538"/>
    <cellStyle name="Comma 3 11 2 3" xfId="20225"/>
    <cellStyle name="Comma 3 11 3" xfId="15686"/>
    <cellStyle name="Comma 3 11 3 2" xfId="20298"/>
    <cellStyle name="Comma 3 11 4" xfId="20058"/>
    <cellStyle name="Comma 3 12" xfId="8032"/>
    <cellStyle name="Comma 3 12 2" xfId="12570"/>
    <cellStyle name="Comma 3 12 2 2" xfId="19109"/>
    <cellStyle name="Comma 3 12 2 3" xfId="20226"/>
    <cellStyle name="Comma 3 12 3" xfId="16257"/>
    <cellStyle name="Comma 3 12 3 2" xfId="20299"/>
    <cellStyle name="Comma 3 12 4" xfId="20059"/>
    <cellStyle name="Comma 3 13" xfId="2895"/>
    <cellStyle name="Comma 3 13 2" xfId="10855"/>
    <cellStyle name="Comma 3 13 2 2" xfId="17394"/>
    <cellStyle name="Comma 3 13 2 3" xfId="20227"/>
    <cellStyle name="Comma 3 13 3" xfId="14542"/>
    <cellStyle name="Comma 3 13 3 2" xfId="20300"/>
    <cellStyle name="Comma 3 13 4" xfId="20060"/>
    <cellStyle name="Comma 3 14" xfId="2330"/>
    <cellStyle name="Comma 3 14 2" xfId="13978"/>
    <cellStyle name="Comma 3 14 2 2" xfId="20228"/>
    <cellStyle name="Comma 3 14 3" xfId="20301"/>
    <cellStyle name="Comma 3 14 4" xfId="20061"/>
    <cellStyle name="Comma 3 15" xfId="10291"/>
    <cellStyle name="Comma 3 15 2" xfId="16830"/>
    <cellStyle name="Comma 3 15 2 2" xfId="20229"/>
    <cellStyle name="Comma 3 15 3" xfId="20302"/>
    <cellStyle name="Comma 3 15 4" xfId="20062"/>
    <cellStyle name="Comma 3 16" xfId="13169"/>
    <cellStyle name="Comma 3 16 2" xfId="19685"/>
    <cellStyle name="Comma 3 16 2 2" xfId="20209"/>
    <cellStyle name="Comma 3 16 3" xfId="20282"/>
    <cellStyle name="Comma 3 16 4" xfId="20034"/>
    <cellStyle name="Comma 3 17" xfId="13215"/>
    <cellStyle name="Comma 3 17 2" xfId="19724"/>
    <cellStyle name="Comma 3 17 3" xfId="20207"/>
    <cellStyle name="Comma 3 18" xfId="13402"/>
    <cellStyle name="Comma 3 18 2" xfId="20280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16" xfId="19820"/>
    <cellStyle name="Comma 3 2 17" xfId="20063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16" xfId="20064"/>
    <cellStyle name="Comma 3 2 2 2" xfId="435"/>
    <cellStyle name="Comma 3 2 2 2 10" xfId="13496"/>
    <cellStyle name="Comma 3 2 2 2 11" xfId="20065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10" xfId="2006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13" xfId="20067"/>
    <cellStyle name="Comma 3 2 3 2" xfId="379"/>
    <cellStyle name="Comma 3 2 3 2 10" xfId="13482"/>
    <cellStyle name="Comma 3 2 3 2 11" xfId="20068"/>
    <cellStyle name="Comma 3 2 3 2 2" xfId="833"/>
    <cellStyle name="Comma 3 2 3 2 2 10" xfId="20232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3 9" xfId="20305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10" xfId="20069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2 9" xfId="20233"/>
    <cellStyle name="Comma 3 2 3 3 3" xfId="4480"/>
    <cellStyle name="Comma 3 2 3 3 3 2" xfId="11677"/>
    <cellStyle name="Comma 3 2 3 3 3 2 2" xfId="18216"/>
    <cellStyle name="Comma 3 2 3 3 3 3" xfId="15364"/>
    <cellStyle name="Comma 3 2 3 3 3 4" xfId="20306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10" xfId="20231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5 9" xfId="20304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13" xfId="20070"/>
    <cellStyle name="Comma 3 2 4 2" xfId="494"/>
    <cellStyle name="Comma 3 2 4 2 10" xfId="13511"/>
    <cellStyle name="Comma 3 2 4 2 11" xfId="20071"/>
    <cellStyle name="Comma 3 2 4 2 2" xfId="948"/>
    <cellStyle name="Comma 3 2 4 2 2 10" xfId="20235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3 9" xfId="20308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10" xfId="20072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2 9" xfId="20236"/>
    <cellStyle name="Comma 3 2 4 3 3" xfId="4595"/>
    <cellStyle name="Comma 3 2 4 3 3 2" xfId="11706"/>
    <cellStyle name="Comma 3 2 4 3 3 2 2" xfId="18245"/>
    <cellStyle name="Comma 3 2 4 3 3 3" xfId="15393"/>
    <cellStyle name="Comma 3 2 4 3 3 4" xfId="20309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10" xfId="20234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5 9" xfId="20307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11" xfId="20230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10" xfId="20303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20" xfId="19786"/>
    <cellStyle name="Comma 3 21" xfId="19819"/>
    <cellStyle name="Comma 3 22" xfId="19885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13" xfId="20073"/>
    <cellStyle name="Comma 3 3 2" xfId="407"/>
    <cellStyle name="Comma 3 3 2 10" xfId="13489"/>
    <cellStyle name="Comma 3 3 2 11" xfId="20074"/>
    <cellStyle name="Comma 3 3 2 2" xfId="861"/>
    <cellStyle name="Comma 3 3 2 2 10" xfId="20238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3 9" xfId="20311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10" xfId="20075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2 9" xfId="20239"/>
    <cellStyle name="Comma 3 3 3 3" xfId="4508"/>
    <cellStyle name="Comma 3 3 3 3 2" xfId="11684"/>
    <cellStyle name="Comma 3 3 3 3 2 2" xfId="18223"/>
    <cellStyle name="Comma 3 3 3 3 3" xfId="15371"/>
    <cellStyle name="Comma 3 3 3 3 4" xfId="20312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10" xfId="20237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5 9" xfId="20310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13" xfId="20076"/>
    <cellStyle name="Comma 3 4 2" xfId="351"/>
    <cellStyle name="Comma 3 4 2 10" xfId="13475"/>
    <cellStyle name="Comma 3 4 2 11" xfId="20077"/>
    <cellStyle name="Comma 3 4 2 2" xfId="805"/>
    <cellStyle name="Comma 3 4 2 2 10" xfId="20241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3 9" xfId="20314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10" xfId="20078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2 9" xfId="20242"/>
    <cellStyle name="Comma 3 4 3 3" xfId="4452"/>
    <cellStyle name="Comma 3 4 3 3 2" xfId="11670"/>
    <cellStyle name="Comma 3 4 3 3 2 2" xfId="18209"/>
    <cellStyle name="Comma 3 4 3 3 3" xfId="15357"/>
    <cellStyle name="Comma 3 4 3 3 4" xfId="20315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10" xfId="20240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5 9" xfId="2031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13" xfId="20079"/>
    <cellStyle name="Comma 3 5 2" xfId="466"/>
    <cellStyle name="Comma 3 5 2 10" xfId="13504"/>
    <cellStyle name="Comma 3 5 2 11" xfId="20080"/>
    <cellStyle name="Comma 3 5 2 2" xfId="920"/>
    <cellStyle name="Comma 3 5 2 2 10" xfId="20244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3 9" xfId="20317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10" xfId="20081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2 9" xfId="20245"/>
    <cellStyle name="Comma 3 5 3 3" xfId="4567"/>
    <cellStyle name="Comma 3 5 3 3 2" xfId="11699"/>
    <cellStyle name="Comma 3 5 3 3 2 2" xfId="18238"/>
    <cellStyle name="Comma 3 5 3 3 3" xfId="15386"/>
    <cellStyle name="Comma 3 5 3 3 4" xfId="20318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10" xfId="2024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5 9" xfId="20316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11" xfId="20082"/>
    <cellStyle name="Comma 3 6 2" xfId="749"/>
    <cellStyle name="Comma 3 6 2 10" xfId="20083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2 9" xfId="20247"/>
    <cellStyle name="Comma 3 6 2 3" xfId="4169"/>
    <cellStyle name="Comma 3 6 2 3 2" xfId="11599"/>
    <cellStyle name="Comma 3 6 2 3 2 2" xfId="18138"/>
    <cellStyle name="Comma 3 6 2 3 3" xfId="15286"/>
    <cellStyle name="Comma 3 6 2 3 4" xfId="20320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2 4" xfId="20248"/>
    <cellStyle name="Comma 3 6 3 3" xfId="7122"/>
    <cellStyle name="Comma 3 6 3 3 2" xfId="12341"/>
    <cellStyle name="Comma 3 6 3 3 2 2" xfId="18880"/>
    <cellStyle name="Comma 3 6 3 3 3" xfId="16028"/>
    <cellStyle name="Comma 3 6 3 3 4" xfId="20321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3 9" xfId="20084"/>
    <cellStyle name="Comma 3 6 4" xfId="3715"/>
    <cellStyle name="Comma 3 6 4 2" xfId="11485"/>
    <cellStyle name="Comma 3 6 4 2 2" xfId="18024"/>
    <cellStyle name="Comma 3 6 4 3" xfId="15172"/>
    <cellStyle name="Comma 3 6 4 4" xfId="20246"/>
    <cellStyle name="Comma 3 6 5" xfId="5987"/>
    <cellStyle name="Comma 3 6 5 2" xfId="12056"/>
    <cellStyle name="Comma 3 6 5 2 2" xfId="18595"/>
    <cellStyle name="Comma 3 6 5 3" xfId="15743"/>
    <cellStyle name="Comma 3 6 5 4" xfId="20319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10" xfId="20085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2 4" xfId="20250"/>
    <cellStyle name="Comma 3 7 2 3" xfId="7803"/>
    <cellStyle name="Comma 3 7 2 3 2" xfId="12512"/>
    <cellStyle name="Comma 3 7 2 3 2 2" xfId="19051"/>
    <cellStyle name="Comma 3 7 2 3 3" xfId="16199"/>
    <cellStyle name="Comma 3 7 2 3 4" xfId="20323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2 9" xfId="20086"/>
    <cellStyle name="Comma 3 7 3" xfId="4396"/>
    <cellStyle name="Comma 3 7 3 2" xfId="11656"/>
    <cellStyle name="Comma 3 7 3 2 2" xfId="18195"/>
    <cellStyle name="Comma 3 7 3 2 3" xfId="20251"/>
    <cellStyle name="Comma 3 7 3 3" xfId="15343"/>
    <cellStyle name="Comma 3 7 3 3 2" xfId="20324"/>
    <cellStyle name="Comma 3 7 3 4" xfId="20087"/>
    <cellStyle name="Comma 3 7 4" xfId="6668"/>
    <cellStyle name="Comma 3 7 4 2" xfId="12227"/>
    <cellStyle name="Comma 3 7 4 2 2" xfId="18766"/>
    <cellStyle name="Comma 3 7 4 3" xfId="15914"/>
    <cellStyle name="Comma 3 7 4 4" xfId="20249"/>
    <cellStyle name="Comma 3 7 5" xfId="8940"/>
    <cellStyle name="Comma 3 7 5 2" xfId="12798"/>
    <cellStyle name="Comma 3 7 5 2 2" xfId="19337"/>
    <cellStyle name="Comma 3 7 5 3" xfId="16485"/>
    <cellStyle name="Comma 3 7 5 4" xfId="20322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10" xfId="20088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2 9" xfId="20252"/>
    <cellStyle name="Comma 3 8 3" xfId="3942"/>
    <cellStyle name="Comma 3 8 3 2" xfId="11542"/>
    <cellStyle name="Comma 3 8 3 2 2" xfId="18081"/>
    <cellStyle name="Comma 3 8 3 3" xfId="15229"/>
    <cellStyle name="Comma 3 8 3 4" xfId="20325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2 4" xfId="20253"/>
    <cellStyle name="Comma 3 9 3" xfId="6895"/>
    <cellStyle name="Comma 3 9 3 2" xfId="12284"/>
    <cellStyle name="Comma 3 9 3 2 2" xfId="18823"/>
    <cellStyle name="Comma 3 9 3 3" xfId="15971"/>
    <cellStyle name="Comma 3 9 3 4" xfId="20326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 9 9" xfId="20089"/>
    <cellStyle name="Comma 30" xfId="13217"/>
    <cellStyle name="Comma 30 2" xfId="19726"/>
    <cellStyle name="Comma 30 3" xfId="19821"/>
    <cellStyle name="Comma 31" xfId="13218"/>
    <cellStyle name="Comma 31 2" xfId="19727"/>
    <cellStyle name="Comma 32" xfId="13219"/>
    <cellStyle name="Comma 32 2" xfId="19728"/>
    <cellStyle name="Comma 32 3" xfId="19822"/>
    <cellStyle name="Comma 33" xfId="13220"/>
    <cellStyle name="Comma 33 2" xfId="19729"/>
    <cellStyle name="Comma 33 3" xfId="19823"/>
    <cellStyle name="Comma 34" xfId="13221"/>
    <cellStyle name="Comma 34 2" xfId="19730"/>
    <cellStyle name="Comma 34 3" xfId="19824"/>
    <cellStyle name="Comma 35" xfId="13222"/>
    <cellStyle name="Comma 35 2" xfId="19731"/>
    <cellStyle name="Comma 35 3" xfId="19825"/>
    <cellStyle name="Comma 36" xfId="13223"/>
    <cellStyle name="Comma 36 2" xfId="19732"/>
    <cellStyle name="Comma 36 3" xfId="19826"/>
    <cellStyle name="Comma 37" xfId="13224"/>
    <cellStyle name="Comma 37 2" xfId="19733"/>
    <cellStyle name="Comma 37 3" xfId="19827"/>
    <cellStyle name="Comma 38" xfId="13225"/>
    <cellStyle name="Comma 38 2" xfId="19734"/>
    <cellStyle name="Comma 38 3" xfId="19828"/>
    <cellStyle name="Comma 39" xfId="13226"/>
    <cellStyle name="Comma 39 2" xfId="19735"/>
    <cellStyle name="Comma 39 3" xfId="19829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17" xfId="19831"/>
    <cellStyle name="Comma 4 2 18" xfId="2009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13" xfId="20255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13" xfId="20328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21" xfId="19830"/>
    <cellStyle name="Comma 4 22" xfId="19886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13" xfId="20092"/>
    <cellStyle name="Comma 4 3 2" xfId="409"/>
    <cellStyle name="Comma 4 3 2 10" xfId="13490"/>
    <cellStyle name="Comma 4 3 2 11" xfId="20256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10" xfId="20329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13" xfId="20093"/>
    <cellStyle name="Comma 4 4 2" xfId="353"/>
    <cellStyle name="Comma 4 4 2 10" xfId="13476"/>
    <cellStyle name="Comma 4 4 2 11" xfId="20257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10" xfId="20330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13" xfId="20090"/>
    <cellStyle name="Comma 4 5 2" xfId="468"/>
    <cellStyle name="Comma 4 5 2 10" xfId="13505"/>
    <cellStyle name="Comma 4 5 2 11" xfId="20254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10" xfId="20327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11" xfId="20208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10" xfId="20281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0 3" xfId="19832"/>
    <cellStyle name="Comma 41" xfId="13230"/>
    <cellStyle name="Comma 41 2" xfId="19739"/>
    <cellStyle name="Comma 41 3" xfId="19833"/>
    <cellStyle name="Comma 42" xfId="13231"/>
    <cellStyle name="Comma 42 10" xfId="13232"/>
    <cellStyle name="Comma 42 10 2" xfId="19741"/>
    <cellStyle name="Comma 42 10 3" xfId="19835"/>
    <cellStyle name="Comma 42 11" xfId="19740"/>
    <cellStyle name="Comma 42 12" xfId="19834"/>
    <cellStyle name="Comma 42 2" xfId="13233"/>
    <cellStyle name="Comma 42 2 2" xfId="19742"/>
    <cellStyle name="Comma 42 2 3" xfId="19836"/>
    <cellStyle name="Comma 42 3" xfId="13234"/>
    <cellStyle name="Comma 42 3 2" xfId="19743"/>
    <cellStyle name="Comma 42 3 3" xfId="19837"/>
    <cellStyle name="Comma 42 4" xfId="13235"/>
    <cellStyle name="Comma 42 4 2" xfId="19744"/>
    <cellStyle name="Comma 42 4 3" xfId="19838"/>
    <cellStyle name="Comma 42 5" xfId="13236"/>
    <cellStyle name="Comma 42 5 2" xfId="19745"/>
    <cellStyle name="Comma 42 5 3" xfId="19839"/>
    <cellStyle name="Comma 42 6" xfId="13237"/>
    <cellStyle name="Comma 42 6 2" xfId="19746"/>
    <cellStyle name="Comma 42 6 3" xfId="19840"/>
    <cellStyle name="Comma 42 7" xfId="13238"/>
    <cellStyle name="Comma 42 7 2" xfId="19747"/>
    <cellStyle name="Comma 42 7 3" xfId="19841"/>
    <cellStyle name="Comma 42 8" xfId="13239"/>
    <cellStyle name="Comma 42 8 2" xfId="19748"/>
    <cellStyle name="Comma 42 8 3" xfId="19842"/>
    <cellStyle name="Comma 42 9" xfId="13240"/>
    <cellStyle name="Comma 42 9 2" xfId="19749"/>
    <cellStyle name="Comma 42 9 3" xfId="19843"/>
    <cellStyle name="Comma 43" xfId="13241"/>
    <cellStyle name="Comma 43 2" xfId="19750"/>
    <cellStyle name="Comma 43 3" xfId="19844"/>
    <cellStyle name="Comma 44" xfId="13242"/>
    <cellStyle name="Comma 44 2" xfId="19751"/>
    <cellStyle name="Comma 44 3" xfId="19845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6 3" xfId="19846"/>
    <cellStyle name="Comma 47" xfId="13244"/>
    <cellStyle name="Comma 47 2" xfId="19753"/>
    <cellStyle name="Comma 47 3" xfId="19847"/>
    <cellStyle name="Comma 48" xfId="13245"/>
    <cellStyle name="Comma 48 2" xfId="19754"/>
    <cellStyle name="Comma 48 3" xfId="19848"/>
    <cellStyle name="Comma 49" xfId="13246"/>
    <cellStyle name="Comma 49 2" xfId="19755"/>
    <cellStyle name="Comma 49 3" xfId="19849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17" xfId="19851"/>
    <cellStyle name="Comma 5 2 18" xfId="20095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13" xfId="20259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13" xfId="20332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20" xfId="19850"/>
    <cellStyle name="Comma 5 21" xfId="19887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13" xfId="20094"/>
    <cellStyle name="Comma 5 3 2" xfId="411"/>
    <cellStyle name="Comma 5 3 2 10" xfId="13491"/>
    <cellStyle name="Comma 5 3 2 11" xfId="20258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10" xfId="20331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0 3" xfId="19852"/>
    <cellStyle name="Comma 51" xfId="13250"/>
    <cellStyle name="Comma 51 2" xfId="19759"/>
    <cellStyle name="Comma 51 3" xfId="19853"/>
    <cellStyle name="Comma 52" xfId="13251"/>
    <cellStyle name="Comma 52 2" xfId="19760"/>
    <cellStyle name="Comma 52 3" xfId="19854"/>
    <cellStyle name="Comma 53" xfId="13252"/>
    <cellStyle name="Comma 53 2" xfId="19761"/>
    <cellStyle name="Comma 53 3" xfId="19855"/>
    <cellStyle name="Comma 54" xfId="13253"/>
    <cellStyle name="Comma 54 2" xfId="19762"/>
    <cellStyle name="Comma 54 3" xfId="19856"/>
    <cellStyle name="Comma 55" xfId="13254"/>
    <cellStyle name="Comma 55 2" xfId="19763"/>
    <cellStyle name="Comma 55 3" xfId="19857"/>
    <cellStyle name="Comma 56" xfId="13255"/>
    <cellStyle name="Comma 56 2" xfId="19764"/>
    <cellStyle name="Comma 56 3" xfId="19858"/>
    <cellStyle name="Comma 57" xfId="13256"/>
    <cellStyle name="Comma 57 2" xfId="19765"/>
    <cellStyle name="Comma 57 3" xfId="19859"/>
    <cellStyle name="Comma 58" xfId="13257"/>
    <cellStyle name="Comma 58 2" xfId="19766"/>
    <cellStyle name="Comma 58 3" xfId="19860"/>
    <cellStyle name="Comma 59" xfId="13258"/>
    <cellStyle name="Comma 59 2" xfId="19767"/>
    <cellStyle name="Comma 59 3" xfId="19861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18" xfId="19862"/>
    <cellStyle name="Comma 6 19" xfId="19874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17" xfId="19863"/>
    <cellStyle name="Comma 6 2 18" xfId="20096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13" xfId="20260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13" xfId="20333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13" xfId="20202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13" xfId="20275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60" xfId="19790"/>
    <cellStyle name="Comma 61" xfId="19870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18" xfId="19864"/>
    <cellStyle name="Comma 7 19" xfId="20097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17" xfId="19784"/>
    <cellStyle name="Comma 7 2 18" xfId="19865"/>
    <cellStyle name="Comma 7 2 19" xfId="20098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13" xfId="20099"/>
    <cellStyle name="Comma 7 3 2" xfId="415"/>
    <cellStyle name="Comma 7 3 2 10" xfId="13493"/>
    <cellStyle name="Comma 7 3 2 11" xfId="20100"/>
    <cellStyle name="Comma 7 3 2 2" xfId="869"/>
    <cellStyle name="Comma 7 3 2 2 10" xfId="20262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3 9" xfId="20335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10" xfId="20101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2 9" xfId="20263"/>
    <cellStyle name="Comma 7 3 3 3" xfId="4516"/>
    <cellStyle name="Comma 7 3 3 3 2" xfId="11688"/>
    <cellStyle name="Comma 7 3 3 3 2 2" xfId="18227"/>
    <cellStyle name="Comma 7 3 3 3 3" xfId="15375"/>
    <cellStyle name="Comma 7 3 3 3 4" xfId="20336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10" xfId="2010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2 9" xfId="20264"/>
    <cellStyle name="Comma 7 3 4 3" xfId="4062"/>
    <cellStyle name="Comma 7 3 4 3 2" xfId="11574"/>
    <cellStyle name="Comma 7 3 4 3 2 2" xfId="18113"/>
    <cellStyle name="Comma 7 3 4 3 3" xfId="15261"/>
    <cellStyle name="Comma 7 3 4 3 4" xfId="20337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2 4" xfId="20265"/>
    <cellStyle name="Comma 7 3 5 3" xfId="7015"/>
    <cellStyle name="Comma 7 3 5 3 2" xfId="12316"/>
    <cellStyle name="Comma 7 3 5 3 2 2" xfId="18855"/>
    <cellStyle name="Comma 7 3 5 3 3" xfId="16003"/>
    <cellStyle name="Comma 7 3 5 3 4" xfId="20338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5 9" xfId="20103"/>
    <cellStyle name="Comma 7 3 6" xfId="3608"/>
    <cellStyle name="Comma 7 3 6 2" xfId="11460"/>
    <cellStyle name="Comma 7 3 6 2 2" xfId="17999"/>
    <cellStyle name="Comma 7 3 6 3" xfId="15147"/>
    <cellStyle name="Comma 7 3 6 4" xfId="20261"/>
    <cellStyle name="Comma 7 3 7" xfId="5880"/>
    <cellStyle name="Comma 7 3 7 2" xfId="12031"/>
    <cellStyle name="Comma 7 3 7 2 2" xfId="18570"/>
    <cellStyle name="Comma 7 3 7 3" xfId="15718"/>
    <cellStyle name="Comma 7 3 7 4" xfId="20334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13" xfId="20104"/>
    <cellStyle name="Comma 7 4 2" xfId="359"/>
    <cellStyle name="Comma 7 4 2 10" xfId="13479"/>
    <cellStyle name="Comma 7 4 2 11" xfId="20266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10" xfId="20339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13" xfId="20105"/>
    <cellStyle name="Comma 7 5 2" xfId="474"/>
    <cellStyle name="Comma 7 5 2 10" xfId="13508"/>
    <cellStyle name="Comma 7 5 2 11" xfId="20267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10" xfId="20340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18" xfId="19866"/>
    <cellStyle name="Comma 8 19" xfId="20106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17" xfId="19867"/>
    <cellStyle name="Comma 8 2 18" xfId="20268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13" xfId="20341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18" xfId="19868"/>
    <cellStyle name="Comma 9 19" xfId="20107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17" xfId="19869"/>
    <cellStyle name="Comma 9 2 18" xfId="20269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13" xfId="20342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uro 3" xfId="2010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Hyperlink 2 2" xfId="20110"/>
    <cellStyle name="Hyperlink 2 3" xfId="20109"/>
    <cellStyle name="Hyperlink 3" xfId="19880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14" xfId="19888"/>
    <cellStyle name="Normal 10 2" xfId="96"/>
    <cellStyle name="Normal 10 2 10" xfId="5799"/>
    <cellStyle name="Normal 10 2 11" xfId="8071"/>
    <cellStyle name="Normal 10 2 12" xfId="19878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3 9" xfId="20111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00" xfId="19889"/>
    <cellStyle name="Normal 101" xfId="19877"/>
    <cellStyle name="Normal 102" xfId="19890"/>
    <cellStyle name="Normal 103" xfId="19891"/>
    <cellStyle name="Normal 104" xfId="19892"/>
    <cellStyle name="Normal 11" xfId="69"/>
    <cellStyle name="Normal 11 2" xfId="2903"/>
    <cellStyle name="Normal 11 2 2" xfId="13268"/>
    <cellStyle name="Normal 11 2 3" xfId="19894"/>
    <cellStyle name="Normal 11 3" xfId="13267"/>
    <cellStyle name="Normal 11 4" xfId="19893"/>
    <cellStyle name="Normal 12" xfId="225"/>
    <cellStyle name="Normal 12 2" xfId="2940"/>
    <cellStyle name="Normal 12 2 2" xfId="13270"/>
    <cellStyle name="Normal 12 2 3" xfId="19896"/>
    <cellStyle name="Normal 12 3" xfId="13269"/>
    <cellStyle name="Normal 12 3 2" xfId="20112"/>
    <cellStyle name="Normal 12 4" xfId="19895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2 7" xfId="19898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3 6" xfId="2011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3 9" xfId="19897"/>
    <cellStyle name="Normal 14" xfId="38"/>
    <cellStyle name="Normal 14 2" xfId="5743"/>
    <cellStyle name="Normal 14 2 2" xfId="19900"/>
    <cellStyle name="Normal 14 3" xfId="8015"/>
    <cellStyle name="Normal 14 3 2" xfId="20114"/>
    <cellStyle name="Normal 14 4" xfId="10287"/>
    <cellStyle name="Normal 14 5" xfId="3470"/>
    <cellStyle name="Normal 14 6" xfId="19899"/>
    <cellStyle name="Normal 15" xfId="2327"/>
    <cellStyle name="Normal 15 2" xfId="13159"/>
    <cellStyle name="Normal 15 2 2" xfId="19902"/>
    <cellStyle name="Normal 15 3" xfId="13271"/>
    <cellStyle name="Normal 15 3 2" xfId="20115"/>
    <cellStyle name="Normal 15 4" xfId="19901"/>
    <cellStyle name="Normal 16" xfId="13272"/>
    <cellStyle name="Normal 16 2" xfId="19904"/>
    <cellStyle name="Normal 16 3" xfId="20116"/>
    <cellStyle name="Normal 16 4" xfId="19903"/>
    <cellStyle name="Normal 17" xfId="13273"/>
    <cellStyle name="Normal 17 2" xfId="19906"/>
    <cellStyle name="Normal 17 3" xfId="20117"/>
    <cellStyle name="Normal 17 4" xfId="19905"/>
    <cellStyle name="Normal 18" xfId="13274"/>
    <cellStyle name="Normal 18 2" xfId="19908"/>
    <cellStyle name="Normal 18 3" xfId="20118"/>
    <cellStyle name="Normal 18 4" xfId="19907"/>
    <cellStyle name="Normal 19" xfId="13275"/>
    <cellStyle name="Normal 19 2" xfId="20119"/>
    <cellStyle name="Normal 19 3" xfId="19909"/>
    <cellStyle name="Normal 2" xfId="42"/>
    <cellStyle name="Normal 2 10" xfId="20121"/>
    <cellStyle name="Normal 2 11" xfId="20122"/>
    <cellStyle name="Normal 2 12" xfId="20123"/>
    <cellStyle name="Normal 2 13" xfId="20124"/>
    <cellStyle name="Normal 2 14" xfId="20125"/>
    <cellStyle name="Normal 2 15" xfId="20126"/>
    <cellStyle name="Normal 2 16" xfId="20127"/>
    <cellStyle name="Normal 2 17" xfId="20120"/>
    <cellStyle name="Normal 2 18" xfId="19875"/>
    <cellStyle name="Normal 2 2" xfId="55"/>
    <cellStyle name="Normal 2 2 2" xfId="2325"/>
    <cellStyle name="Normal 2 2 2 2" xfId="20128"/>
    <cellStyle name="Normal 2 2 3" xfId="13160"/>
    <cellStyle name="Normal 2 2 3 2" xfId="20129"/>
    <cellStyle name="Normal 2 2 4" xfId="20130"/>
    <cellStyle name="Normal 2 2 5" xfId="19910"/>
    <cellStyle name="Normal 2 3" xfId="3472"/>
    <cellStyle name="Normal 2 3 2" xfId="20132"/>
    <cellStyle name="Normal 2 3 3" xfId="20133"/>
    <cellStyle name="Normal 2 3 4" xfId="20131"/>
    <cellStyle name="Normal 2 3 5" xfId="19911"/>
    <cellStyle name="Normal 2 4" xfId="19792"/>
    <cellStyle name="Normal 2 4 2" xfId="20135"/>
    <cellStyle name="Normal 2 4 3" xfId="19881"/>
    <cellStyle name="Normal 2 4 3 2" xfId="20136"/>
    <cellStyle name="Normal 2 4 4" xfId="20134"/>
    <cellStyle name="Normal 2 4 5" xfId="20194"/>
    <cellStyle name="Normal 2 4 6" xfId="19912"/>
    <cellStyle name="Normal 2 5" xfId="19913"/>
    <cellStyle name="Normal 2 5 2" xfId="20138"/>
    <cellStyle name="Normal 2 5 3" xfId="20139"/>
    <cellStyle name="Normal 2 5 4" xfId="20137"/>
    <cellStyle name="Normal 2 6" xfId="19914"/>
    <cellStyle name="Normal 2 6 2" xfId="20141"/>
    <cellStyle name="Normal 2 6 3" xfId="20142"/>
    <cellStyle name="Normal 2 6 4" xfId="20140"/>
    <cellStyle name="Normal 2 7" xfId="20143"/>
    <cellStyle name="Normal 2 7 2" xfId="20144"/>
    <cellStyle name="Normal 2 7 3" xfId="20145"/>
    <cellStyle name="Normal 2 8" xfId="20146"/>
    <cellStyle name="Normal 2 8 2" xfId="20147"/>
    <cellStyle name="Normal 2 8 3" xfId="20148"/>
    <cellStyle name="Normal 2 9" xfId="20149"/>
    <cellStyle name="Normal 2_Investment worksheet 2601" xfId="20150"/>
    <cellStyle name="Normal 20" xfId="13276"/>
    <cellStyle name="Normal 20 2" xfId="19916"/>
    <cellStyle name="Normal 20 3" xfId="20151"/>
    <cellStyle name="Normal 20 4" xfId="19915"/>
    <cellStyle name="Normal 21" xfId="13277"/>
    <cellStyle name="Normal 21 2" xfId="19918"/>
    <cellStyle name="Normal 21 2 2" xfId="20153"/>
    <cellStyle name="Normal 21 3" xfId="20152"/>
    <cellStyle name="Normal 21 4" xfId="19917"/>
    <cellStyle name="Normal 22" xfId="13278"/>
    <cellStyle name="Normal 22 2" xfId="19920"/>
    <cellStyle name="Normal 22 3" xfId="20154"/>
    <cellStyle name="Normal 22 4" xfId="19919"/>
    <cellStyle name="Normal 23" xfId="13279"/>
    <cellStyle name="Normal 23 2" xfId="19922"/>
    <cellStyle name="Normal 23 3" xfId="20155"/>
    <cellStyle name="Normal 23 4" xfId="19921"/>
    <cellStyle name="Normal 24" xfId="13280"/>
    <cellStyle name="Normal 24 2" xfId="19924"/>
    <cellStyle name="Normal 24 2 2" xfId="20157"/>
    <cellStyle name="Normal 24 3" xfId="20156"/>
    <cellStyle name="Normal 24 4" xfId="19923"/>
    <cellStyle name="Normal 25" xfId="13281"/>
    <cellStyle name="Normal 25 2" xfId="19926"/>
    <cellStyle name="Normal 25 3" xfId="20158"/>
    <cellStyle name="Normal 25 4" xfId="19925"/>
    <cellStyle name="Normal 26" xfId="13282"/>
    <cellStyle name="Normal 26 2" xfId="19928"/>
    <cellStyle name="Normal 26 3" xfId="20159"/>
    <cellStyle name="Normal 26 4" xfId="19927"/>
    <cellStyle name="Normal 27" xfId="13283"/>
    <cellStyle name="Normal 27 2" xfId="13143"/>
    <cellStyle name="Normal 27 2 2" xfId="19930"/>
    <cellStyle name="Normal 27 3" xfId="19929"/>
    <cellStyle name="Normal 28" xfId="13284"/>
    <cellStyle name="Normal 28 2" xfId="19932"/>
    <cellStyle name="Normal 28 3" xfId="19931"/>
    <cellStyle name="Normal 29" xfId="13285"/>
    <cellStyle name="Normal 29 2" xfId="19934"/>
    <cellStyle name="Normal 29 3" xfId="19933"/>
    <cellStyle name="Normal 3" xfId="51"/>
    <cellStyle name="Normal 3 10" xfId="3485"/>
    <cellStyle name="Normal 3 11" xfId="5757"/>
    <cellStyle name="Normal 3 12" xfId="8029"/>
    <cellStyle name="Normal 3 13" xfId="19783"/>
    <cellStyle name="Normal 3 14" xfId="19935"/>
    <cellStyle name="Normal 3 2" xfId="82"/>
    <cellStyle name="Normal 3 2 10" xfId="5785"/>
    <cellStyle name="Normal 3 2 11" xfId="8057"/>
    <cellStyle name="Normal 3 2 12" xfId="19936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2 9" xfId="20161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3 9" xfId="20162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4 9" xfId="20163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5 9" xfId="20164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6 7" xfId="20160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0 2" xfId="19938"/>
    <cellStyle name="Normal 30 3" xfId="19939"/>
    <cellStyle name="Normal 30 4" xfId="19937"/>
    <cellStyle name="Normal 31" xfId="13287"/>
    <cellStyle name="Normal 31 2" xfId="19941"/>
    <cellStyle name="Normal 31 3" xfId="19942"/>
    <cellStyle name="Normal 31 4" xfId="19940"/>
    <cellStyle name="Normal 32" xfId="13288"/>
    <cellStyle name="Normal 32 2" xfId="19944"/>
    <cellStyle name="Normal 32 3" xfId="19945"/>
    <cellStyle name="Normal 32 4" xfId="19943"/>
    <cellStyle name="Normal 33" xfId="13289"/>
    <cellStyle name="Normal 33 2" xfId="19947"/>
    <cellStyle name="Normal 33 3" xfId="19948"/>
    <cellStyle name="Normal 33 4" xfId="19946"/>
    <cellStyle name="Normal 34" xfId="13290"/>
    <cellStyle name="Normal 34 2" xfId="19950"/>
    <cellStyle name="Normal 34 3" xfId="19951"/>
    <cellStyle name="Normal 34 4" xfId="19949"/>
    <cellStyle name="Normal 35" xfId="13291"/>
    <cellStyle name="Normal 35 2" xfId="19953"/>
    <cellStyle name="Normal 35 3" xfId="19952"/>
    <cellStyle name="Normal 36" xfId="13292"/>
    <cellStyle name="Normal 36 2" xfId="19955"/>
    <cellStyle name="Normal 36 3" xfId="19954"/>
    <cellStyle name="Normal 37" xfId="13293"/>
    <cellStyle name="Normal 37 2" xfId="19957"/>
    <cellStyle name="Normal 37 3" xfId="19956"/>
    <cellStyle name="Normal 38" xfId="13294"/>
    <cellStyle name="Normal 38 2" xfId="19959"/>
    <cellStyle name="Normal 38 3" xfId="19958"/>
    <cellStyle name="Normal 39" xfId="13295"/>
    <cellStyle name="Normal 39 2" xfId="19961"/>
    <cellStyle name="Normal 39 3" xfId="19960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15" xfId="19787"/>
    <cellStyle name="Normal 4 16" xfId="19962"/>
    <cellStyle name="Normal 4 2" xfId="84"/>
    <cellStyle name="Normal 4 2 10" xfId="5787"/>
    <cellStyle name="Normal 4 2 11" xfId="8059"/>
    <cellStyle name="Normal 4 2 12" xfId="19963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2 9" xfId="20166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3 9" xfId="20167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4 9" xfId="20168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5 9" xfId="20165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0 2" xfId="19965"/>
    <cellStyle name="Normal 40 3" xfId="19964"/>
    <cellStyle name="Normal 41" xfId="13297"/>
    <cellStyle name="Normal 41 2" xfId="19966"/>
    <cellStyle name="Normal 42" xfId="13298"/>
    <cellStyle name="Normal 42 2" xfId="19967"/>
    <cellStyle name="Normal 43" xfId="13299"/>
    <cellStyle name="Normal 43 2" xfId="19968"/>
    <cellStyle name="Normal 44" xfId="13300"/>
    <cellStyle name="Normal 44 10" xfId="13301"/>
    <cellStyle name="Normal 44 11" xfId="19969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5 2" xfId="19970"/>
    <cellStyle name="Normal 46" xfId="13311"/>
    <cellStyle name="Normal 46 2" xfId="19971"/>
    <cellStyle name="Normal 47" xfId="13312"/>
    <cellStyle name="Normal 47 2" xfId="19972"/>
    <cellStyle name="Normal 48" xfId="13313"/>
    <cellStyle name="Normal 48 2" xfId="19973"/>
    <cellStyle name="Normal 49" xfId="13314"/>
    <cellStyle name="Normal 49 2" xfId="19974"/>
    <cellStyle name="Normal 5" xfId="56"/>
    <cellStyle name="Normal 5 10" xfId="3489"/>
    <cellStyle name="Normal 5 11" xfId="5761"/>
    <cellStyle name="Normal 5 12" xfId="8033"/>
    <cellStyle name="Normal 5 13" xfId="13162"/>
    <cellStyle name="Normal 5 14" xfId="19975"/>
    <cellStyle name="Normal 5 2" xfId="86"/>
    <cellStyle name="Normal 5 2 10" xfId="5789"/>
    <cellStyle name="Normal 5 2 11" xfId="8061"/>
    <cellStyle name="Normal 5 2 12" xfId="13163"/>
    <cellStyle name="Normal 5 2 13" xfId="19976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2 9" xfId="20169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3 9" xfId="20170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4 9" xfId="20171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5 9" xfId="20172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0 2" xfId="19977"/>
    <cellStyle name="Normal 51" xfId="13316"/>
    <cellStyle name="Normal 51 2" xfId="19978"/>
    <cellStyle name="Normal 52" xfId="13317"/>
    <cellStyle name="Normal 52 2" xfId="19979"/>
    <cellStyle name="Normal 53" xfId="13318"/>
    <cellStyle name="Normal 53 2" xfId="19980"/>
    <cellStyle name="Normal 54" xfId="13319"/>
    <cellStyle name="Normal 54 2" xfId="19981"/>
    <cellStyle name="Normal 55" xfId="13320"/>
    <cellStyle name="Normal 55 2" xfId="19982"/>
    <cellStyle name="Normal 56" xfId="13321"/>
    <cellStyle name="Normal 56 2" xfId="19983"/>
    <cellStyle name="Normal 57" xfId="13322"/>
    <cellStyle name="Normal 57 2" xfId="19984"/>
    <cellStyle name="Normal 58" xfId="13323"/>
    <cellStyle name="Normal 58 2" xfId="19985"/>
    <cellStyle name="Normal 59" xfId="13324"/>
    <cellStyle name="Normal 59 2" xfId="19986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60 2" xfId="19987"/>
    <cellStyle name="Normal 61" xfId="19988"/>
    <cellStyle name="Normal 62" xfId="19989"/>
    <cellStyle name="Normal 63" xfId="19990"/>
    <cellStyle name="Normal 64" xfId="19991"/>
    <cellStyle name="Normal 65" xfId="19992"/>
    <cellStyle name="Normal 66" xfId="19993"/>
    <cellStyle name="Normal 67" xfId="19994"/>
    <cellStyle name="Normal 68" xfId="19995"/>
    <cellStyle name="Normal 69" xfId="19996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12" xfId="20056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70" xfId="19997"/>
    <cellStyle name="Normal 71" xfId="19998"/>
    <cellStyle name="Normal 72" xfId="19999"/>
    <cellStyle name="Normal 73" xfId="20000"/>
    <cellStyle name="Normal 74" xfId="20001"/>
    <cellStyle name="Normal 75" xfId="20002"/>
    <cellStyle name="Normal 76" xfId="20003"/>
    <cellStyle name="Normal 77" xfId="20004"/>
    <cellStyle name="Normal 78" xfId="20005"/>
    <cellStyle name="Normal 79" xfId="20006"/>
    <cellStyle name="Normal 8" xfId="62"/>
    <cellStyle name="Normal 8 10" xfId="3495"/>
    <cellStyle name="Normal 8 11" xfId="5767"/>
    <cellStyle name="Normal 8 12" xfId="8039"/>
    <cellStyle name="Normal 8 13" xfId="13167"/>
    <cellStyle name="Normal 8 14" xfId="20007"/>
    <cellStyle name="Normal 8 2" xfId="92"/>
    <cellStyle name="Normal 8 2 10" xfId="5795"/>
    <cellStyle name="Normal 8 2 11" xfId="8067"/>
    <cellStyle name="Normal 8 2 12" xfId="13168"/>
    <cellStyle name="Normal 8 2 13" xfId="2000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80" xfId="20009"/>
    <cellStyle name="Normal 81" xfId="20010"/>
    <cellStyle name="Normal 82" xfId="20011"/>
    <cellStyle name="Normal 83" xfId="20012"/>
    <cellStyle name="Normal 84" xfId="20013"/>
    <cellStyle name="Normal 85" xfId="20014"/>
    <cellStyle name="Normal 86" xfId="20015"/>
    <cellStyle name="Normal 87" xfId="20016"/>
    <cellStyle name="Normal 88" xfId="20017"/>
    <cellStyle name="Normal 89" xfId="20018"/>
    <cellStyle name="Normal 9" xfId="64"/>
    <cellStyle name="Normal 9 10" xfId="3497"/>
    <cellStyle name="Normal 9 11" xfId="5769"/>
    <cellStyle name="Normal 9 12" xfId="8041"/>
    <cellStyle name="Normal 9 13" xfId="20019"/>
    <cellStyle name="Normal 9 2" xfId="94"/>
    <cellStyle name="Normal 9 2 10" xfId="5797"/>
    <cellStyle name="Normal 9 2 11" xfId="8069"/>
    <cellStyle name="Normal 9 2 12" xfId="20020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rmal 90" xfId="20021"/>
    <cellStyle name="Normal 91" xfId="20022"/>
    <cellStyle name="Normal 92" xfId="20023"/>
    <cellStyle name="Normal 93" xfId="20024"/>
    <cellStyle name="Normal 94" xfId="19876"/>
    <cellStyle name="Normal 95" xfId="20025"/>
    <cellStyle name="Normal 96" xfId="20026"/>
    <cellStyle name="Normal 97" xfId="20027"/>
    <cellStyle name="Normal 98" xfId="20028"/>
    <cellStyle name="Normal 99" xfId="20029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Note 3" xfId="20030"/>
    <cellStyle name="Note 4" xfId="20173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 2 3" xfId="20175"/>
    <cellStyle name="Percent 2 3" xfId="19793"/>
    <cellStyle name="Percent 2 3 2" xfId="20176"/>
    <cellStyle name="Percent 2 4" xfId="20177"/>
    <cellStyle name="Percent 2 5" xfId="20178"/>
    <cellStyle name="Percent 2 6" xfId="20179"/>
    <cellStyle name="Percent 2 7" xfId="20174"/>
    <cellStyle name="Percent 2 8" xfId="20031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10" xfId="2003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2 7" xfId="20181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3 6" xfId="20182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4 6" xfId="20183"/>
    <cellStyle name="Percent 3 5" xfId="1358"/>
    <cellStyle name="Percent 3 5 2" xfId="4778"/>
    <cellStyle name="Percent 3 5 3" xfId="7050"/>
    <cellStyle name="Percent 3 5 4" xfId="9322"/>
    <cellStyle name="Percent 3 5 5" xfId="20184"/>
    <cellStyle name="Percent 3 6" xfId="3643"/>
    <cellStyle name="Percent 3 6 2" xfId="20185"/>
    <cellStyle name="Percent 3 7" xfId="5915"/>
    <cellStyle name="Percent 3 7 2" xfId="20180"/>
    <cellStyle name="Percent 3 8" xfId="8187"/>
    <cellStyle name="Percent 3 9" xfId="19788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2 2" xfId="20187"/>
    <cellStyle name="Percent 4 3" xfId="13187"/>
    <cellStyle name="Percent 4 4" xfId="13359"/>
    <cellStyle name="Percent 4 5" xfId="20186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2 2" xfId="20188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6 3" xfId="20189"/>
    <cellStyle name="Percent 7" xfId="13392"/>
    <cellStyle name="Percent 7 2" xfId="13393"/>
    <cellStyle name="Percent 7 3" xfId="20190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 sz="1800">
                <a:solidFill>
                  <a:schemeClr val="bg1"/>
                </a:solidFill>
              </a:rPr>
              <a:t>NAV COMPARISON - (</a:t>
            </a:r>
            <a:r>
              <a:rPr lang="en-GB" sz="1400">
                <a:solidFill>
                  <a:schemeClr val="bg1"/>
                </a:solidFill>
              </a:rPr>
              <a:t>PREVIOUS &amp; CURRENT</a:t>
            </a:r>
            <a:r>
              <a:rPr lang="en-GB" sz="1800">
                <a:solidFill>
                  <a:schemeClr val="bg1"/>
                </a:solidFill>
              </a:rPr>
              <a:t>)</a:t>
            </a:r>
          </a:p>
        </c:rich>
      </c:tx>
      <c:layout>
        <c:manualLayout>
          <c:xMode val="edge"/>
          <c:yMode val="edge"/>
          <c:x val="0.27062389281925459"/>
          <c:y val="1.6723164957727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'NAV Trend'!$C$15</c:f>
              <c:strCache>
                <c:ptCount val="1"/>
                <c:pt idx="0">
                  <c:v>12-May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Trend'!$C$16:$C$23</c:f>
              <c:numCache>
                <c:formatCode>#,##0.00</c:formatCode>
                <c:ptCount val="8"/>
                <c:pt idx="0">
                  <c:v>16966112297.950001</c:v>
                </c:pt>
                <c:pt idx="1">
                  <c:v>813613346034.13635</c:v>
                </c:pt>
                <c:pt idx="2">
                  <c:v>326621734089.72247</c:v>
                </c:pt>
                <c:pt idx="3">
                  <c:v>331372584980.02832</c:v>
                </c:pt>
                <c:pt idx="4">
                  <c:v>94193238006.570007</c:v>
                </c:pt>
                <c:pt idx="5" formatCode="_(* #,##0.00_);_(* \(#,##0.00\);_(* &quot;-&quot;??_);_(@_)">
                  <c:v>31764157613.919247</c:v>
                </c:pt>
                <c:pt idx="6">
                  <c:v>3052374164.9300003</c:v>
                </c:pt>
                <c:pt idx="7">
                  <c:v>25289708132.780003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264-BE05-31414DBC076F}"/>
            </c:ext>
          </c:extLst>
        </c:ser>
        <c:ser>
          <c:idx val="1"/>
          <c:order val="1"/>
          <c:tx>
            <c:strRef>
              <c:f>'NAV Trend'!$D$15</c:f>
              <c:strCache>
                <c:ptCount val="1"/>
                <c:pt idx="0">
                  <c:v>19-May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Trend'!$D$16:$D$23</c:f>
              <c:numCache>
                <c:formatCode>#,##0.00</c:formatCode>
                <c:ptCount val="8"/>
                <c:pt idx="0">
                  <c:v>17079628906.379999</c:v>
                </c:pt>
                <c:pt idx="1">
                  <c:v>806087341383.99084</c:v>
                </c:pt>
                <c:pt idx="2">
                  <c:v>326437563760.66541</c:v>
                </c:pt>
                <c:pt idx="3">
                  <c:v>329647629846.67249</c:v>
                </c:pt>
                <c:pt idx="4">
                  <c:v>94202498345.429993</c:v>
                </c:pt>
                <c:pt idx="5" formatCode="_(* #,##0.00_);_(* \(#,##0.00\);_(* &quot;-&quot;??_);_(@_)">
                  <c:v>32017254793.66489</c:v>
                </c:pt>
                <c:pt idx="6">
                  <c:v>3085351470.0200005</c:v>
                </c:pt>
                <c:pt idx="7">
                  <c:v>25509760696.910004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F-4264-BE05-31414DBC0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41727743"/>
        <c:axId val="1841729407"/>
      </c:barChart>
      <c:catAx>
        <c:axId val="18417277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>
                    <a:solidFill>
                      <a:schemeClr val="bg1"/>
                    </a:solidFill>
                  </a:rPr>
                  <a:t>CLASSES of fund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9407"/>
        <c:crosses val="autoZero"/>
        <c:auto val="1"/>
        <c:lblAlgn val="ctr"/>
        <c:lblOffset val="100"/>
        <c:noMultiLvlLbl val="0"/>
      </c:catAx>
      <c:valAx>
        <c:axId val="184172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bg1"/>
                    </a:solidFill>
                  </a:rPr>
                  <a:t>NET ASSET VALUE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PERCENTAGE MARKET SHARE TO TOTAL NET ASSET VALUE (NAV)</a:t>
            </a:r>
          </a:p>
          <a:p>
            <a:pPr>
              <a:defRPr/>
            </a:pPr>
            <a:r>
              <a:rPr lang="en-US" sz="1600"/>
              <a:t>AS AT 19TH MAY, 2023</a:t>
            </a:r>
          </a:p>
        </c:rich>
      </c:tx>
      <c:layout>
        <c:manualLayout>
          <c:xMode val="edge"/>
          <c:yMode val="edge"/>
          <c:x val="0.10454722440145399"/>
          <c:y val="3.0374761942967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explosion val="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fld id="{6E716E55-EB6B-4877-A6BD-D6007AE9287A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9F1-4D3F-AFC0-2F3DDA5A1E0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8687598-1C8E-439B-8460-85BBB1BAF98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9F1-4D3F-AFC0-2F3DDA5A1E07}"/>
                </c:ext>
              </c:extLst>
            </c:dLbl>
            <c:dLbl>
              <c:idx val="6"/>
              <c:layout>
                <c:manualLayout>
                  <c:x val="3.9319790522808137E-2"/>
                  <c:y val="0.14398528617830916"/>
                </c:manualLayout>
              </c:layout>
              <c:tx>
                <c:rich>
                  <a:bodyPr/>
                  <a:lstStyle/>
                  <a:p>
                    <a:fld id="{AEF13CA9-F9CE-4F67-AAAA-B796E6BBDFA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9F1-4D3F-AFC0-2F3DDA5A1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16966112297.950001</c:v>
                </c:pt>
                <c:pt idx="1">
                  <c:v>813613346034.13635</c:v>
                </c:pt>
                <c:pt idx="2">
                  <c:v>326621734089.72247</c:v>
                </c:pt>
                <c:pt idx="3">
                  <c:v>331372584980.02832</c:v>
                </c:pt>
                <c:pt idx="4">
                  <c:v>94193238006.570007</c:v>
                </c:pt>
                <c:pt idx="5">
                  <c:v>31764157613.919247</c:v>
                </c:pt>
                <c:pt idx="6">
                  <c:v>3052374164.9300003</c:v>
                </c:pt>
                <c:pt idx="7">
                  <c:v>25289708132.780003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MOVEMENT IN TOTAL NAV</a:t>
            </a:r>
          </a:p>
          <a:p>
            <a:pPr>
              <a:defRPr/>
            </a:pPr>
            <a:r>
              <a:rPr lang="en-US" sz="1600"/>
              <a:t>(EIGHT (8) WEEKS ENDING MAY 19, 2023)</a:t>
            </a:r>
          </a:p>
        </c:rich>
      </c:tx>
      <c:layout>
        <c:manualLayout>
          <c:xMode val="edge"/>
          <c:yMode val="edge"/>
          <c:x val="0.24557122667358888"/>
          <c:y val="1.98534789807854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1C2-43E7-AB45-8CDF11C29D80}"/>
                </c:ext>
              </c:extLst>
            </c:dLbl>
            <c:dLbl>
              <c:idx val="1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1C2-43E7-AB45-8CDF11C29D80}"/>
                </c:ext>
              </c:extLst>
            </c:dLbl>
            <c:dLbl>
              <c:idx val="2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1C2-43E7-AB45-8CDF11C29D80}"/>
                </c:ext>
              </c:extLst>
            </c:dLbl>
            <c:dLbl>
              <c:idx val="3"/>
              <c:layout>
                <c:manualLayout>
                  <c:x val="-3.4260102102621842E-2"/>
                  <c:y val="-7.3961156016334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>
                            <a:lumMod val="8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379448-DA4C-428C-A43B-051C34405DCF}" type="VALUE">
                      <a:rPr lang="en-US" b="1"/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C2-43E7-AB45-8CDF11C29D8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8A58AFB-9FC3-4D71-B7D2-0E69E956DAC8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1C2-43E7-AB45-8CDF11C29D80}"/>
                </c:ext>
              </c:extLst>
            </c:dLbl>
            <c:dLbl>
              <c:idx val="5"/>
              <c:layout>
                <c:manualLayout>
                  <c:x val="-3.4161229846269216E-2"/>
                  <c:y val="6.0514372163388806E-3"/>
                </c:manualLayout>
              </c:layout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C2-43E7-AB45-8CDF11C29D80}"/>
                </c:ext>
              </c:extLst>
            </c:dLbl>
            <c:dLbl>
              <c:idx val="6"/>
              <c:layout>
                <c:manualLayout>
                  <c:x val="-3.1230826915866285E-2"/>
                  <c:y val="2.017145738779627E-3"/>
                </c:manualLayout>
              </c:layout>
              <c:tx>
                <c:rich>
                  <a:bodyPr/>
                  <a:lstStyle/>
                  <a:p>
                    <a:fld id="{EA19ED88-20A6-44D2-AD83-B59ACAB9E417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1C2-43E7-AB45-8CDF11C29D8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199C8AF-947A-4B1A-A6D2-B7A3848BD034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1C2-43E7-AB45-8CDF11C29D80}"/>
                </c:ext>
              </c:extLst>
            </c:dLbl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45016</c:v>
                </c:pt>
                <c:pt idx="1">
                  <c:v>45022</c:v>
                </c:pt>
                <c:pt idx="2">
                  <c:v>45030</c:v>
                </c:pt>
                <c:pt idx="3">
                  <c:v>45036</c:v>
                </c:pt>
                <c:pt idx="4">
                  <c:v>45044</c:v>
                </c:pt>
                <c:pt idx="5">
                  <c:v>45051</c:v>
                </c:pt>
                <c:pt idx="6">
                  <c:v>45058</c:v>
                </c:pt>
                <c:pt idx="7">
                  <c:v>45065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1570379557163.522</c:v>
                </c:pt>
                <c:pt idx="1">
                  <c:v>1585406389332.5886</c:v>
                </c:pt>
                <c:pt idx="2">
                  <c:v>1589874095297.8513</c:v>
                </c:pt>
                <c:pt idx="3">
                  <c:v>1587789124997.645</c:v>
                </c:pt>
                <c:pt idx="4">
                  <c:v>1573619276108.0618</c:v>
                </c:pt>
                <c:pt idx="5">
                  <c:v>1638109066451.2014</c:v>
                </c:pt>
                <c:pt idx="6">
                  <c:v>1642873255320.0364</c:v>
                </c:pt>
                <c:pt idx="7">
                  <c:v>1634067029203.7332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N&quot;\ #0.00,,,\ &quot;bn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2378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bg1"/>
                </a:solidFill>
              </a:rPr>
              <a:t>MOVEMENT IN NAV BY CLASSes OF FUND</a:t>
            </a:r>
          </a:p>
          <a:p>
            <a:pPr>
              <a:defRPr/>
            </a:pPr>
            <a:r>
              <a:rPr lang="en-US" sz="1600">
                <a:solidFill>
                  <a:schemeClr val="bg1"/>
                </a:solidFill>
              </a:rPr>
              <a:t>(Eight (8) Weeks Ending MAY 19, 2023</a:t>
            </a:r>
            <a:r>
              <a:rPr lang="en-US"/>
              <a:t>)  </a:t>
            </a:r>
          </a:p>
        </c:rich>
      </c:tx>
      <c:layout>
        <c:manualLayout>
          <c:xMode val="edge"/>
          <c:yMode val="edge"/>
          <c:x val="0.24332693028756017"/>
          <c:y val="1.15727567735197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98927057194774"/>
          <c:y val="0.17748849472484626"/>
          <c:w val="0.78102643741975963"/>
          <c:h val="0.62964374598152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45016</c:v>
                </c:pt>
                <c:pt idx="1">
                  <c:v>45022</c:v>
                </c:pt>
                <c:pt idx="2">
                  <c:v>45030</c:v>
                </c:pt>
                <c:pt idx="3">
                  <c:v>45036</c:v>
                </c:pt>
                <c:pt idx="4">
                  <c:v>45044</c:v>
                </c:pt>
                <c:pt idx="5">
                  <c:v>45051</c:v>
                </c:pt>
                <c:pt idx="6">
                  <c:v>45058</c:v>
                </c:pt>
                <c:pt idx="7">
                  <c:v>45065</c:v>
                </c:pt>
              </c:numCache>
            </c:numRef>
          </c:cat>
          <c:val>
            <c:numRef>
              <c:f>'NAV Trend'!$C$9:$K$9</c:f>
              <c:numCache>
                <c:formatCode>#,##0.00</c:formatCode>
                <c:ptCount val="9"/>
                <c:pt idx="0">
                  <c:v>25123628784.880001</c:v>
                </c:pt>
                <c:pt idx="1">
                  <c:v>25237093944.099998</c:v>
                </c:pt>
                <c:pt idx="2">
                  <c:v>25308511589.740002</c:v>
                </c:pt>
                <c:pt idx="3">
                  <c:v>25115154237.279999</c:v>
                </c:pt>
                <c:pt idx="4">
                  <c:v>25259823709.369999</c:v>
                </c:pt>
                <c:pt idx="5">
                  <c:v>25078820531.75</c:v>
                </c:pt>
                <c:pt idx="6">
                  <c:v>25223397111.16</c:v>
                </c:pt>
                <c:pt idx="7">
                  <c:v>25289708132.780003</c:v>
                </c:pt>
                <c:pt idx="8">
                  <c:v>25509760696.910004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45016</c:v>
                </c:pt>
                <c:pt idx="1">
                  <c:v>45022</c:v>
                </c:pt>
                <c:pt idx="2">
                  <c:v>45030</c:v>
                </c:pt>
                <c:pt idx="3">
                  <c:v>45036</c:v>
                </c:pt>
                <c:pt idx="4">
                  <c:v>45044</c:v>
                </c:pt>
                <c:pt idx="5">
                  <c:v>45051</c:v>
                </c:pt>
                <c:pt idx="6">
                  <c:v>45058</c:v>
                </c:pt>
                <c:pt idx="7">
                  <c:v>45065</c:v>
                </c:pt>
              </c:numCache>
            </c:numRef>
          </c:cat>
          <c:val>
            <c:numRef>
              <c:f>'NAV Trend'!$C$8:$K$8</c:f>
              <c:numCache>
                <c:formatCode>#,##0.00</c:formatCode>
                <c:ptCount val="9"/>
                <c:pt idx="0">
                  <c:v>3062737011.3699999</c:v>
                </c:pt>
                <c:pt idx="1">
                  <c:v>3065619906.6200004</c:v>
                </c:pt>
                <c:pt idx="2">
                  <c:v>3044973052.6900001</c:v>
                </c:pt>
                <c:pt idx="3">
                  <c:v>2397610345.79</c:v>
                </c:pt>
                <c:pt idx="4">
                  <c:v>3016712191.5299997</c:v>
                </c:pt>
                <c:pt idx="5">
                  <c:v>3019546321.4400001</c:v>
                </c:pt>
                <c:pt idx="6">
                  <c:v>3058498106.9700003</c:v>
                </c:pt>
                <c:pt idx="7">
                  <c:v>3052374164.9300003</c:v>
                </c:pt>
                <c:pt idx="8">
                  <c:v>3085351470.0200005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45016</c:v>
                </c:pt>
                <c:pt idx="1">
                  <c:v>45022</c:v>
                </c:pt>
                <c:pt idx="2">
                  <c:v>45030</c:v>
                </c:pt>
                <c:pt idx="3">
                  <c:v>45036</c:v>
                </c:pt>
                <c:pt idx="4">
                  <c:v>45044</c:v>
                </c:pt>
                <c:pt idx="5">
                  <c:v>45051</c:v>
                </c:pt>
                <c:pt idx="6">
                  <c:v>45058</c:v>
                </c:pt>
                <c:pt idx="7">
                  <c:v>45065</c:v>
                </c:pt>
              </c:numCache>
            </c:numRef>
          </c:cat>
          <c:val>
            <c:numRef>
              <c:f>'NAV Trend'!$C$7:$K$7</c:f>
              <c:numCache>
                <c:formatCode>_(* #,##0.00_);_(* \(#,##0.00\);_(* "-"??_);_(@_)</c:formatCode>
                <c:ptCount val="9"/>
                <c:pt idx="0">
                  <c:v>31270923143.617718</c:v>
                </c:pt>
                <c:pt idx="1">
                  <c:v>31357580652.94627</c:v>
                </c:pt>
                <c:pt idx="2">
                  <c:v>31214054403.725143</c:v>
                </c:pt>
                <c:pt idx="3">
                  <c:v>31040700634.661449</c:v>
                </c:pt>
                <c:pt idx="4">
                  <c:v>31064229357.892361</c:v>
                </c:pt>
                <c:pt idx="5">
                  <c:v>31321324637.973106</c:v>
                </c:pt>
                <c:pt idx="6">
                  <c:v>31685014995.591473</c:v>
                </c:pt>
                <c:pt idx="7">
                  <c:v>31764157613.919247</c:v>
                </c:pt>
                <c:pt idx="8">
                  <c:v>32017254793.66489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45016</c:v>
                </c:pt>
                <c:pt idx="1">
                  <c:v>45022</c:v>
                </c:pt>
                <c:pt idx="2">
                  <c:v>45030</c:v>
                </c:pt>
                <c:pt idx="3">
                  <c:v>45036</c:v>
                </c:pt>
                <c:pt idx="4">
                  <c:v>45044</c:v>
                </c:pt>
                <c:pt idx="5">
                  <c:v>45051</c:v>
                </c:pt>
                <c:pt idx="6">
                  <c:v>45058</c:v>
                </c:pt>
                <c:pt idx="7">
                  <c:v>45065</c:v>
                </c:pt>
              </c:numCache>
            </c:numRef>
          </c:cat>
          <c:val>
            <c:numRef>
              <c:f>'NAV Trend'!$C$2:$K$2</c:f>
              <c:numCache>
                <c:formatCode>#,##0.00</c:formatCode>
                <c:ptCount val="9"/>
                <c:pt idx="0">
                  <c:v>17022340090.360001</c:v>
                </c:pt>
                <c:pt idx="1">
                  <c:v>16999391000.99</c:v>
                </c:pt>
                <c:pt idx="2">
                  <c:v>16887170786.960003</c:v>
                </c:pt>
                <c:pt idx="3">
                  <c:v>16546902385.180002</c:v>
                </c:pt>
                <c:pt idx="4">
                  <c:v>16580432011.360001</c:v>
                </c:pt>
                <c:pt idx="5">
                  <c:v>16794813036.269999</c:v>
                </c:pt>
                <c:pt idx="6">
                  <c:v>16995023834.229998</c:v>
                </c:pt>
                <c:pt idx="7">
                  <c:v>16966112297.950001</c:v>
                </c:pt>
                <c:pt idx="8">
                  <c:v>17079628906.379999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45016</c:v>
                </c:pt>
                <c:pt idx="1">
                  <c:v>45022</c:v>
                </c:pt>
                <c:pt idx="2">
                  <c:v>45030</c:v>
                </c:pt>
                <c:pt idx="3">
                  <c:v>45036</c:v>
                </c:pt>
                <c:pt idx="4">
                  <c:v>45044</c:v>
                </c:pt>
                <c:pt idx="5">
                  <c:v>45051</c:v>
                </c:pt>
                <c:pt idx="6">
                  <c:v>45058</c:v>
                </c:pt>
                <c:pt idx="7">
                  <c:v>45065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46448137747.110001</c:v>
                </c:pt>
                <c:pt idx="1">
                  <c:v>46504435280.830002</c:v>
                </c:pt>
                <c:pt idx="2">
                  <c:v>46547556602.110001</c:v>
                </c:pt>
                <c:pt idx="3">
                  <c:v>46562248546.230003</c:v>
                </c:pt>
                <c:pt idx="4">
                  <c:v>47203225292.739998</c:v>
                </c:pt>
                <c:pt idx="5">
                  <c:v>47216549017.909996</c:v>
                </c:pt>
                <c:pt idx="6">
                  <c:v>94163780372.309998</c:v>
                </c:pt>
                <c:pt idx="7">
                  <c:v>94193238006.570007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45016</c:v>
                </c:pt>
                <c:pt idx="1">
                  <c:v>45022</c:v>
                </c:pt>
                <c:pt idx="2">
                  <c:v>45030</c:v>
                </c:pt>
                <c:pt idx="3">
                  <c:v>45036</c:v>
                </c:pt>
                <c:pt idx="4">
                  <c:v>45044</c:v>
                </c:pt>
                <c:pt idx="5">
                  <c:v>45051</c:v>
                </c:pt>
                <c:pt idx="6">
                  <c:v>45058</c:v>
                </c:pt>
                <c:pt idx="7">
                  <c:v>45065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808555564328.63843</c:v>
                </c:pt>
                <c:pt idx="1">
                  <c:v>806141589764.57471</c:v>
                </c:pt>
                <c:pt idx="2">
                  <c:v>809389465815.42651</c:v>
                </c:pt>
                <c:pt idx="3">
                  <c:v>813597370074.91248</c:v>
                </c:pt>
                <c:pt idx="4">
                  <c:v>806059217034.32275</c:v>
                </c:pt>
                <c:pt idx="5">
                  <c:v>792540018978.42993</c:v>
                </c:pt>
                <c:pt idx="6">
                  <c:v>806100368208.14038</c:v>
                </c:pt>
                <c:pt idx="7">
                  <c:v>813613346034.13635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45016</c:v>
                </c:pt>
                <c:pt idx="1">
                  <c:v>45022</c:v>
                </c:pt>
                <c:pt idx="2">
                  <c:v>45030</c:v>
                </c:pt>
                <c:pt idx="3">
                  <c:v>45036</c:v>
                </c:pt>
                <c:pt idx="4">
                  <c:v>45044</c:v>
                </c:pt>
                <c:pt idx="5">
                  <c:v>45051</c:v>
                </c:pt>
                <c:pt idx="6">
                  <c:v>45058</c:v>
                </c:pt>
                <c:pt idx="7">
                  <c:v>45065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329560582532.39893</c:v>
                </c:pt>
                <c:pt idx="1">
                  <c:v>325274738811.00598</c:v>
                </c:pt>
                <c:pt idx="2">
                  <c:v>324645636399.64471</c:v>
                </c:pt>
                <c:pt idx="3">
                  <c:v>325325671083.40485</c:v>
                </c:pt>
                <c:pt idx="4">
                  <c:v>325304566651.13672</c:v>
                </c:pt>
                <c:pt idx="5">
                  <c:v>324966477016.1626</c:v>
                </c:pt>
                <c:pt idx="6">
                  <c:v>326343931654.87665</c:v>
                </c:pt>
                <c:pt idx="7">
                  <c:v>326621734089.72247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45016</c:v>
                </c:pt>
                <c:pt idx="1">
                  <c:v>45022</c:v>
                </c:pt>
                <c:pt idx="2">
                  <c:v>45030</c:v>
                </c:pt>
                <c:pt idx="3">
                  <c:v>45036</c:v>
                </c:pt>
                <c:pt idx="4">
                  <c:v>45044</c:v>
                </c:pt>
                <c:pt idx="5">
                  <c:v>45051</c:v>
                </c:pt>
                <c:pt idx="6">
                  <c:v>45058</c:v>
                </c:pt>
                <c:pt idx="7">
                  <c:v>45065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313889534077.08875</c:v>
                </c:pt>
                <c:pt idx="1">
                  <c:v>315799107802.45465</c:v>
                </c:pt>
                <c:pt idx="2">
                  <c:v>328369020682.2923</c:v>
                </c:pt>
                <c:pt idx="3">
                  <c:v>329288437990.39252</c:v>
                </c:pt>
                <c:pt idx="4">
                  <c:v>333300918749.29321</c:v>
                </c:pt>
                <c:pt idx="5">
                  <c:v>332681726568.12634</c:v>
                </c:pt>
                <c:pt idx="6">
                  <c:v>334539052167.92297</c:v>
                </c:pt>
                <c:pt idx="7">
                  <c:v>331372584980.02832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1222378911"/>
        <c:axId val="1"/>
      </c:barChart>
      <c:catAx>
        <c:axId val="1222378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N&quot;\ #0.00,,,\ &quot;bn&quot;" sourceLinked="0"/>
        <c:majorTickMark val="none"/>
        <c:minorTickMark val="none"/>
        <c:tickLblPos val="low"/>
        <c:crossAx val="122237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828213780969686"/>
          <c:y val="0.87222287077957916"/>
          <c:w val="0.78992299039543135"/>
          <c:h val="7.2619152560544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70</xdr:row>
      <xdr:rowOff>0</xdr:rowOff>
    </xdr:from>
    <xdr:to>
      <xdr:col>21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304800</xdr:colOff>
      <xdr:row>97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14430</xdr:colOff>
      <xdr:row>0</xdr:row>
      <xdr:rowOff>0</xdr:rowOff>
    </xdr:from>
    <xdr:to>
      <xdr:col>10</xdr:col>
      <xdr:colOff>532946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40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2" customWidth="1"/>
    <col min="2" max="2" width="33.42578125" style="3" customWidth="1"/>
    <col min="3" max="3" width="29.42578125" style="3" customWidth="1"/>
    <col min="4" max="4" width="16.85546875" style="3" customWidth="1"/>
    <col min="5" max="5" width="8.7109375" style="3" customWidth="1"/>
    <col min="6" max="7" width="9.42578125" style="3" customWidth="1"/>
    <col min="8" max="8" width="7.5703125" style="226" customWidth="1"/>
    <col min="9" max="9" width="7.28515625" style="226" customWidth="1"/>
    <col min="10" max="10" width="18" style="222" customWidth="1"/>
    <col min="11" max="11" width="8.7109375" style="3" customWidth="1"/>
    <col min="12" max="12" width="9.7109375" style="3" customWidth="1"/>
    <col min="13" max="13" width="9.42578125" style="3" customWidth="1"/>
    <col min="14" max="14" width="7.85546875" style="2" customWidth="1"/>
    <col min="15" max="15" width="7.28515625" style="2" customWidth="1"/>
    <col min="16" max="16" width="9" style="3" customWidth="1"/>
    <col min="17" max="17" width="9.42578125" style="3" customWidth="1"/>
    <col min="18" max="18" width="8.42578125" style="108" customWidth="1"/>
    <col min="19" max="19" width="7.5703125" style="108" customWidth="1"/>
    <col min="20" max="20" width="29" style="109" customWidth="1"/>
    <col min="21" max="21" width="18.42578125" style="108" customWidth="1"/>
    <col min="22" max="22" width="18.140625" style="108" customWidth="1"/>
    <col min="23" max="23" width="9.42578125" style="108" customWidth="1"/>
    <col min="24" max="24" width="18.42578125" style="108" customWidth="1"/>
    <col min="25" max="25" width="8.85546875" style="108" customWidth="1"/>
    <col min="26" max="26" width="25.140625" style="108" customWidth="1"/>
    <col min="27" max="32" width="8.85546875" style="108"/>
    <col min="33" max="33" width="9" style="108" bestFit="1" customWidth="1"/>
    <col min="34" max="42" width="8.85546875" style="108"/>
    <col min="43" max="43" width="9.28515625" style="108" bestFit="1" customWidth="1"/>
    <col min="44" max="51" width="8.85546875" style="108"/>
    <col min="52" max="52" width="8.85546875" style="108" customWidth="1"/>
    <col min="53" max="103" width="8.85546875" style="108"/>
    <col min="104" max="16384" width="8.85546875" style="3"/>
  </cols>
  <sheetData>
    <row r="1" spans="1:26" s="114" customFormat="1" ht="22.5" customHeight="1">
      <c r="A1" s="442" t="s">
        <v>282</v>
      </c>
      <c r="B1" s="443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5"/>
      <c r="T1" s="293"/>
      <c r="U1" s="115"/>
    </row>
    <row r="2" spans="1:26" s="114" customFormat="1" ht="25.5" customHeight="1">
      <c r="A2" s="246"/>
      <c r="B2" s="247"/>
      <c r="C2" s="247"/>
      <c r="D2" s="446" t="s">
        <v>280</v>
      </c>
      <c r="E2" s="447"/>
      <c r="F2" s="447"/>
      <c r="G2" s="447"/>
      <c r="H2" s="447"/>
      <c r="I2" s="448"/>
      <c r="J2" s="446" t="s">
        <v>283</v>
      </c>
      <c r="K2" s="447"/>
      <c r="L2" s="447"/>
      <c r="M2" s="447"/>
      <c r="N2" s="447"/>
      <c r="O2" s="448"/>
      <c r="P2" s="410" t="s">
        <v>63</v>
      </c>
      <c r="Q2" s="410"/>
      <c r="R2" s="410" t="s">
        <v>221</v>
      </c>
      <c r="S2" s="430"/>
      <c r="T2" s="293"/>
      <c r="U2" s="115"/>
    </row>
    <row r="3" spans="1:26" s="114" customFormat="1" ht="24.75" customHeight="1">
      <c r="A3" s="298" t="s">
        <v>1</v>
      </c>
      <c r="B3" s="299" t="s">
        <v>2</v>
      </c>
      <c r="C3" s="299" t="s">
        <v>198</v>
      </c>
      <c r="D3" s="300" t="s">
        <v>207</v>
      </c>
      <c r="E3" s="301" t="s">
        <v>62</v>
      </c>
      <c r="F3" s="301" t="s">
        <v>218</v>
      </c>
      <c r="G3" s="301" t="s">
        <v>219</v>
      </c>
      <c r="H3" s="301" t="s">
        <v>259</v>
      </c>
      <c r="I3" s="301" t="s">
        <v>260</v>
      </c>
      <c r="J3" s="302" t="s">
        <v>207</v>
      </c>
      <c r="K3" s="301" t="s">
        <v>62</v>
      </c>
      <c r="L3" s="301" t="s">
        <v>218</v>
      </c>
      <c r="M3" s="301" t="s">
        <v>219</v>
      </c>
      <c r="N3" s="301" t="s">
        <v>259</v>
      </c>
      <c r="O3" s="301" t="s">
        <v>260</v>
      </c>
      <c r="P3" s="303" t="s">
        <v>208</v>
      </c>
      <c r="Q3" s="304" t="s">
        <v>121</v>
      </c>
      <c r="R3" s="301" t="s">
        <v>263</v>
      </c>
      <c r="S3" s="305" t="s">
        <v>264</v>
      </c>
      <c r="T3" s="293"/>
      <c r="U3" s="115"/>
    </row>
    <row r="4" spans="1:26" s="114" customFormat="1" ht="5.25" customHeight="1">
      <c r="A4" s="434"/>
      <c r="B4" s="435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7"/>
      <c r="T4" s="293"/>
      <c r="U4" s="115"/>
    </row>
    <row r="5" spans="1:26" s="114" customFormat="1" ht="12.95" customHeight="1">
      <c r="A5" s="438" t="s">
        <v>0</v>
      </c>
      <c r="B5" s="439"/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1"/>
      <c r="T5" s="293"/>
      <c r="U5" s="115"/>
    </row>
    <row r="6" spans="1:26" s="114" customFormat="1" ht="12.95" customHeight="1">
      <c r="A6" s="397">
        <v>1</v>
      </c>
      <c r="B6" s="372" t="s">
        <v>13</v>
      </c>
      <c r="C6" s="373" t="s">
        <v>58</v>
      </c>
      <c r="D6" s="330">
        <v>433286355.20999998</v>
      </c>
      <c r="E6" s="337">
        <f t="shared" ref="E6:E21" si="0">(D6/$D$22)</f>
        <v>2.5538340640498623E-2</v>
      </c>
      <c r="F6" s="329">
        <v>202.88759999999999</v>
      </c>
      <c r="G6" s="329">
        <v>205.8792</v>
      </c>
      <c r="H6" s="338">
        <v>8.0000000000000004E-4</v>
      </c>
      <c r="I6" s="338">
        <v>7.6300000000000007E-2</v>
      </c>
      <c r="J6" s="330">
        <v>436714292.20999998</v>
      </c>
      <c r="K6" s="337">
        <f t="shared" ref="K6:K11" si="1">(J6/$J$22)</f>
        <v>2.5569308010367123E-2</v>
      </c>
      <c r="L6" s="329">
        <v>204.49270000000001</v>
      </c>
      <c r="M6" s="329">
        <v>207.58750000000001</v>
      </c>
      <c r="N6" s="338">
        <v>7.9114815382050896E-3</v>
      </c>
      <c r="O6" s="338">
        <v>8.4779256372066181E-2</v>
      </c>
      <c r="P6" s="111">
        <f>((J6-D6)/D6)</f>
        <v>7.9114815382048884E-3</v>
      </c>
      <c r="Q6" s="111">
        <f t="shared" ref="Q6:Q21" si="2">((M6-G6)/G6)</f>
        <v>8.2975842144325813E-3</v>
      </c>
      <c r="R6" s="333">
        <f>L6-H6</f>
        <v>204.49190000000002</v>
      </c>
      <c r="S6" s="368">
        <f t="shared" ref="S6:S21" si="3">O6-I6</f>
        <v>8.479256372066174E-3</v>
      </c>
      <c r="U6" s="115"/>
    </row>
    <row r="7" spans="1:26" s="114" customFormat="1" ht="12.95" customHeight="1">
      <c r="A7" s="397">
        <v>2</v>
      </c>
      <c r="B7" s="372" t="s">
        <v>139</v>
      </c>
      <c r="C7" s="373" t="s">
        <v>138</v>
      </c>
      <c r="D7" s="329">
        <v>475053455.74000001</v>
      </c>
      <c r="E7" s="337">
        <f t="shared" si="0"/>
        <v>2.8000136236125246E-2</v>
      </c>
      <c r="F7" s="329">
        <v>158.8433</v>
      </c>
      <c r="G7" s="329">
        <v>160.4314</v>
      </c>
      <c r="H7" s="338">
        <v>9.0609999999999996E-3</v>
      </c>
      <c r="I7" s="338">
        <v>9.5899999999999999E-2</v>
      </c>
      <c r="J7" s="329">
        <v>483720953.86000001</v>
      </c>
      <c r="K7" s="337">
        <f t="shared" si="1"/>
        <v>2.8321514273609818E-2</v>
      </c>
      <c r="L7" s="329">
        <v>161.7389</v>
      </c>
      <c r="M7" s="329">
        <v>163.3826</v>
      </c>
      <c r="N7" s="338">
        <v>1.8037000000000001E-2</v>
      </c>
      <c r="O7" s="338">
        <v>0.1158</v>
      </c>
      <c r="P7" s="333">
        <v>5.6480000000000002E-3</v>
      </c>
      <c r="Q7" s="333">
        <f t="shared" si="2"/>
        <v>1.8395401398978006E-2</v>
      </c>
      <c r="R7" s="333">
        <f t="shared" ref="R7:R21" si="4">N7-H7</f>
        <v>8.9760000000000013E-3</v>
      </c>
      <c r="S7" s="368">
        <f t="shared" si="3"/>
        <v>1.9900000000000001E-2</v>
      </c>
      <c r="T7" s="293"/>
      <c r="U7" s="115"/>
    </row>
    <row r="8" spans="1:26" s="114" customFormat="1" ht="12.95" customHeight="1">
      <c r="A8" s="398">
        <v>3</v>
      </c>
      <c r="B8" s="372" t="s">
        <v>11</v>
      </c>
      <c r="C8" s="373" t="s">
        <v>6</v>
      </c>
      <c r="D8" s="329">
        <v>2403131631.46</v>
      </c>
      <c r="E8" s="337">
        <f t="shared" si="0"/>
        <v>0.14164303461261235</v>
      </c>
      <c r="F8" s="329">
        <v>23.027200000000001</v>
      </c>
      <c r="G8" s="329">
        <v>23.721499999999999</v>
      </c>
      <c r="H8" s="319">
        <v>-0.21079999999999999</v>
      </c>
      <c r="I8" s="319">
        <v>0.1077</v>
      </c>
      <c r="J8" s="329">
        <v>2402855602.7199998</v>
      </c>
      <c r="K8" s="337">
        <f t="shared" si="1"/>
        <v>0.14068546898126261</v>
      </c>
      <c r="L8" s="329">
        <v>23.084499999999998</v>
      </c>
      <c r="M8" s="329">
        <v>23.7805</v>
      </c>
      <c r="N8" s="319">
        <v>0.12970000000000001</v>
      </c>
      <c r="O8" s="319">
        <v>0.1091</v>
      </c>
      <c r="P8" s="333">
        <f t="shared" ref="P8:P22" si="5">((J8-D8)/D8)</f>
        <v>-1.1486209760076658E-4</v>
      </c>
      <c r="Q8" s="333">
        <f t="shared" si="2"/>
        <v>2.487195160508444E-3</v>
      </c>
      <c r="R8" s="333">
        <f t="shared" si="4"/>
        <v>0.34050000000000002</v>
      </c>
      <c r="S8" s="368">
        <f t="shared" si="3"/>
        <v>1.3999999999999985E-3</v>
      </c>
      <c r="T8" s="293"/>
      <c r="U8" s="115"/>
      <c r="V8" s="148"/>
      <c r="W8" s="116"/>
      <c r="X8" s="116"/>
      <c r="Y8" s="117"/>
    </row>
    <row r="9" spans="1:26" s="114" customFormat="1" ht="12.95" customHeight="1">
      <c r="A9" s="401">
        <v>4</v>
      </c>
      <c r="B9" s="372" t="s">
        <v>82</v>
      </c>
      <c r="C9" s="373" t="s">
        <v>81</v>
      </c>
      <c r="D9" s="329">
        <v>260177922.62</v>
      </c>
      <c r="E9" s="337">
        <f t="shared" si="0"/>
        <v>1.5335152688541208E-2</v>
      </c>
      <c r="F9" s="329">
        <v>138.30000000000001</v>
      </c>
      <c r="G9" s="329">
        <v>139.27000000000001</v>
      </c>
      <c r="H9" s="338">
        <v>1.5599999999999999E-2</v>
      </c>
      <c r="I9" s="338">
        <v>2.53E-2</v>
      </c>
      <c r="J9" s="329">
        <v>254064284.93000001</v>
      </c>
      <c r="K9" s="337">
        <f t="shared" si="1"/>
        <v>1.4875281326229268E-2</v>
      </c>
      <c r="L9" s="329">
        <v>135.26</v>
      </c>
      <c r="M9" s="329">
        <v>136.21</v>
      </c>
      <c r="N9" s="338">
        <v>-2.1999999999999999E-2</v>
      </c>
      <c r="O9" s="338">
        <v>2.8E-3</v>
      </c>
      <c r="P9" s="333">
        <f t="shared" si="5"/>
        <v>-2.3497911077294608E-2</v>
      </c>
      <c r="Q9" s="333">
        <f t="shared" si="2"/>
        <v>-2.1971709628778646E-2</v>
      </c>
      <c r="R9" s="333">
        <f t="shared" si="4"/>
        <v>-3.7599999999999995E-2</v>
      </c>
      <c r="S9" s="368">
        <f t="shared" si="3"/>
        <v>-2.2499999999999999E-2</v>
      </c>
      <c r="T9" s="293"/>
      <c r="U9" s="115"/>
      <c r="V9" s="148"/>
      <c r="W9" s="116"/>
      <c r="X9" s="116"/>
      <c r="Y9" s="117"/>
    </row>
    <row r="10" spans="1:26" s="114" customFormat="1" ht="12.95" customHeight="1">
      <c r="A10" s="397">
        <v>5</v>
      </c>
      <c r="B10" s="372" t="s">
        <v>53</v>
      </c>
      <c r="C10" s="373" t="s">
        <v>189</v>
      </c>
      <c r="D10" s="329">
        <v>403711139.06</v>
      </c>
      <c r="E10" s="337">
        <f t="shared" si="0"/>
        <v>2.3795147171622812E-2</v>
      </c>
      <c r="F10" s="329">
        <v>184.21</v>
      </c>
      <c r="G10" s="329">
        <v>186.56</v>
      </c>
      <c r="H10" s="319">
        <v>7.3000000000000001E-3</v>
      </c>
      <c r="I10" s="319">
        <v>0.1123</v>
      </c>
      <c r="J10" s="329">
        <v>415271697.45999998</v>
      </c>
      <c r="K10" s="337">
        <f t="shared" si="1"/>
        <v>2.4313859495207039E-2</v>
      </c>
      <c r="L10" s="329">
        <v>189.04</v>
      </c>
      <c r="M10" s="329">
        <v>191.46</v>
      </c>
      <c r="N10" s="319">
        <v>2.6200000000000001E-2</v>
      </c>
      <c r="O10" s="319">
        <v>0.14149999999999999</v>
      </c>
      <c r="P10" s="333">
        <f t="shared" si="5"/>
        <v>2.8635718169475213E-2</v>
      </c>
      <c r="Q10" s="333">
        <f t="shared" si="2"/>
        <v>2.6265008576329362E-2</v>
      </c>
      <c r="R10" s="333">
        <f t="shared" si="4"/>
        <v>1.89E-2</v>
      </c>
      <c r="S10" s="368">
        <f t="shared" si="3"/>
        <v>2.919999999999999E-2</v>
      </c>
      <c r="T10" s="293"/>
      <c r="U10" s="115"/>
      <c r="V10" s="148"/>
      <c r="W10" s="116"/>
      <c r="X10" s="116"/>
      <c r="Y10" s="117"/>
    </row>
    <row r="11" spans="1:26" s="114" customFormat="1" ht="12.95" customHeight="1">
      <c r="A11" s="402">
        <v>6</v>
      </c>
      <c r="B11" s="372" t="s">
        <v>8</v>
      </c>
      <c r="C11" s="373" t="s">
        <v>57</v>
      </c>
      <c r="D11" s="330">
        <v>271307203.51999998</v>
      </c>
      <c r="E11" s="337">
        <f t="shared" si="0"/>
        <v>1.5991123880087825E-2</v>
      </c>
      <c r="F11" s="329">
        <v>136.35</v>
      </c>
      <c r="G11" s="329">
        <v>139.47999999999999</v>
      </c>
      <c r="H11" s="338">
        <v>1.0970000000000001E-2</v>
      </c>
      <c r="I11" s="338">
        <v>8.4599999999999995E-2</v>
      </c>
      <c r="J11" s="330">
        <v>274084077.38999999</v>
      </c>
      <c r="K11" s="337">
        <f t="shared" si="1"/>
        <v>1.6047425789656206E-2</v>
      </c>
      <c r="L11" s="329">
        <v>137.74</v>
      </c>
      <c r="M11" s="329">
        <v>140.93</v>
      </c>
      <c r="N11" s="338">
        <v>1.01E-2</v>
      </c>
      <c r="O11" s="338">
        <v>9.5699999999999993E-2</v>
      </c>
      <c r="P11" s="333">
        <f t="shared" si="5"/>
        <v>1.0235164544001139E-2</v>
      </c>
      <c r="Q11" s="333">
        <f t="shared" si="2"/>
        <v>1.0395755663894588E-2</v>
      </c>
      <c r="R11" s="333">
        <f t="shared" si="4"/>
        <v>-8.7000000000000098E-4</v>
      </c>
      <c r="S11" s="368">
        <f t="shared" si="3"/>
        <v>1.1099999999999999E-2</v>
      </c>
      <c r="T11" s="293"/>
      <c r="U11" s="115"/>
      <c r="V11" s="150"/>
      <c r="W11" s="117"/>
      <c r="X11" s="117"/>
      <c r="Y11" s="118"/>
      <c r="Z11" s="119"/>
    </row>
    <row r="12" spans="1:26" s="114" customFormat="1" ht="12.95" customHeight="1">
      <c r="A12" s="405">
        <v>7</v>
      </c>
      <c r="B12" s="372" t="s">
        <v>222</v>
      </c>
      <c r="C12" s="373" t="s">
        <v>223</v>
      </c>
      <c r="D12" s="74">
        <v>27447295.370000001</v>
      </c>
      <c r="E12" s="337">
        <f t="shared" si="0"/>
        <v>1.6177716431428095E-3</v>
      </c>
      <c r="F12" s="329">
        <v>107.21</v>
      </c>
      <c r="G12" s="329">
        <v>110.38</v>
      </c>
      <c r="H12" s="338">
        <v>3.0499999999999999E-2</v>
      </c>
      <c r="I12" s="338">
        <v>0.1055</v>
      </c>
      <c r="J12" s="74">
        <v>28355131.620000001</v>
      </c>
      <c r="K12" s="337">
        <v>0.96619999999999995</v>
      </c>
      <c r="L12" s="329">
        <v>110.73</v>
      </c>
      <c r="M12" s="329">
        <v>114.04</v>
      </c>
      <c r="N12" s="338">
        <v>3.5999999999999997E-2</v>
      </c>
      <c r="O12" s="338">
        <v>0.14149999999999999</v>
      </c>
      <c r="P12" s="333">
        <f t="shared" si="5"/>
        <v>3.3075617752569841E-2</v>
      </c>
      <c r="Q12" s="333">
        <f t="shared" si="2"/>
        <v>3.3158180829860578E-2</v>
      </c>
      <c r="R12" s="333">
        <f t="shared" si="4"/>
        <v>5.4999999999999979E-3</v>
      </c>
      <c r="S12" s="368">
        <f t="shared" si="3"/>
        <v>3.599999999999999E-2</v>
      </c>
      <c r="T12" s="146"/>
      <c r="U12" s="115"/>
    </row>
    <row r="13" spans="1:26" s="114" customFormat="1" ht="12.95" customHeight="1">
      <c r="A13" s="396">
        <v>8</v>
      </c>
      <c r="B13" s="372" t="s">
        <v>45</v>
      </c>
      <c r="C13" s="373" t="s">
        <v>135</v>
      </c>
      <c r="D13" s="330">
        <v>1025642836.7</v>
      </c>
      <c r="E13" s="337">
        <f t="shared" si="0"/>
        <v>6.0452437110411414E-2</v>
      </c>
      <c r="F13" s="329">
        <v>2.0499999999999998</v>
      </c>
      <c r="G13" s="329">
        <v>2.09</v>
      </c>
      <c r="H13" s="338">
        <v>-3.6600000000000001E-2</v>
      </c>
      <c r="I13" s="338">
        <v>3.5799999999999998E-2</v>
      </c>
      <c r="J13" s="330">
        <v>1041705147.45</v>
      </c>
      <c r="K13" s="337">
        <f t="shared" ref="K13:K18" si="6">(J13/$J$22)</f>
        <v>6.0991087871989827E-2</v>
      </c>
      <c r="L13" s="329">
        <v>2.08</v>
      </c>
      <c r="M13" s="329">
        <v>2.12</v>
      </c>
      <c r="N13" s="338">
        <v>-2.1499999999999998E-2</v>
      </c>
      <c r="O13" s="338">
        <v>5.1999999999999998E-2</v>
      </c>
      <c r="P13" s="333">
        <f t="shared" si="5"/>
        <v>1.5660725327815279E-2</v>
      </c>
      <c r="Q13" s="333">
        <f t="shared" si="2"/>
        <v>1.4354066985646053E-2</v>
      </c>
      <c r="R13" s="333">
        <f t="shared" si="4"/>
        <v>1.5100000000000002E-2</v>
      </c>
      <c r="S13" s="368">
        <f t="shared" si="3"/>
        <v>1.6199999999999999E-2</v>
      </c>
      <c r="T13" s="146"/>
      <c r="U13" s="115"/>
    </row>
    <row r="14" spans="1:26" s="114" customFormat="1" ht="12.95" customHeight="1">
      <c r="A14" s="398">
        <v>9</v>
      </c>
      <c r="B14" s="372" t="s">
        <v>54</v>
      </c>
      <c r="C14" s="373" t="s">
        <v>55</v>
      </c>
      <c r="D14" s="329">
        <v>322464418.95999998</v>
      </c>
      <c r="E14" s="337">
        <f t="shared" si="0"/>
        <v>1.9006382446199125E-2</v>
      </c>
      <c r="F14" s="329">
        <v>13.305763000000001</v>
      </c>
      <c r="G14" s="329">
        <v>13.423679999999999</v>
      </c>
      <c r="H14" s="338">
        <v>-1.9400000000000001E-2</v>
      </c>
      <c r="I14" s="338">
        <v>8.2500000000000004E-2</v>
      </c>
      <c r="J14" s="329">
        <v>332248869.60000002</v>
      </c>
      <c r="K14" s="337">
        <f t="shared" si="6"/>
        <v>1.9452932579576733E-2</v>
      </c>
      <c r="L14" s="329">
        <v>13.675819000000001</v>
      </c>
      <c r="M14" s="329">
        <v>13.726271000000001</v>
      </c>
      <c r="N14" s="338">
        <v>0.11177180374448148</v>
      </c>
      <c r="O14" s="338">
        <v>0.10972860093133141</v>
      </c>
      <c r="P14" s="333">
        <f t="shared" si="5"/>
        <v>3.0342729506580863E-2</v>
      </c>
      <c r="Q14" s="333">
        <f t="shared" si="2"/>
        <v>2.2541583232019938E-2</v>
      </c>
      <c r="R14" s="333">
        <f t="shared" si="4"/>
        <v>0.13117180374448148</v>
      </c>
      <c r="S14" s="368">
        <f t="shared" si="3"/>
        <v>2.7228600931331406E-2</v>
      </c>
      <c r="T14" s="146"/>
      <c r="U14" s="151"/>
      <c r="V14" s="151"/>
    </row>
    <row r="15" spans="1:26" s="114" customFormat="1" ht="12.95" customHeight="1">
      <c r="A15" s="397">
        <v>10</v>
      </c>
      <c r="B15" s="372" t="s">
        <v>128</v>
      </c>
      <c r="C15" s="373" t="s">
        <v>91</v>
      </c>
      <c r="D15" s="329">
        <v>308529932.08999997</v>
      </c>
      <c r="E15" s="337">
        <f t="shared" si="0"/>
        <v>1.8185069547563902E-2</v>
      </c>
      <c r="F15" s="329">
        <v>1.569401</v>
      </c>
      <c r="G15" s="329">
        <v>1.5971120000000001</v>
      </c>
      <c r="H15" s="338">
        <v>-3.5616438356164383E-4</v>
      </c>
      <c r="I15" s="338">
        <v>0.94699999999999995</v>
      </c>
      <c r="J15" s="329">
        <v>315819551.70999998</v>
      </c>
      <c r="K15" s="337">
        <f t="shared" si="6"/>
        <v>1.8491007822308562E-2</v>
      </c>
      <c r="L15" s="329">
        <v>1.606481</v>
      </c>
      <c r="M15" s="329">
        <v>1.634835</v>
      </c>
      <c r="N15" s="338">
        <v>-2E-3</v>
      </c>
      <c r="O15" s="338">
        <v>-0.73970000000000002</v>
      </c>
      <c r="P15" s="333">
        <f t="shared" si="5"/>
        <v>2.3626944622908031E-2</v>
      </c>
      <c r="Q15" s="333">
        <f t="shared" si="2"/>
        <v>2.3619508212323212E-2</v>
      </c>
      <c r="R15" s="333">
        <f t="shared" si="4"/>
        <v>-1.6438356164383563E-3</v>
      </c>
      <c r="S15" s="368">
        <f t="shared" si="3"/>
        <v>-1.6867000000000001</v>
      </c>
      <c r="T15" s="146"/>
      <c r="U15" s="152"/>
      <c r="V15" s="152"/>
    </row>
    <row r="16" spans="1:26" s="114" customFormat="1" ht="12.95" customHeight="1">
      <c r="A16" s="401">
        <v>11</v>
      </c>
      <c r="B16" s="372" t="s">
        <v>10</v>
      </c>
      <c r="C16" s="373" t="s">
        <v>9</v>
      </c>
      <c r="D16" s="330">
        <v>751036579.92999995</v>
      </c>
      <c r="E16" s="337">
        <f t="shared" si="0"/>
        <v>4.4266863659787693E-2</v>
      </c>
      <c r="F16" s="329">
        <v>18.41</v>
      </c>
      <c r="G16" s="329">
        <v>18.79</v>
      </c>
      <c r="H16" s="338">
        <v>-4.0000000000000001E-3</v>
      </c>
      <c r="I16" s="338">
        <v>7.1900000000000006E-2</v>
      </c>
      <c r="J16" s="330">
        <v>747894697.69000006</v>
      </c>
      <c r="K16" s="337">
        <f t="shared" si="6"/>
        <v>4.3788697154340875E-2</v>
      </c>
      <c r="L16" s="329">
        <v>18.41</v>
      </c>
      <c r="M16" s="329">
        <v>18.79</v>
      </c>
      <c r="N16" s="338">
        <v>-4.0000000000000001E-3</v>
      </c>
      <c r="O16" s="338">
        <v>9.3399999999999997E-2</v>
      </c>
      <c r="P16" s="333">
        <f t="shared" si="5"/>
        <v>-4.1833944230688846E-3</v>
      </c>
      <c r="Q16" s="333">
        <f t="shared" si="2"/>
        <v>0</v>
      </c>
      <c r="R16" s="333">
        <f t="shared" si="4"/>
        <v>0</v>
      </c>
      <c r="S16" s="368">
        <f t="shared" si="3"/>
        <v>2.1499999999999991E-2</v>
      </c>
      <c r="T16" s="146"/>
      <c r="U16" s="153"/>
      <c r="V16" s="153"/>
    </row>
    <row r="17" spans="1:25" s="114" customFormat="1" ht="12.95" customHeight="1">
      <c r="A17" s="400">
        <v>12</v>
      </c>
      <c r="B17" s="372" t="s">
        <v>68</v>
      </c>
      <c r="C17" s="373" t="s">
        <v>5</v>
      </c>
      <c r="D17" s="330">
        <v>359827802.38</v>
      </c>
      <c r="E17" s="337">
        <f t="shared" si="0"/>
        <v>2.1208618454298316E-2</v>
      </c>
      <c r="F17" s="329">
        <v>3551.31</v>
      </c>
      <c r="G17" s="329">
        <v>3591.3</v>
      </c>
      <c r="H17" s="338">
        <v>-3.0000000000000001E-3</v>
      </c>
      <c r="I17" s="338">
        <v>9.6799999999999997E-2</v>
      </c>
      <c r="J17" s="330">
        <v>362595207.16000003</v>
      </c>
      <c r="K17" s="337">
        <f t="shared" si="6"/>
        <v>2.1229688838529426E-2</v>
      </c>
      <c r="L17" s="329">
        <v>3578.67</v>
      </c>
      <c r="M17" s="329">
        <v>3618.89</v>
      </c>
      <c r="N17" s="338">
        <v>7.7000000000000002E-3</v>
      </c>
      <c r="O17" s="338">
        <v>0.1052</v>
      </c>
      <c r="P17" s="333">
        <f t="shared" si="5"/>
        <v>7.6909142698136585E-3</v>
      </c>
      <c r="Q17" s="333">
        <f t="shared" si="2"/>
        <v>7.6824548213737893E-3</v>
      </c>
      <c r="R17" s="333">
        <f t="shared" si="4"/>
        <v>1.0700000000000001E-2</v>
      </c>
      <c r="S17" s="368">
        <f t="shared" si="3"/>
        <v>8.4000000000000047E-3</v>
      </c>
      <c r="T17" s="146"/>
      <c r="U17" s="152"/>
      <c r="V17" s="152"/>
    </row>
    <row r="18" spans="1:25" s="114" customFormat="1" ht="12.95" customHeight="1">
      <c r="A18" s="400">
        <v>13</v>
      </c>
      <c r="B18" s="372" t="s">
        <v>230</v>
      </c>
      <c r="C18" s="373" t="s">
        <v>5</v>
      </c>
      <c r="D18" s="330">
        <v>7527063280.2200003</v>
      </c>
      <c r="E18" s="337">
        <f t="shared" si="0"/>
        <v>0.44365280318989098</v>
      </c>
      <c r="F18" s="329">
        <v>12999.24</v>
      </c>
      <c r="G18" s="329">
        <v>13157.36</v>
      </c>
      <c r="H18" s="338">
        <v>4.1999999999999997E-3</v>
      </c>
      <c r="I18" s="338">
        <v>6.3500000000000001E-2</v>
      </c>
      <c r="J18" s="330">
        <v>7587944673.5</v>
      </c>
      <c r="K18" s="337">
        <f t="shared" si="6"/>
        <v>0.44426870835967436</v>
      </c>
      <c r="L18" s="329">
        <v>13107.79</v>
      </c>
      <c r="M18" s="329">
        <v>13267.36</v>
      </c>
      <c r="N18" s="338">
        <v>4.1999999999999997E-3</v>
      </c>
      <c r="O18" s="338">
        <v>7.2400000000000006E-2</v>
      </c>
      <c r="P18" s="333">
        <f t="shared" si="5"/>
        <v>8.0883328615008396E-3</v>
      </c>
      <c r="Q18" s="333">
        <f t="shared" si="2"/>
        <v>8.3603397642080177E-3</v>
      </c>
      <c r="R18" s="333">
        <f t="shared" si="4"/>
        <v>0</v>
      </c>
      <c r="S18" s="368">
        <f t="shared" si="3"/>
        <v>8.9000000000000051E-3</v>
      </c>
      <c r="T18" s="146"/>
      <c r="U18" s="154"/>
      <c r="V18" s="154"/>
    </row>
    <row r="19" spans="1:25" s="114" customFormat="1" ht="12.95" customHeight="1">
      <c r="A19" s="397">
        <v>14</v>
      </c>
      <c r="B19" s="372" t="s">
        <v>250</v>
      </c>
      <c r="C19" s="373" t="s">
        <v>251</v>
      </c>
      <c r="D19" s="74">
        <v>58830040.659999996</v>
      </c>
      <c r="E19" s="337">
        <f t="shared" si="0"/>
        <v>3.4675027270159218E-3</v>
      </c>
      <c r="F19" s="329">
        <v>111.27809999999999</v>
      </c>
      <c r="G19" s="329">
        <v>111.6998</v>
      </c>
      <c r="H19" s="338">
        <v>5.9192000000000002E-2</v>
      </c>
      <c r="I19" s="338">
        <v>3.0640000000000001E-2</v>
      </c>
      <c r="J19" s="74">
        <v>59586982.670000002</v>
      </c>
      <c r="K19" s="337">
        <v>0.96619999999999995</v>
      </c>
      <c r="L19" s="329">
        <v>112.7081</v>
      </c>
      <c r="M19" s="329">
        <v>113.1404</v>
      </c>
      <c r="N19" s="338">
        <v>6.6355999999999998E-2</v>
      </c>
      <c r="O19" s="338">
        <v>4.9940999999999999E-2</v>
      </c>
      <c r="P19" s="333">
        <f t="shared" si="5"/>
        <v>1.2866589951461125E-2</v>
      </c>
      <c r="Q19" s="333">
        <f t="shared" si="2"/>
        <v>1.2897068750346944E-2</v>
      </c>
      <c r="R19" s="333">
        <f t="shared" si="4"/>
        <v>7.1639999999999968E-3</v>
      </c>
      <c r="S19" s="368">
        <f t="shared" si="3"/>
        <v>1.9300999999999999E-2</v>
      </c>
      <c r="T19" s="313"/>
      <c r="U19" s="313"/>
      <c r="V19" s="154"/>
    </row>
    <row r="20" spans="1:25" s="334" customFormat="1" ht="12.95" customHeight="1">
      <c r="A20" s="401">
        <v>15</v>
      </c>
      <c r="B20" s="373" t="s">
        <v>76</v>
      </c>
      <c r="C20" s="373" t="s">
        <v>41</v>
      </c>
      <c r="D20" s="329">
        <v>1986065591.46</v>
      </c>
      <c r="E20" s="337">
        <f t="shared" si="0"/>
        <v>0.11706073592946656</v>
      </c>
      <c r="F20" s="329">
        <v>1.0230999999999999</v>
      </c>
      <c r="G20" s="314">
        <v>1.0337000000000001</v>
      </c>
      <c r="H20" s="338">
        <v>-4.5999999999999999E-3</v>
      </c>
      <c r="I20" s="338">
        <v>7.3700000000000002E-2</v>
      </c>
      <c r="J20" s="329">
        <v>1980421530.45</v>
      </c>
      <c r="K20" s="337">
        <f>(J20/$J$22)</f>
        <v>0.11595225758741308</v>
      </c>
      <c r="L20" s="329">
        <v>1.0175000000000001</v>
      </c>
      <c r="M20" s="314">
        <v>1.028</v>
      </c>
      <c r="N20" s="338">
        <v>-5.4999999999999997E-3</v>
      </c>
      <c r="O20" s="338">
        <v>6.7699999999999996E-2</v>
      </c>
      <c r="P20" s="333">
        <f t="shared" si="5"/>
        <v>-2.8418301159182351E-3</v>
      </c>
      <c r="Q20" s="333">
        <f t="shared" si="2"/>
        <v>-5.5141723904421382E-3</v>
      </c>
      <c r="R20" s="333">
        <f t="shared" si="4"/>
        <v>-8.9999999999999976E-4</v>
      </c>
      <c r="S20" s="368">
        <f t="shared" si="3"/>
        <v>-6.0000000000000053E-3</v>
      </c>
      <c r="T20" s="313"/>
      <c r="U20" s="313"/>
      <c r="V20" s="154"/>
    </row>
    <row r="21" spans="1:25" s="114" customFormat="1" ht="12.95" customHeight="1">
      <c r="A21" s="402">
        <v>16</v>
      </c>
      <c r="B21" s="372" t="s">
        <v>125</v>
      </c>
      <c r="C21" s="373" t="s">
        <v>248</v>
      </c>
      <c r="D21" s="330">
        <v>352536812.56999999</v>
      </c>
      <c r="E21" s="337">
        <f t="shared" si="0"/>
        <v>2.0778880062735212E-2</v>
      </c>
      <c r="F21" s="329">
        <v>1.29</v>
      </c>
      <c r="G21" s="329">
        <v>1.33</v>
      </c>
      <c r="H21" s="338">
        <v>1.318544946870448E-3</v>
      </c>
      <c r="I21" s="338">
        <v>4.0399999999999998E-2</v>
      </c>
      <c r="J21" s="330">
        <v>356346205.95999998</v>
      </c>
      <c r="K21" s="337">
        <f>(J21/$J$22)</f>
        <v>2.0863814308453087E-2</v>
      </c>
      <c r="L21" s="329">
        <v>1.3</v>
      </c>
      <c r="M21" s="329">
        <v>1.34</v>
      </c>
      <c r="N21" s="338">
        <v>1.0500000000000001E-2</v>
      </c>
      <c r="O21" s="338">
        <v>5.1299999999999998E-2</v>
      </c>
      <c r="P21" s="333">
        <f t="shared" si="5"/>
        <v>1.0805661293155277E-2</v>
      </c>
      <c r="Q21" s="333">
        <f t="shared" si="2"/>
        <v>7.5187969924812095E-3</v>
      </c>
      <c r="R21" s="333">
        <f t="shared" si="4"/>
        <v>9.1814550531295527E-3</v>
      </c>
      <c r="S21" s="368">
        <f t="shared" si="3"/>
        <v>1.09E-2</v>
      </c>
      <c r="T21" s="147"/>
      <c r="U21" s="121"/>
      <c r="V21" s="121"/>
    </row>
    <row r="22" spans="1:25" s="114" customFormat="1" ht="12.95" customHeight="1">
      <c r="A22" s="218"/>
      <c r="C22" s="248" t="s">
        <v>42</v>
      </c>
      <c r="D22" s="70">
        <f>SUM(D6:D21)</f>
        <v>16966112297.950001</v>
      </c>
      <c r="E22" s="266">
        <f>(D22/$D$168)</f>
        <v>1.0327097506158473E-2</v>
      </c>
      <c r="F22" s="268"/>
      <c r="G22" s="71"/>
      <c r="H22" s="285"/>
      <c r="I22" s="285"/>
      <c r="J22" s="70">
        <f>SUM(J6:J21)</f>
        <v>17079628906.379999</v>
      </c>
      <c r="K22" s="266">
        <f>(J22/$J$168)</f>
        <v>1.0452220503281776E-2</v>
      </c>
      <c r="L22" s="268"/>
      <c r="M22" s="71"/>
      <c r="N22" s="285"/>
      <c r="O22" s="285"/>
      <c r="P22" s="270">
        <f t="shared" si="5"/>
        <v>6.6907849268281984E-3</v>
      </c>
      <c r="Q22" s="270"/>
      <c r="R22" s="270">
        <f t="shared" ref="R22" si="7">N22-H22</f>
        <v>0</v>
      </c>
      <c r="S22" s="368">
        <f t="shared" ref="S22" si="8">O22-I22</f>
        <v>0</v>
      </c>
      <c r="T22" s="146"/>
      <c r="U22" s="155"/>
      <c r="X22" s="121"/>
      <c r="Y22" s="121"/>
    </row>
    <row r="23" spans="1:25" s="114" customFormat="1" ht="5.25" customHeight="1">
      <c r="A23" s="411"/>
      <c r="B23" s="412"/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26"/>
      <c r="T23" s="146"/>
      <c r="U23" s="155"/>
      <c r="X23" s="121"/>
      <c r="Y23" s="121"/>
    </row>
    <row r="24" spans="1:25" s="114" customFormat="1" ht="12.95" customHeight="1">
      <c r="A24" s="418" t="s">
        <v>44</v>
      </c>
      <c r="B24" s="419"/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1"/>
      <c r="T24" s="156"/>
      <c r="V24" s="157"/>
    </row>
    <row r="25" spans="1:25" s="114" customFormat="1" ht="12.95" customHeight="1">
      <c r="A25" s="402">
        <v>17</v>
      </c>
      <c r="B25" s="372" t="s">
        <v>99</v>
      </c>
      <c r="C25" s="373" t="s">
        <v>248</v>
      </c>
      <c r="D25" s="325">
        <v>17528080985.630001</v>
      </c>
      <c r="E25" s="196">
        <v>4.7199999999999999E-2</v>
      </c>
      <c r="F25" s="314">
        <v>100</v>
      </c>
      <c r="G25" s="314">
        <v>100</v>
      </c>
      <c r="H25" s="338">
        <v>0.10489999999999999</v>
      </c>
      <c r="I25" s="338">
        <v>9.0899999999999995E-2</v>
      </c>
      <c r="J25" s="325">
        <v>17590388292.700001</v>
      </c>
      <c r="K25" s="337">
        <f t="shared" ref="K25:K53" si="9">(J25/$J$54)</f>
        <v>2.1821938380149522E-2</v>
      </c>
      <c r="L25" s="314">
        <v>100</v>
      </c>
      <c r="M25" s="314">
        <v>100</v>
      </c>
      <c r="N25" s="338">
        <v>0.1048</v>
      </c>
      <c r="O25" s="338">
        <v>0.1018</v>
      </c>
      <c r="P25" s="333">
        <f t="shared" ref="P25:P53" si="10">((J25-D25)/D25)</f>
        <v>3.5547135548427079E-3</v>
      </c>
      <c r="Q25" s="333">
        <f t="shared" ref="Q25:Q53" si="11">((M25-G25)/G25)</f>
        <v>0</v>
      </c>
      <c r="R25" s="333">
        <f t="shared" ref="R25:R53" si="12">N25-H25</f>
        <v>-9.9999999999988987E-5</v>
      </c>
      <c r="S25" s="368">
        <f t="shared" ref="S25:S53" si="13">O25-I25</f>
        <v>1.0900000000000007E-2</v>
      </c>
      <c r="T25" s="158"/>
      <c r="U25" s="113"/>
      <c r="V25" s="113"/>
    </row>
    <row r="26" spans="1:25" s="114" customFormat="1" ht="12.95" customHeight="1">
      <c r="A26" s="397">
        <v>18</v>
      </c>
      <c r="B26" s="372" t="s">
        <v>117</v>
      </c>
      <c r="C26" s="373" t="s">
        <v>58</v>
      </c>
      <c r="D26" s="325">
        <v>780586901.72000003</v>
      </c>
      <c r="E26" s="196">
        <v>7.9600000000000004E-2</v>
      </c>
      <c r="F26" s="314">
        <v>100</v>
      </c>
      <c r="G26" s="314">
        <v>100</v>
      </c>
      <c r="H26" s="338">
        <v>0.13589999999999999</v>
      </c>
      <c r="I26" s="338">
        <v>0.13589999999999999</v>
      </c>
      <c r="J26" s="325">
        <v>789021220.91999996</v>
      </c>
      <c r="K26" s="337">
        <f t="shared" si="9"/>
        <v>9.7882844750459713E-4</v>
      </c>
      <c r="L26" s="314">
        <v>100</v>
      </c>
      <c r="M26" s="314">
        <v>100</v>
      </c>
      <c r="N26" s="338">
        <v>0.1346</v>
      </c>
      <c r="O26" s="338">
        <v>0.1346</v>
      </c>
      <c r="P26" s="111">
        <f t="shared" si="10"/>
        <v>1.0805099574967447E-2</v>
      </c>
      <c r="Q26" s="111">
        <f t="shared" si="11"/>
        <v>0</v>
      </c>
      <c r="R26" s="333">
        <f t="shared" si="12"/>
        <v>-1.2999999999999956E-3</v>
      </c>
      <c r="S26" s="368">
        <f t="shared" si="13"/>
        <v>-1.2999999999999956E-3</v>
      </c>
      <c r="T26" s="159"/>
      <c r="U26" s="122"/>
      <c r="V26" s="157"/>
      <c r="W26" s="160"/>
    </row>
    <row r="27" spans="1:25" s="114" customFormat="1" ht="12.95" customHeight="1">
      <c r="A27" s="397">
        <v>19</v>
      </c>
      <c r="B27" s="372" t="s">
        <v>37</v>
      </c>
      <c r="C27" s="373" t="s">
        <v>36</v>
      </c>
      <c r="D27" s="325">
        <v>3119190246.1599998</v>
      </c>
      <c r="E27" s="196">
        <v>8.6400000000000005E-2</v>
      </c>
      <c r="F27" s="314">
        <v>100</v>
      </c>
      <c r="G27" s="314">
        <v>100</v>
      </c>
      <c r="H27" s="338">
        <v>2.3770000000000002E-3</v>
      </c>
      <c r="I27" s="338">
        <v>0.127384</v>
      </c>
      <c r="J27" s="325">
        <v>3181722069.02</v>
      </c>
      <c r="K27" s="337">
        <f t="shared" si="9"/>
        <v>3.9471182658162383E-3</v>
      </c>
      <c r="L27" s="314">
        <v>100</v>
      </c>
      <c r="M27" s="314">
        <v>100</v>
      </c>
      <c r="N27" s="338">
        <v>0.127502</v>
      </c>
      <c r="O27" s="338">
        <v>0.127502</v>
      </c>
      <c r="P27" s="333">
        <f t="shared" si="10"/>
        <v>2.0047453962445016E-2</v>
      </c>
      <c r="Q27" s="333">
        <f t="shared" si="11"/>
        <v>0</v>
      </c>
      <c r="R27" s="333">
        <f t="shared" si="12"/>
        <v>0.12512500000000001</v>
      </c>
      <c r="S27" s="368">
        <f t="shared" si="13"/>
        <v>1.1800000000000699E-4</v>
      </c>
      <c r="T27" s="146"/>
      <c r="U27" s="115"/>
    </row>
    <row r="28" spans="1:25" s="114" customFormat="1" ht="12.95" customHeight="1">
      <c r="A28" s="397">
        <v>20</v>
      </c>
      <c r="B28" s="372" t="s">
        <v>140</v>
      </c>
      <c r="C28" s="373" t="s">
        <v>138</v>
      </c>
      <c r="D28" s="325">
        <v>455989204.56</v>
      </c>
      <c r="E28" s="196">
        <v>2.0000000000000001E-4</v>
      </c>
      <c r="F28" s="314">
        <v>100</v>
      </c>
      <c r="G28" s="314">
        <v>100</v>
      </c>
      <c r="H28" s="338">
        <v>5.8799999999999998E-2</v>
      </c>
      <c r="I28" s="338">
        <v>5.8799999999999998E-2</v>
      </c>
      <c r="J28" s="325">
        <v>466329515.66000003</v>
      </c>
      <c r="K28" s="337">
        <f t="shared" si="9"/>
        <v>5.7850991042651483E-4</v>
      </c>
      <c r="L28" s="314">
        <v>100</v>
      </c>
      <c r="M28" s="314">
        <v>100</v>
      </c>
      <c r="N28" s="338">
        <v>6.4600000000000005E-2</v>
      </c>
      <c r="O28" s="338">
        <v>6.4600000000000005E-2</v>
      </c>
      <c r="P28" s="333">
        <f t="shared" si="10"/>
        <v>2.2676657685301461E-2</v>
      </c>
      <c r="Q28" s="333">
        <f t="shared" si="11"/>
        <v>0</v>
      </c>
      <c r="R28" s="333">
        <f t="shared" si="12"/>
        <v>5.8000000000000065E-3</v>
      </c>
      <c r="S28" s="368">
        <f t="shared" si="13"/>
        <v>5.8000000000000065E-3</v>
      </c>
      <c r="T28" s="146"/>
      <c r="U28" s="122"/>
    </row>
    <row r="29" spans="1:25" s="114" customFormat="1" ht="12.95" customHeight="1">
      <c r="A29" s="398">
        <v>21</v>
      </c>
      <c r="B29" s="372" t="s">
        <v>15</v>
      </c>
      <c r="C29" s="373" t="s">
        <v>6</v>
      </c>
      <c r="D29" s="325">
        <v>78641641385.800003</v>
      </c>
      <c r="E29" s="196">
        <v>6.54E-2</v>
      </c>
      <c r="F29" s="314">
        <v>1</v>
      </c>
      <c r="G29" s="314">
        <v>1</v>
      </c>
      <c r="H29" s="338">
        <v>0.1134</v>
      </c>
      <c r="I29" s="338">
        <v>0.1134</v>
      </c>
      <c r="J29" s="325">
        <v>79017835302.059998</v>
      </c>
      <c r="K29" s="337">
        <f t="shared" si="9"/>
        <v>9.8026393971641299E-2</v>
      </c>
      <c r="L29" s="314">
        <v>1</v>
      </c>
      <c r="M29" s="314">
        <v>1</v>
      </c>
      <c r="N29" s="338">
        <v>0.1057</v>
      </c>
      <c r="O29" s="338">
        <v>0.1057</v>
      </c>
      <c r="P29" s="333">
        <f t="shared" si="10"/>
        <v>4.7836478185197479E-3</v>
      </c>
      <c r="Q29" s="333">
        <f t="shared" si="11"/>
        <v>0</v>
      </c>
      <c r="R29" s="333">
        <f t="shared" si="12"/>
        <v>-7.6999999999999985E-3</v>
      </c>
      <c r="S29" s="368">
        <f t="shared" si="13"/>
        <v>-7.6999999999999985E-3</v>
      </c>
      <c r="T29" s="156"/>
      <c r="U29" s="115"/>
    </row>
    <row r="30" spans="1:25" s="114" customFormat="1" ht="12.95" customHeight="1">
      <c r="A30" s="401">
        <v>22</v>
      </c>
      <c r="B30" s="372" t="s">
        <v>83</v>
      </c>
      <c r="C30" s="373" t="s">
        <v>81</v>
      </c>
      <c r="D30" s="325">
        <v>38293583803.980003</v>
      </c>
      <c r="E30" s="196">
        <v>6.9800000000000001E-2</v>
      </c>
      <c r="F30" s="314">
        <v>1</v>
      </c>
      <c r="G30" s="314">
        <v>1</v>
      </c>
      <c r="H30" s="338">
        <v>0.10580000000000001</v>
      </c>
      <c r="I30" s="338">
        <v>0.10580000000000001</v>
      </c>
      <c r="J30" s="325">
        <v>39423811758.82</v>
      </c>
      <c r="K30" s="337">
        <f t="shared" si="9"/>
        <v>4.8907617989797862E-2</v>
      </c>
      <c r="L30" s="314">
        <v>1</v>
      </c>
      <c r="M30" s="314">
        <v>1</v>
      </c>
      <c r="N30" s="338">
        <v>9.64E-2</v>
      </c>
      <c r="O30" s="338">
        <v>9.64E-2</v>
      </c>
      <c r="P30" s="333">
        <f t="shared" si="10"/>
        <v>2.9514812732741074E-2</v>
      </c>
      <c r="Q30" s="333">
        <f t="shared" si="11"/>
        <v>0</v>
      </c>
      <c r="R30" s="333">
        <f t="shared" si="12"/>
        <v>-9.4000000000000056E-3</v>
      </c>
      <c r="S30" s="368">
        <f t="shared" si="13"/>
        <v>-9.4000000000000056E-3</v>
      </c>
      <c r="T30" s="146"/>
      <c r="U30" s="151"/>
      <c r="V30" s="429"/>
      <c r="W30" s="429"/>
    </row>
    <row r="31" spans="1:25" s="114" customFormat="1" ht="12.95" customHeight="1">
      <c r="A31" s="401">
        <v>23</v>
      </c>
      <c r="B31" s="372" t="s">
        <v>98</v>
      </c>
      <c r="C31" s="373" t="s">
        <v>9</v>
      </c>
      <c r="D31" s="325">
        <v>6122434597.0100002</v>
      </c>
      <c r="E31" s="196">
        <v>5.3699999999999998E-2</v>
      </c>
      <c r="F31" s="314">
        <v>100</v>
      </c>
      <c r="G31" s="314">
        <v>100</v>
      </c>
      <c r="H31" s="338">
        <v>9.3899999999999997E-2</v>
      </c>
      <c r="I31" s="338">
        <v>9.3899999999999997E-2</v>
      </c>
      <c r="J31" s="325">
        <v>6111307995.9700003</v>
      </c>
      <c r="K31" s="337">
        <f t="shared" si="9"/>
        <v>7.5814464292136728E-3</v>
      </c>
      <c r="L31" s="314">
        <v>100</v>
      </c>
      <c r="M31" s="314">
        <v>100</v>
      </c>
      <c r="N31" s="338">
        <v>9.9699999999999997E-2</v>
      </c>
      <c r="O31" s="338">
        <v>9.9699999999999997E-2</v>
      </c>
      <c r="P31" s="333">
        <f t="shared" si="10"/>
        <v>-1.8173491057681262E-3</v>
      </c>
      <c r="Q31" s="333">
        <f t="shared" si="11"/>
        <v>0</v>
      </c>
      <c r="R31" s="333">
        <f t="shared" si="12"/>
        <v>5.7999999999999996E-3</v>
      </c>
      <c r="S31" s="368">
        <f t="shared" si="13"/>
        <v>5.7999999999999996E-3</v>
      </c>
      <c r="T31" s="146"/>
      <c r="U31" s="115"/>
      <c r="V31" s="431"/>
      <c r="W31" s="431"/>
    </row>
    <row r="32" spans="1:25" s="114" customFormat="1" ht="12.95" customHeight="1">
      <c r="A32" s="405">
        <v>24</v>
      </c>
      <c r="B32" s="372" t="s">
        <v>235</v>
      </c>
      <c r="C32" s="373" t="s">
        <v>7</v>
      </c>
      <c r="D32" s="325">
        <v>12230978720.610001</v>
      </c>
      <c r="E32" s="196">
        <v>6.1269999999999998E-2</v>
      </c>
      <c r="F32" s="314">
        <v>100</v>
      </c>
      <c r="G32" s="314">
        <v>100</v>
      </c>
      <c r="H32" s="338">
        <v>0.113630728783222</v>
      </c>
      <c r="I32" s="338">
        <v>0.113630728783222</v>
      </c>
      <c r="J32" s="325">
        <v>12425715288.98</v>
      </c>
      <c r="K32" s="337">
        <f t="shared" si="9"/>
        <v>1.5414849794869609E-2</v>
      </c>
      <c r="L32" s="314">
        <v>100</v>
      </c>
      <c r="M32" s="314">
        <v>100</v>
      </c>
      <c r="N32" s="338">
        <v>0.11310000000000001</v>
      </c>
      <c r="O32" s="338">
        <v>0.11310000000000001</v>
      </c>
      <c r="P32" s="333">
        <f t="shared" si="10"/>
        <v>1.5921585084753279E-2</v>
      </c>
      <c r="Q32" s="333">
        <f t="shared" si="11"/>
        <v>0</v>
      </c>
      <c r="R32" s="333">
        <f t="shared" si="12"/>
        <v>-5.3072878322199535E-4</v>
      </c>
      <c r="S32" s="368">
        <f t="shared" si="13"/>
        <v>-5.3072878322199535E-4</v>
      </c>
      <c r="T32" s="146"/>
      <c r="U32" s="115"/>
      <c r="V32" s="432"/>
      <c r="W32" s="432"/>
    </row>
    <row r="33" spans="1:23" s="114" customFormat="1" ht="12.95" customHeight="1">
      <c r="A33" s="397">
        <v>25</v>
      </c>
      <c r="B33" s="372" t="s">
        <v>90</v>
      </c>
      <c r="C33" s="373" t="s">
        <v>89</v>
      </c>
      <c r="D33" s="325">
        <v>5499227227.9899998</v>
      </c>
      <c r="E33" s="196">
        <v>7.0599999999999996E-2</v>
      </c>
      <c r="F33" s="314">
        <v>100</v>
      </c>
      <c r="G33" s="314">
        <v>100</v>
      </c>
      <c r="H33" s="338">
        <v>0.10059999999999999</v>
      </c>
      <c r="I33" s="338">
        <v>0.10059999999999999</v>
      </c>
      <c r="J33" s="325">
        <v>5417917408.1400003</v>
      </c>
      <c r="K33" s="337">
        <f t="shared" si="9"/>
        <v>6.721253554035282E-3</v>
      </c>
      <c r="L33" s="314">
        <v>100</v>
      </c>
      <c r="M33" s="314">
        <v>100</v>
      </c>
      <c r="N33" s="338">
        <v>0.1002</v>
      </c>
      <c r="O33" s="338">
        <v>0.1002</v>
      </c>
      <c r="P33" s="333">
        <f t="shared" si="10"/>
        <v>-1.4785681056448844E-2</v>
      </c>
      <c r="Q33" s="333">
        <f t="shared" si="11"/>
        <v>0</v>
      </c>
      <c r="R33" s="333">
        <f t="shared" si="12"/>
        <v>-3.9999999999999758E-4</v>
      </c>
      <c r="S33" s="368">
        <f t="shared" si="13"/>
        <v>-3.9999999999999758E-4</v>
      </c>
      <c r="T33" s="146"/>
      <c r="U33" s="115"/>
    </row>
    <row r="34" spans="1:23" s="114" customFormat="1" ht="12.95" customHeight="1">
      <c r="A34" s="405">
        <v>26</v>
      </c>
      <c r="B34" s="372" t="s">
        <v>183</v>
      </c>
      <c r="C34" s="373" t="s">
        <v>182</v>
      </c>
      <c r="D34" s="325">
        <v>44514190.369999997</v>
      </c>
      <c r="E34" s="196">
        <v>3.7000000000000002E-3</v>
      </c>
      <c r="F34" s="314">
        <v>100</v>
      </c>
      <c r="G34" s="314">
        <v>100</v>
      </c>
      <c r="H34" s="338">
        <v>0</v>
      </c>
      <c r="I34" s="338">
        <v>0</v>
      </c>
      <c r="J34" s="325">
        <v>44514190.369999997</v>
      </c>
      <c r="K34" s="337">
        <f t="shared" si="9"/>
        <v>5.5222539896945294E-5</v>
      </c>
      <c r="L34" s="314">
        <v>100</v>
      </c>
      <c r="M34" s="314">
        <v>100</v>
      </c>
      <c r="N34" s="338">
        <v>0</v>
      </c>
      <c r="O34" s="338">
        <v>0</v>
      </c>
      <c r="P34" s="333">
        <f t="shared" si="10"/>
        <v>0</v>
      </c>
      <c r="Q34" s="333">
        <f t="shared" si="11"/>
        <v>0</v>
      </c>
      <c r="R34" s="333">
        <f t="shared" si="12"/>
        <v>0</v>
      </c>
      <c r="S34" s="368">
        <f t="shared" si="13"/>
        <v>0</v>
      </c>
      <c r="T34" s="149"/>
      <c r="U34" s="161"/>
    </row>
    <row r="35" spans="1:23" s="114" customFormat="1" ht="12.95" customHeight="1">
      <c r="A35" s="405">
        <v>27</v>
      </c>
      <c r="B35" s="372" t="s">
        <v>110</v>
      </c>
      <c r="C35" s="373" t="s">
        <v>265</v>
      </c>
      <c r="D35" s="325">
        <v>5849251583.5699997</v>
      </c>
      <c r="E35" s="196">
        <v>6.3E-2</v>
      </c>
      <c r="F35" s="314">
        <v>1</v>
      </c>
      <c r="G35" s="314">
        <v>1</v>
      </c>
      <c r="H35" s="338">
        <v>9.69E-2</v>
      </c>
      <c r="I35" s="338">
        <v>9.69E-2</v>
      </c>
      <c r="J35" s="325">
        <v>5846850849.6999998</v>
      </c>
      <c r="K35" s="337">
        <f t="shared" si="9"/>
        <v>7.2533713774259254E-3</v>
      </c>
      <c r="L35" s="314">
        <v>1</v>
      </c>
      <c r="M35" s="314">
        <v>1</v>
      </c>
      <c r="N35" s="338">
        <v>0.1042</v>
      </c>
      <c r="O35" s="338">
        <v>0.1042</v>
      </c>
      <c r="P35" s="333">
        <f t="shared" si="10"/>
        <v>-4.1043436680742579E-4</v>
      </c>
      <c r="Q35" s="333">
        <f t="shared" si="11"/>
        <v>0</v>
      </c>
      <c r="R35" s="333">
        <f t="shared" si="12"/>
        <v>7.3000000000000009E-3</v>
      </c>
      <c r="S35" s="368">
        <f t="shared" si="13"/>
        <v>7.3000000000000009E-3</v>
      </c>
      <c r="T35" s="162"/>
      <c r="U35" s="115"/>
      <c r="V35" s="429"/>
      <c r="W35" s="429"/>
    </row>
    <row r="36" spans="1:23" s="114" customFormat="1" ht="12.95" customHeight="1">
      <c r="A36" s="401">
        <v>28</v>
      </c>
      <c r="B36" s="372" t="s">
        <v>102</v>
      </c>
      <c r="C36" s="373" t="s">
        <v>100</v>
      </c>
      <c r="D36" s="325">
        <v>12859844781.469999</v>
      </c>
      <c r="E36" s="196">
        <v>4.5100000000000001E-2</v>
      </c>
      <c r="F36" s="69">
        <v>100</v>
      </c>
      <c r="G36" s="69">
        <v>100</v>
      </c>
      <c r="H36" s="338">
        <v>9.01E-2</v>
      </c>
      <c r="I36" s="338">
        <v>9.01E-2</v>
      </c>
      <c r="J36" s="325">
        <v>12859844781.469999</v>
      </c>
      <c r="K36" s="337">
        <f t="shared" si="9"/>
        <v>1.5953413633056961E-2</v>
      </c>
      <c r="L36" s="69">
        <v>100</v>
      </c>
      <c r="M36" s="69">
        <v>100</v>
      </c>
      <c r="N36" s="338">
        <v>9.6600000000000005E-2</v>
      </c>
      <c r="O36" s="338">
        <v>9.6600000000000005E-2</v>
      </c>
      <c r="P36" s="333">
        <f t="shared" si="10"/>
        <v>0</v>
      </c>
      <c r="Q36" s="333">
        <f t="shared" si="11"/>
        <v>0</v>
      </c>
      <c r="R36" s="333">
        <f t="shared" si="12"/>
        <v>6.5000000000000058E-3</v>
      </c>
      <c r="S36" s="368">
        <f t="shared" si="13"/>
        <v>6.5000000000000058E-3</v>
      </c>
      <c r="T36" s="146"/>
      <c r="U36" s="124"/>
    </row>
    <row r="37" spans="1:23" s="114" customFormat="1" ht="12.95" customHeight="1">
      <c r="A37" s="401">
        <v>29</v>
      </c>
      <c r="B37" s="372" t="s">
        <v>101</v>
      </c>
      <c r="C37" s="373" t="s">
        <v>100</v>
      </c>
      <c r="D37" s="325">
        <v>492195524.19999999</v>
      </c>
      <c r="E37" s="196">
        <v>5.2900000000000003E-2</v>
      </c>
      <c r="F37" s="69">
        <v>1000000</v>
      </c>
      <c r="G37" s="69">
        <v>1000000</v>
      </c>
      <c r="H37" s="338">
        <v>9.6299999999999997E-2</v>
      </c>
      <c r="I37" s="338">
        <v>9.6299999999999997E-2</v>
      </c>
      <c r="J37" s="325">
        <v>492195524.19999999</v>
      </c>
      <c r="K37" s="337">
        <f t="shared" si="9"/>
        <v>6.1059825521504599E-4</v>
      </c>
      <c r="L37" s="69">
        <v>1000000</v>
      </c>
      <c r="M37" s="69">
        <v>1000000</v>
      </c>
      <c r="N37" s="338">
        <v>0.1135</v>
      </c>
      <c r="O37" s="338">
        <v>0.1135</v>
      </c>
      <c r="P37" s="333">
        <f t="shared" si="10"/>
        <v>0</v>
      </c>
      <c r="Q37" s="333">
        <f t="shared" si="11"/>
        <v>0</v>
      </c>
      <c r="R37" s="333">
        <f t="shared" si="12"/>
        <v>1.7200000000000007E-2</v>
      </c>
      <c r="S37" s="368">
        <f t="shared" si="13"/>
        <v>1.7200000000000007E-2</v>
      </c>
      <c r="T37" s="146"/>
      <c r="U37" s="125"/>
    </row>
    <row r="38" spans="1:23" s="114" customFormat="1" ht="12.95" customHeight="1">
      <c r="A38" s="396">
        <v>30</v>
      </c>
      <c r="B38" s="372" t="s">
        <v>173</v>
      </c>
      <c r="C38" s="373" t="s">
        <v>172</v>
      </c>
      <c r="D38" s="325">
        <v>1944347523.0699999</v>
      </c>
      <c r="E38" s="196">
        <v>9.0300000000000005E-2</v>
      </c>
      <c r="F38" s="314">
        <v>1</v>
      </c>
      <c r="G38" s="314">
        <v>1</v>
      </c>
      <c r="H38" s="338">
        <v>0.13800000000000001</v>
      </c>
      <c r="I38" s="338">
        <v>0.13800000000000001</v>
      </c>
      <c r="J38" s="325">
        <v>2000763576.29</v>
      </c>
      <c r="K38" s="337">
        <f t="shared" si="9"/>
        <v>2.4820679764736668E-3</v>
      </c>
      <c r="L38" s="314">
        <v>1</v>
      </c>
      <c r="M38" s="314">
        <v>1</v>
      </c>
      <c r="N38" s="338">
        <v>0.13850000000000001</v>
      </c>
      <c r="O38" s="338">
        <v>0.13850000000000001</v>
      </c>
      <c r="P38" s="333">
        <f t="shared" si="10"/>
        <v>2.9015416508939053E-2</v>
      </c>
      <c r="Q38" s="333">
        <f t="shared" si="11"/>
        <v>0</v>
      </c>
      <c r="R38" s="333">
        <f t="shared" si="12"/>
        <v>5.0000000000000044E-4</v>
      </c>
      <c r="S38" s="368">
        <f t="shared" si="13"/>
        <v>5.0000000000000044E-4</v>
      </c>
      <c r="T38" s="146"/>
      <c r="U38" s="124"/>
    </row>
    <row r="39" spans="1:23" s="114" customFormat="1" ht="12.95" customHeight="1">
      <c r="A39" s="402">
        <v>31</v>
      </c>
      <c r="B39" s="372" t="s">
        <v>270</v>
      </c>
      <c r="C39" s="373" t="s">
        <v>136</v>
      </c>
      <c r="D39" s="325">
        <v>267748658.43000001</v>
      </c>
      <c r="E39" s="337">
        <f>(D39/$J$54)</f>
        <v>3.3215837128802429E-4</v>
      </c>
      <c r="F39" s="314">
        <v>1</v>
      </c>
      <c r="G39" s="314">
        <v>1</v>
      </c>
      <c r="H39" s="324">
        <v>5.8599999999999999E-2</v>
      </c>
      <c r="I39" s="324">
        <v>5.8599999999999999E-2</v>
      </c>
      <c r="J39" s="325">
        <v>268120563.02000001</v>
      </c>
      <c r="K39" s="337">
        <f t="shared" si="9"/>
        <v>3.3261974137896439E-4</v>
      </c>
      <c r="L39" s="314">
        <v>1</v>
      </c>
      <c r="M39" s="314">
        <v>1</v>
      </c>
      <c r="N39" s="324">
        <v>7.5399999999999995E-2</v>
      </c>
      <c r="O39" s="324">
        <v>7.5399999999999995E-2</v>
      </c>
      <c r="P39" s="333">
        <f t="shared" si="10"/>
        <v>1.3890063620887721E-3</v>
      </c>
      <c r="Q39" s="333">
        <f t="shared" si="11"/>
        <v>0</v>
      </c>
      <c r="R39" s="333">
        <f t="shared" si="12"/>
        <v>1.6799999999999995E-2</v>
      </c>
      <c r="S39" s="368">
        <f t="shared" si="13"/>
        <v>1.6799999999999995E-2</v>
      </c>
      <c r="T39" s="146"/>
      <c r="U39" s="124"/>
      <c r="V39" s="126"/>
    </row>
    <row r="40" spans="1:23" s="114" customFormat="1" ht="12.95" customHeight="1">
      <c r="A40" s="397">
        <v>32</v>
      </c>
      <c r="B40" s="372" t="s">
        <v>14</v>
      </c>
      <c r="C40" s="373" t="s">
        <v>189</v>
      </c>
      <c r="D40" s="325">
        <v>191162635391.41</v>
      </c>
      <c r="E40" s="196">
        <v>6.2600000000000003E-2</v>
      </c>
      <c r="F40" s="314">
        <v>100</v>
      </c>
      <c r="G40" s="314">
        <v>100</v>
      </c>
      <c r="H40" s="338">
        <v>0.10489999999999999</v>
      </c>
      <c r="I40" s="338">
        <v>0.10489999999999999</v>
      </c>
      <c r="J40" s="325">
        <v>191554928691.54001</v>
      </c>
      <c r="K40" s="337">
        <f t="shared" si="9"/>
        <v>0.2376354507225665</v>
      </c>
      <c r="L40" s="314">
        <v>100</v>
      </c>
      <c r="M40" s="314">
        <v>100</v>
      </c>
      <c r="N40" s="338">
        <v>4.1700000000000001E-2</v>
      </c>
      <c r="O40" s="338">
        <v>0.10929999999999999</v>
      </c>
      <c r="P40" s="333">
        <f t="shared" si="10"/>
        <v>2.0521442348122847E-3</v>
      </c>
      <c r="Q40" s="333">
        <f t="shared" si="11"/>
        <v>0</v>
      </c>
      <c r="R40" s="333">
        <f t="shared" si="12"/>
        <v>-6.3199999999999992E-2</v>
      </c>
      <c r="S40" s="368">
        <f t="shared" si="13"/>
        <v>4.4000000000000011E-3</v>
      </c>
      <c r="T40" s="156"/>
      <c r="U40" s="433"/>
      <c r="V40" s="189"/>
    </row>
    <row r="41" spans="1:23" s="114" customFormat="1" ht="12.95" customHeight="1">
      <c r="A41" s="396">
        <v>33</v>
      </c>
      <c r="B41" s="372" t="s">
        <v>124</v>
      </c>
      <c r="C41" s="373" t="s">
        <v>179</v>
      </c>
      <c r="D41" s="325">
        <v>592894163.17999995</v>
      </c>
      <c r="E41" s="196">
        <v>4.9799999999999997E-2</v>
      </c>
      <c r="F41" s="314">
        <v>10</v>
      </c>
      <c r="G41" s="314">
        <v>10</v>
      </c>
      <c r="H41" s="338">
        <v>9.1399999999999995E-2</v>
      </c>
      <c r="I41" s="338">
        <v>9.1399999999999995E-2</v>
      </c>
      <c r="J41" s="325">
        <v>593810224.89999998</v>
      </c>
      <c r="K41" s="337">
        <f t="shared" si="9"/>
        <v>7.3665742459182258E-4</v>
      </c>
      <c r="L41" s="314">
        <v>10</v>
      </c>
      <c r="M41" s="314">
        <v>10</v>
      </c>
      <c r="N41" s="338">
        <v>9.0800000000000006E-2</v>
      </c>
      <c r="O41" s="338">
        <v>9.0800000000000006E-2</v>
      </c>
      <c r="P41" s="111">
        <f t="shared" si="10"/>
        <v>1.5450678668967035E-3</v>
      </c>
      <c r="Q41" s="333">
        <f t="shared" si="11"/>
        <v>0</v>
      </c>
      <c r="R41" s="333">
        <f t="shared" si="12"/>
        <v>-5.9999999999998943E-4</v>
      </c>
      <c r="S41" s="368">
        <f t="shared" si="13"/>
        <v>-5.9999999999998943E-4</v>
      </c>
      <c r="T41" s="158"/>
      <c r="U41" s="433"/>
      <c r="V41" s="189"/>
    </row>
    <row r="42" spans="1:23" s="114" customFormat="1" ht="12.95" customHeight="1">
      <c r="A42" s="397">
        <v>34</v>
      </c>
      <c r="B42" s="372" t="s">
        <v>87</v>
      </c>
      <c r="C42" s="373" t="s">
        <v>88</v>
      </c>
      <c r="D42" s="325">
        <v>2235671285.2163291</v>
      </c>
      <c r="E42" s="196">
        <v>4.2599999999999999E-2</v>
      </c>
      <c r="F42" s="314">
        <v>100</v>
      </c>
      <c r="G42" s="314">
        <v>100</v>
      </c>
      <c r="H42" s="338">
        <v>7.0999999999999994E-2</v>
      </c>
      <c r="I42" s="338">
        <v>0.08</v>
      </c>
      <c r="J42" s="325">
        <v>2280515769.5008807</v>
      </c>
      <c r="K42" s="337">
        <f t="shared" si="9"/>
        <v>2.829117457154715E-3</v>
      </c>
      <c r="L42" s="314">
        <v>100</v>
      </c>
      <c r="M42" s="314">
        <v>100</v>
      </c>
      <c r="N42" s="338">
        <v>0.1</v>
      </c>
      <c r="O42" s="338">
        <v>8.1000000000000003E-2</v>
      </c>
      <c r="P42" s="333">
        <f t="shared" si="10"/>
        <v>2.0058621578714044E-2</v>
      </c>
      <c r="Q42" s="333">
        <f t="shared" si="11"/>
        <v>0</v>
      </c>
      <c r="R42" s="333">
        <f t="shared" si="12"/>
        <v>2.9000000000000012E-2</v>
      </c>
      <c r="S42" s="368">
        <f t="shared" si="13"/>
        <v>1.0000000000000009E-3</v>
      </c>
      <c r="T42" s="149"/>
      <c r="U42" s="124"/>
    </row>
    <row r="43" spans="1:23" s="114" customFormat="1" ht="12.95" customHeight="1">
      <c r="A43" s="396">
        <v>35</v>
      </c>
      <c r="B43" s="372" t="s">
        <v>123</v>
      </c>
      <c r="C43" s="373" t="s">
        <v>135</v>
      </c>
      <c r="D43" s="325">
        <v>3336785148.4099998</v>
      </c>
      <c r="E43" s="196">
        <v>4.8399999999999999E-2</v>
      </c>
      <c r="F43" s="314">
        <v>1</v>
      </c>
      <c r="G43" s="314">
        <v>1</v>
      </c>
      <c r="H43" s="338">
        <v>8.5500000000000007E-2</v>
      </c>
      <c r="I43" s="338">
        <v>8.5500000000000007E-2</v>
      </c>
      <c r="J43" s="325">
        <v>3376669786.8499999</v>
      </c>
      <c r="K43" s="337">
        <f t="shared" si="9"/>
        <v>4.1889626762436358E-3</v>
      </c>
      <c r="L43" s="314">
        <v>1</v>
      </c>
      <c r="M43" s="314">
        <v>1</v>
      </c>
      <c r="N43" s="338">
        <v>9.1499999999999998E-2</v>
      </c>
      <c r="O43" s="338">
        <v>9.1499999999999998E-2</v>
      </c>
      <c r="P43" s="111">
        <f t="shared" si="10"/>
        <v>1.1953013654177091E-2</v>
      </c>
      <c r="Q43" s="111">
        <f t="shared" si="11"/>
        <v>0</v>
      </c>
      <c r="R43" s="333">
        <f t="shared" si="12"/>
        <v>5.9999999999999915E-3</v>
      </c>
      <c r="S43" s="368">
        <f t="shared" si="13"/>
        <v>5.9999999999999915E-3</v>
      </c>
      <c r="T43" s="146"/>
      <c r="U43" s="163"/>
      <c r="V43" s="189"/>
    </row>
    <row r="44" spans="1:23" s="114" customFormat="1" ht="12.95" customHeight="1">
      <c r="A44" s="398">
        <v>36</v>
      </c>
      <c r="B44" s="372" t="s">
        <v>56</v>
      </c>
      <c r="C44" s="373" t="s">
        <v>55</v>
      </c>
      <c r="D44" s="320">
        <v>2677023149.29</v>
      </c>
      <c r="E44" s="196">
        <v>6.4500000000000002E-2</v>
      </c>
      <c r="F44" s="314">
        <v>10</v>
      </c>
      <c r="G44" s="314">
        <v>10</v>
      </c>
      <c r="H44" s="338">
        <v>0.1181</v>
      </c>
      <c r="I44" s="338">
        <v>0.1181</v>
      </c>
      <c r="J44" s="320">
        <v>2690676689.1799998</v>
      </c>
      <c r="K44" s="337">
        <f t="shared" si="9"/>
        <v>3.3379468340990343E-3</v>
      </c>
      <c r="L44" s="314">
        <v>10</v>
      </c>
      <c r="M44" s="314">
        <v>10</v>
      </c>
      <c r="N44" s="338">
        <v>0.1197</v>
      </c>
      <c r="O44" s="338">
        <v>0.1197</v>
      </c>
      <c r="P44" s="333">
        <f t="shared" si="10"/>
        <v>5.100269638542744E-3</v>
      </c>
      <c r="Q44" s="333">
        <f t="shared" si="11"/>
        <v>0</v>
      </c>
      <c r="R44" s="333">
        <f t="shared" si="12"/>
        <v>1.6000000000000042E-3</v>
      </c>
      <c r="S44" s="368">
        <f t="shared" si="13"/>
        <v>1.6000000000000042E-3</v>
      </c>
      <c r="T44" s="146"/>
      <c r="U44" s="163"/>
      <c r="V44" s="189"/>
    </row>
    <row r="45" spans="1:23" s="114" customFormat="1" ht="12.95" customHeight="1">
      <c r="A45" s="395">
        <v>37</v>
      </c>
      <c r="B45" s="372" t="s">
        <v>192</v>
      </c>
      <c r="C45" s="373" t="s">
        <v>176</v>
      </c>
      <c r="D45" s="325">
        <v>3615054648.0999999</v>
      </c>
      <c r="E45" s="196">
        <v>7.8700000000000006E-2</v>
      </c>
      <c r="F45" s="314">
        <v>100</v>
      </c>
      <c r="G45" s="314">
        <v>100</v>
      </c>
      <c r="H45" s="338">
        <v>0.1081</v>
      </c>
      <c r="I45" s="338">
        <v>0.1081</v>
      </c>
      <c r="J45" s="325">
        <v>3621727581.6700001</v>
      </c>
      <c r="K45" s="337">
        <f t="shared" si="9"/>
        <v>4.492971661671015E-3</v>
      </c>
      <c r="L45" s="314">
        <v>100</v>
      </c>
      <c r="M45" s="314">
        <v>100</v>
      </c>
      <c r="N45" s="338">
        <v>0.1123</v>
      </c>
      <c r="O45" s="338">
        <v>0.1123</v>
      </c>
      <c r="P45" s="333">
        <f t="shared" si="10"/>
        <v>1.8458734983459605E-3</v>
      </c>
      <c r="Q45" s="333">
        <f t="shared" si="11"/>
        <v>0</v>
      </c>
      <c r="R45" s="333">
        <f t="shared" si="12"/>
        <v>4.1999999999999954E-3</v>
      </c>
      <c r="S45" s="368">
        <f t="shared" si="13"/>
        <v>4.1999999999999954E-3</v>
      </c>
      <c r="T45" s="146"/>
      <c r="U45" s="124"/>
    </row>
    <row r="46" spans="1:23" s="114" customFormat="1" ht="12.95" customHeight="1">
      <c r="A46" s="405">
        <v>38</v>
      </c>
      <c r="B46" s="372" t="s">
        <v>165</v>
      </c>
      <c r="C46" s="373" t="s">
        <v>163</v>
      </c>
      <c r="D46" s="325">
        <v>140315263.97</v>
      </c>
      <c r="E46" s="196">
        <v>2.9985000000000001E-2</v>
      </c>
      <c r="F46" s="314">
        <v>1</v>
      </c>
      <c r="G46" s="314">
        <v>1</v>
      </c>
      <c r="H46" s="338">
        <v>7.4999999999999997E-2</v>
      </c>
      <c r="I46" s="338">
        <v>7.4832999999999997E-2</v>
      </c>
      <c r="J46" s="325">
        <v>140315263.97</v>
      </c>
      <c r="K46" s="337">
        <f t="shared" si="9"/>
        <v>1.7406955396308461E-4</v>
      </c>
      <c r="L46" s="314">
        <v>1</v>
      </c>
      <c r="M46" s="314">
        <v>1</v>
      </c>
      <c r="N46" s="338">
        <v>6.9000000000000006E-2</v>
      </c>
      <c r="O46" s="338">
        <v>6.9099999999999995E-2</v>
      </c>
      <c r="P46" s="333">
        <f t="shared" si="10"/>
        <v>0</v>
      </c>
      <c r="Q46" s="333">
        <f t="shared" si="11"/>
        <v>0</v>
      </c>
      <c r="R46" s="333">
        <f t="shared" si="12"/>
        <v>-5.9999999999999915E-3</v>
      </c>
      <c r="S46" s="368">
        <f t="shared" si="13"/>
        <v>-5.733000000000002E-3</v>
      </c>
      <c r="T46" s="146"/>
      <c r="U46" s="124"/>
    </row>
    <row r="47" spans="1:23" s="114" customFormat="1" ht="12.95" customHeight="1">
      <c r="A47" s="397">
        <v>39</v>
      </c>
      <c r="B47" s="372" t="s">
        <v>96</v>
      </c>
      <c r="C47" s="373" t="s">
        <v>91</v>
      </c>
      <c r="D47" s="320">
        <v>658939973.36000001</v>
      </c>
      <c r="E47" s="196">
        <v>6.6600000000000006E-2</v>
      </c>
      <c r="F47" s="314">
        <v>10</v>
      </c>
      <c r="G47" s="314">
        <v>10</v>
      </c>
      <c r="H47" s="338">
        <v>0.10390000000000001</v>
      </c>
      <c r="I47" s="338">
        <v>0.10390000000000001</v>
      </c>
      <c r="J47" s="320">
        <v>650289130.97000003</v>
      </c>
      <c r="K47" s="337">
        <f t="shared" si="9"/>
        <v>8.0672291646895591E-4</v>
      </c>
      <c r="L47" s="314">
        <v>10</v>
      </c>
      <c r="M47" s="314">
        <v>10</v>
      </c>
      <c r="N47" s="338">
        <v>0.10539999999999999</v>
      </c>
      <c r="O47" s="338">
        <v>0.10539999999999999</v>
      </c>
      <c r="P47" s="333">
        <f t="shared" si="10"/>
        <v>-1.3128422526696151E-2</v>
      </c>
      <c r="Q47" s="333">
        <f t="shared" si="11"/>
        <v>0</v>
      </c>
      <c r="R47" s="333">
        <f t="shared" si="12"/>
        <v>1.4999999999999875E-3</v>
      </c>
      <c r="S47" s="368">
        <f t="shared" si="13"/>
        <v>1.4999999999999875E-3</v>
      </c>
      <c r="T47" s="156"/>
      <c r="U47" s="124"/>
    </row>
    <row r="48" spans="1:23" s="114" customFormat="1" ht="12.95" customHeight="1">
      <c r="A48" s="400">
        <v>40</v>
      </c>
      <c r="B48" s="372" t="s">
        <v>34</v>
      </c>
      <c r="C48" s="373" t="s">
        <v>5</v>
      </c>
      <c r="D48" s="325">
        <v>350499771127.26001</v>
      </c>
      <c r="E48" s="196">
        <v>3.6200000000000003E-2</v>
      </c>
      <c r="F48" s="314">
        <v>100</v>
      </c>
      <c r="G48" s="314">
        <v>100</v>
      </c>
      <c r="H48" s="338">
        <v>0.1167</v>
      </c>
      <c r="I48" s="338">
        <v>0.1167</v>
      </c>
      <c r="J48" s="325">
        <v>340341399775.10999</v>
      </c>
      <c r="K48" s="337">
        <f t="shared" si="9"/>
        <v>0.42221404840667714</v>
      </c>
      <c r="L48" s="314">
        <v>100</v>
      </c>
      <c r="M48" s="314">
        <v>100</v>
      </c>
      <c r="N48" s="338">
        <v>0.10299999999999999</v>
      </c>
      <c r="O48" s="338">
        <v>0.10299999999999999</v>
      </c>
      <c r="P48" s="333">
        <f t="shared" si="10"/>
        <v>-2.8982533482059557E-2</v>
      </c>
      <c r="Q48" s="333">
        <f t="shared" si="11"/>
        <v>0</v>
      </c>
      <c r="R48" s="333">
        <f t="shared" si="12"/>
        <v>-1.3700000000000004E-2</v>
      </c>
      <c r="S48" s="368">
        <f t="shared" si="13"/>
        <v>-1.3700000000000004E-2</v>
      </c>
      <c r="T48" s="156"/>
      <c r="U48" s="124"/>
    </row>
    <row r="49" spans="1:23" s="114" customFormat="1" ht="12.95" customHeight="1">
      <c r="A49" s="397">
        <v>41</v>
      </c>
      <c r="B49" s="372" t="s">
        <v>153</v>
      </c>
      <c r="C49" s="373" t="s">
        <v>152</v>
      </c>
      <c r="D49" s="325">
        <v>1469597745.29</v>
      </c>
      <c r="E49" s="196">
        <v>5.3145060299999998E-2</v>
      </c>
      <c r="F49" s="314">
        <v>1</v>
      </c>
      <c r="G49" s="314">
        <v>1</v>
      </c>
      <c r="H49" s="338">
        <v>0.13948406739665326</v>
      </c>
      <c r="I49" s="338">
        <v>0.13948406739665326</v>
      </c>
      <c r="J49" s="325">
        <v>1492772659.6099999</v>
      </c>
      <c r="K49" s="337">
        <f t="shared" si="9"/>
        <v>1.8518745835246866E-3</v>
      </c>
      <c r="L49" s="314">
        <v>1</v>
      </c>
      <c r="M49" s="314">
        <v>1</v>
      </c>
      <c r="N49" s="338">
        <v>0.14189949605435834</v>
      </c>
      <c r="O49" s="338">
        <v>0.14189949605435834</v>
      </c>
      <c r="P49" s="333">
        <f t="shared" si="10"/>
        <v>1.5769563061915803E-2</v>
      </c>
      <c r="Q49" s="333">
        <f t="shared" si="11"/>
        <v>0</v>
      </c>
      <c r="R49" s="333">
        <f t="shared" si="12"/>
        <v>2.4154286577050821E-3</v>
      </c>
      <c r="S49" s="368">
        <f t="shared" si="13"/>
        <v>2.4154286577050821E-3</v>
      </c>
      <c r="T49" s="146"/>
      <c r="U49" s="124"/>
    </row>
    <row r="50" spans="1:23" s="114" customFormat="1" ht="12.95" customHeight="1">
      <c r="A50" s="401">
        <v>42</v>
      </c>
      <c r="B50" s="372" t="s">
        <v>77</v>
      </c>
      <c r="C50" s="373" t="s">
        <v>41</v>
      </c>
      <c r="D50" s="325">
        <v>47601196591.650002</v>
      </c>
      <c r="E50" s="196">
        <v>5.2600000000000001E-2</v>
      </c>
      <c r="F50" s="314">
        <v>1</v>
      </c>
      <c r="G50" s="314">
        <v>1</v>
      </c>
      <c r="H50" s="338">
        <v>0.10249999999999999</v>
      </c>
      <c r="I50" s="338">
        <v>0.10249999999999999</v>
      </c>
      <c r="J50" s="325">
        <v>48551316517.480003</v>
      </c>
      <c r="K50" s="337">
        <f t="shared" si="9"/>
        <v>6.0230838551714599E-2</v>
      </c>
      <c r="L50" s="314">
        <v>1</v>
      </c>
      <c r="M50" s="314">
        <v>1</v>
      </c>
      <c r="N50" s="338">
        <v>0.1071</v>
      </c>
      <c r="O50" s="338">
        <v>0.1071</v>
      </c>
      <c r="P50" s="333">
        <f t="shared" si="10"/>
        <v>1.9960000879403687E-2</v>
      </c>
      <c r="Q50" s="333">
        <f t="shared" si="11"/>
        <v>0</v>
      </c>
      <c r="R50" s="333">
        <f t="shared" si="12"/>
        <v>4.6000000000000069E-3</v>
      </c>
      <c r="S50" s="368">
        <f t="shared" si="13"/>
        <v>4.6000000000000069E-3</v>
      </c>
      <c r="T50" s="146"/>
      <c r="U50" s="124"/>
    </row>
    <row r="51" spans="1:23" s="114" customFormat="1" ht="12.95" customHeight="1">
      <c r="A51" s="397">
        <v>43</v>
      </c>
      <c r="B51" s="372" t="s">
        <v>162</v>
      </c>
      <c r="C51" s="373" t="s">
        <v>108</v>
      </c>
      <c r="D51" s="325">
        <v>1226542907.54</v>
      </c>
      <c r="E51" s="196">
        <v>6.4199999999999993E-2</v>
      </c>
      <c r="F51" s="314">
        <v>1</v>
      </c>
      <c r="G51" s="314">
        <v>1</v>
      </c>
      <c r="H51" s="338">
        <v>7.2300000000000003E-2</v>
      </c>
      <c r="I51" s="338">
        <v>7.2300000000000003E-2</v>
      </c>
      <c r="J51" s="325">
        <v>1213657641.04</v>
      </c>
      <c r="K51" s="337">
        <f t="shared" si="9"/>
        <v>1.5056155564436005E-3</v>
      </c>
      <c r="L51" s="314">
        <v>1</v>
      </c>
      <c r="M51" s="314">
        <v>1</v>
      </c>
      <c r="N51" s="338">
        <v>7.2300000000000003E-2</v>
      </c>
      <c r="O51" s="338">
        <v>7.2300000000000003E-2</v>
      </c>
      <c r="P51" s="333">
        <f t="shared" si="10"/>
        <v>-1.0505353233702332E-2</v>
      </c>
      <c r="Q51" s="333">
        <f t="shared" si="11"/>
        <v>0</v>
      </c>
      <c r="R51" s="333">
        <f t="shared" si="12"/>
        <v>0</v>
      </c>
      <c r="S51" s="368">
        <f t="shared" si="13"/>
        <v>0</v>
      </c>
      <c r="T51" s="90"/>
      <c r="U51" s="124"/>
    </row>
    <row r="52" spans="1:23" s="114" customFormat="1" ht="12.95" customHeight="1">
      <c r="A52" s="401">
        <v>44</v>
      </c>
      <c r="B52" s="372" t="s">
        <v>134</v>
      </c>
      <c r="C52" s="373" t="s">
        <v>38</v>
      </c>
      <c r="D52" s="325">
        <v>1357634841.6800001</v>
      </c>
      <c r="E52" s="196">
        <v>2.2200000000000001E-2</v>
      </c>
      <c r="F52" s="314">
        <v>1</v>
      </c>
      <c r="G52" s="314">
        <v>1</v>
      </c>
      <c r="H52" s="338">
        <v>0.1056</v>
      </c>
      <c r="I52" s="338">
        <v>0.1056</v>
      </c>
      <c r="J52" s="325">
        <v>1381089055.55</v>
      </c>
      <c r="K52" s="337">
        <f t="shared" si="9"/>
        <v>1.7133243318010363E-3</v>
      </c>
      <c r="L52" s="314">
        <v>1</v>
      </c>
      <c r="M52" s="314">
        <v>1</v>
      </c>
      <c r="N52" s="338">
        <v>0.1062</v>
      </c>
      <c r="O52" s="338">
        <v>0.1062</v>
      </c>
      <c r="P52" s="333">
        <f t="shared" si="10"/>
        <v>1.7275789593744189E-2</v>
      </c>
      <c r="Q52" s="333">
        <f t="shared" si="11"/>
        <v>0</v>
      </c>
      <c r="R52" s="333">
        <f t="shared" si="12"/>
        <v>6.0000000000000331E-4</v>
      </c>
      <c r="S52" s="368">
        <f t="shared" si="13"/>
        <v>6.0000000000000331E-4</v>
      </c>
      <c r="U52" s="124"/>
    </row>
    <row r="53" spans="1:23" s="114" customFormat="1" ht="12.95" customHeight="1">
      <c r="A53" s="397">
        <v>45</v>
      </c>
      <c r="B53" s="372" t="s">
        <v>114</v>
      </c>
      <c r="C53" s="373" t="s">
        <v>12</v>
      </c>
      <c r="D53" s="325">
        <v>22909668463.209999</v>
      </c>
      <c r="E53" s="196">
        <v>5.9200000000000003E-2</v>
      </c>
      <c r="F53" s="314">
        <v>1</v>
      </c>
      <c r="G53" s="314">
        <v>1</v>
      </c>
      <c r="H53" s="338">
        <v>0.10150000000000001</v>
      </c>
      <c r="I53" s="338">
        <v>0.10150000000000001</v>
      </c>
      <c r="J53" s="325">
        <v>22261834259.299999</v>
      </c>
      <c r="K53" s="337">
        <f t="shared" si="9"/>
        <v>2.7617149056178104E-2</v>
      </c>
      <c r="L53" s="314">
        <v>1</v>
      </c>
      <c r="M53" s="314">
        <v>1</v>
      </c>
      <c r="N53" s="338">
        <v>0.10680000000000001</v>
      </c>
      <c r="O53" s="338">
        <v>0.10680000000000001</v>
      </c>
      <c r="P53" s="333">
        <f t="shared" si="10"/>
        <v>-2.8277764252692648E-2</v>
      </c>
      <c r="Q53" s="333">
        <f t="shared" si="11"/>
        <v>0</v>
      </c>
      <c r="R53" s="333">
        <f t="shared" si="12"/>
        <v>5.2999999999999992E-3</v>
      </c>
      <c r="S53" s="368">
        <f t="shared" si="13"/>
        <v>5.2999999999999992E-3</v>
      </c>
      <c r="T53" s="164"/>
      <c r="U53" s="124"/>
    </row>
    <row r="54" spans="1:23" s="114" customFormat="1" ht="12.95" customHeight="1">
      <c r="A54" s="218"/>
      <c r="C54" s="248" t="s">
        <v>42</v>
      </c>
      <c r="D54" s="76">
        <f>SUM(D25:D53)</f>
        <v>813613346034.13635</v>
      </c>
      <c r="E54" s="266">
        <f>(D54/$D$168)</f>
        <v>0.49523804919183628</v>
      </c>
      <c r="F54" s="268"/>
      <c r="G54" s="73"/>
      <c r="H54" s="284"/>
      <c r="I54" s="284"/>
      <c r="J54" s="76">
        <f>SUM(J25:J53)</f>
        <v>806087341383.99084</v>
      </c>
      <c r="K54" s="266">
        <f>(J54/$J$168)</f>
        <v>0.49330127037493088</v>
      </c>
      <c r="L54" s="268"/>
      <c r="M54" s="73"/>
      <c r="N54" s="284"/>
      <c r="O54" s="284"/>
      <c r="P54" s="270">
        <f t="shared" ref="P54" si="14">((J54-D54)/D54)</f>
        <v>-9.2500998008822524E-3</v>
      </c>
      <c r="Q54" s="270"/>
      <c r="R54" s="270">
        <f t="shared" ref="R54:S54" si="15">N54-H54</f>
        <v>0</v>
      </c>
      <c r="S54" s="368">
        <f t="shared" si="15"/>
        <v>0</v>
      </c>
    </row>
    <row r="55" spans="1:23" s="114" customFormat="1" ht="4.5" customHeight="1">
      <c r="A55" s="411"/>
      <c r="B55" s="412"/>
      <c r="C55" s="413"/>
      <c r="D55" s="413"/>
      <c r="E55" s="413"/>
      <c r="F55" s="413"/>
      <c r="G55" s="413"/>
      <c r="H55" s="413"/>
      <c r="I55" s="413"/>
      <c r="J55" s="413"/>
      <c r="K55" s="413"/>
      <c r="L55" s="413"/>
      <c r="M55" s="413"/>
      <c r="N55" s="413"/>
      <c r="O55" s="413"/>
      <c r="P55" s="413"/>
      <c r="Q55" s="413"/>
      <c r="R55" s="413"/>
      <c r="S55" s="426"/>
    </row>
    <row r="56" spans="1:23" s="114" customFormat="1" ht="12.95" customHeight="1">
      <c r="A56" s="418" t="s">
        <v>271</v>
      </c>
      <c r="B56" s="419"/>
      <c r="C56" s="420"/>
      <c r="D56" s="420"/>
      <c r="E56" s="420"/>
      <c r="F56" s="420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1"/>
      <c r="V56" s="126"/>
      <c r="W56" s="127"/>
    </row>
    <row r="57" spans="1:23" s="114" customFormat="1" ht="12.95" customHeight="1">
      <c r="A57" s="397">
        <v>46</v>
      </c>
      <c r="B57" s="372" t="s">
        <v>141</v>
      </c>
      <c r="C57" s="373" t="s">
        <v>138</v>
      </c>
      <c r="D57" s="330">
        <v>441073490.06999999</v>
      </c>
      <c r="E57" s="337">
        <f>(D57/$D$87)</f>
        <v>1.3504107168472684E-3</v>
      </c>
      <c r="F57" s="331">
        <v>1.2733000000000001</v>
      </c>
      <c r="G57" s="331">
        <v>1.2733000000000001</v>
      </c>
      <c r="H57" s="338">
        <v>2.202E-3</v>
      </c>
      <c r="I57" s="338">
        <v>3.4200000000000001E-2</v>
      </c>
      <c r="J57" s="330">
        <v>430159762.5</v>
      </c>
      <c r="K57" s="337">
        <f t="shared" ref="K57:K76" si="16">(J57/$J$87)</f>
        <v>1.3177397770784147E-3</v>
      </c>
      <c r="L57" s="331">
        <v>1.2707999999999999</v>
      </c>
      <c r="M57" s="331">
        <v>1.2707999999999999</v>
      </c>
      <c r="N57" s="338">
        <v>-2.5760000000000002E-3</v>
      </c>
      <c r="O57" s="338">
        <v>3.2199999999999999E-2</v>
      </c>
      <c r="P57" s="333">
        <v>-8.3999999999999995E-5</v>
      </c>
      <c r="Q57" s="333">
        <f t="shared" ref="Q57:Q67" si="17">((M57-G57)/G57)</f>
        <v>-1.9634021833033603E-3</v>
      </c>
      <c r="R57" s="333">
        <f t="shared" ref="R57:R86" si="18">N57-H57</f>
        <v>-4.7780000000000001E-3</v>
      </c>
      <c r="S57" s="368">
        <f t="shared" ref="S57:S86" si="19">O57-I57</f>
        <v>-2.0000000000000018E-3</v>
      </c>
      <c r="T57" s="146"/>
    </row>
    <row r="58" spans="1:23" s="114" customFormat="1" ht="12.95" customHeight="1">
      <c r="A58" s="398">
        <v>47</v>
      </c>
      <c r="B58" s="372" t="s">
        <v>147</v>
      </c>
      <c r="C58" s="373" t="s">
        <v>6</v>
      </c>
      <c r="D58" s="330">
        <v>1022492186.75</v>
      </c>
      <c r="E58" s="337">
        <f>(D58/$D$87)</f>
        <v>3.1305087201243106E-3</v>
      </c>
      <c r="F58" s="331">
        <v>1.1339999999999999</v>
      </c>
      <c r="G58" s="331">
        <v>1.1339999999999999</v>
      </c>
      <c r="H58" s="338">
        <v>8.7499999999999994E-2</v>
      </c>
      <c r="I58" s="338">
        <v>6.59E-2</v>
      </c>
      <c r="J58" s="330">
        <v>1024529602.21</v>
      </c>
      <c r="K58" s="337">
        <f t="shared" si="16"/>
        <v>3.1385162614470299E-3</v>
      </c>
      <c r="L58" s="331">
        <v>1.1362000000000001</v>
      </c>
      <c r="M58" s="331">
        <v>1.1362000000000001</v>
      </c>
      <c r="N58" s="338">
        <v>6.7799999999999999E-2</v>
      </c>
      <c r="O58" s="338">
        <v>0.1012</v>
      </c>
      <c r="P58" s="333">
        <f t="shared" ref="P58:P67" si="20">((J58-D58)/D58)</f>
        <v>1.9925975830446005E-3</v>
      </c>
      <c r="Q58" s="333">
        <f t="shared" si="17"/>
        <v>1.9400352733687848E-3</v>
      </c>
      <c r="R58" s="333">
        <f t="shared" si="18"/>
        <v>-1.9699999999999995E-2</v>
      </c>
      <c r="S58" s="368">
        <f t="shared" si="19"/>
        <v>3.5299999999999998E-2</v>
      </c>
      <c r="T58" s="146"/>
      <c r="U58" s="128"/>
    </row>
    <row r="59" spans="1:23" s="114" customFormat="1" ht="12.95" customHeight="1">
      <c r="A59" s="398">
        <v>48</v>
      </c>
      <c r="B59" s="372" t="s">
        <v>231</v>
      </c>
      <c r="C59" s="373" t="s">
        <v>6</v>
      </c>
      <c r="D59" s="330">
        <v>861426535.37</v>
      </c>
      <c r="E59" s="337">
        <f>(D59/$D$87)</f>
        <v>2.6373827748197784E-3</v>
      </c>
      <c r="F59" s="331">
        <v>1.0579000000000001</v>
      </c>
      <c r="G59" s="331">
        <v>1.0579000000000001</v>
      </c>
      <c r="H59" s="338">
        <v>7.3999999999999996E-2</v>
      </c>
      <c r="I59" s="338">
        <v>6.0100000000000001E-2</v>
      </c>
      <c r="J59" s="330">
        <v>861288344.36000001</v>
      </c>
      <c r="K59" s="337">
        <f t="shared" si="16"/>
        <v>2.6384474091697111E-3</v>
      </c>
      <c r="L59" s="331">
        <v>1.0593999999999999</v>
      </c>
      <c r="M59" s="331">
        <v>1.0593999999999999</v>
      </c>
      <c r="N59" s="338">
        <v>6.0900000000000003E-2</v>
      </c>
      <c r="O59" s="338">
        <v>7.3899999999999993E-2</v>
      </c>
      <c r="P59" s="333">
        <f t="shared" si="20"/>
        <v>-1.6042112046227441E-4</v>
      </c>
      <c r="Q59" s="333">
        <f t="shared" si="17"/>
        <v>1.417903393515299E-3</v>
      </c>
      <c r="R59" s="333">
        <f t="shared" si="18"/>
        <v>-1.3099999999999994E-2</v>
      </c>
      <c r="S59" s="368">
        <f t="shared" si="19"/>
        <v>1.3799999999999993E-2</v>
      </c>
      <c r="T59" s="146"/>
      <c r="U59" s="129"/>
      <c r="V59" s="122"/>
    </row>
    <row r="60" spans="1:23" s="130" customFormat="1" ht="12.95" customHeight="1">
      <c r="A60" s="402">
        <v>49</v>
      </c>
      <c r="B60" s="372" t="s">
        <v>171</v>
      </c>
      <c r="C60" s="373" t="s">
        <v>150</v>
      </c>
      <c r="D60" s="330">
        <v>259095700.47</v>
      </c>
      <c r="E60" s="337">
        <f>(D60/$D$87)</f>
        <v>7.9325921525732525E-4</v>
      </c>
      <c r="F60" s="74">
        <v>1130.58</v>
      </c>
      <c r="G60" s="74">
        <v>1130.58</v>
      </c>
      <c r="H60" s="338">
        <v>1.8E-3</v>
      </c>
      <c r="I60" s="338">
        <v>0.58140000000000003</v>
      </c>
      <c r="J60" s="330">
        <v>259897315.68000001</v>
      </c>
      <c r="K60" s="337">
        <f t="shared" si="16"/>
        <v>7.9616240449138147E-4</v>
      </c>
      <c r="L60" s="74">
        <v>1135.9100000000001</v>
      </c>
      <c r="M60" s="74">
        <v>1135.9100000000001</v>
      </c>
      <c r="N60" s="338">
        <v>5.1000000000000004E-3</v>
      </c>
      <c r="O60" s="338">
        <v>5.1200000000000002E-2</v>
      </c>
      <c r="P60" s="333">
        <f t="shared" si="20"/>
        <v>3.0938962265521083E-3</v>
      </c>
      <c r="Q60" s="333">
        <f t="shared" si="17"/>
        <v>4.7143943816449563E-3</v>
      </c>
      <c r="R60" s="333">
        <f t="shared" si="18"/>
        <v>3.3000000000000004E-3</v>
      </c>
      <c r="S60" s="368">
        <f t="shared" si="19"/>
        <v>-0.5302</v>
      </c>
      <c r="T60" s="156"/>
      <c r="U60" s="165"/>
    </row>
    <row r="61" spans="1:23" s="114" customFormat="1" ht="12.95" customHeight="1">
      <c r="A61" s="402">
        <v>50</v>
      </c>
      <c r="B61" s="372" t="s">
        <v>180</v>
      </c>
      <c r="C61" s="373" t="s">
        <v>181</v>
      </c>
      <c r="D61" s="330">
        <v>1379199832.27</v>
      </c>
      <c r="E61" s="337">
        <f>(D61/$J$87)</f>
        <v>4.2250034474622822E-3</v>
      </c>
      <c r="F61" s="331">
        <v>1.0319</v>
      </c>
      <c r="G61" s="331">
        <v>1.0319</v>
      </c>
      <c r="H61" s="338">
        <v>1.5E-3</v>
      </c>
      <c r="I61" s="338">
        <v>2.9499999999999998E-2</v>
      </c>
      <c r="J61" s="330">
        <v>1376638453.21</v>
      </c>
      <c r="K61" s="337">
        <f t="shared" si="16"/>
        <v>4.2171569881562761E-3</v>
      </c>
      <c r="L61" s="331">
        <v>1.0334000000000001</v>
      </c>
      <c r="M61" s="331">
        <v>1.0334000000000001</v>
      </c>
      <c r="N61" s="338">
        <v>1.2999999999999999E-3</v>
      </c>
      <c r="O61" s="338">
        <v>3.0800000000000001E-2</v>
      </c>
      <c r="P61" s="333">
        <f t="shared" si="20"/>
        <v>-1.8571486162264213E-3</v>
      </c>
      <c r="Q61" s="333">
        <f t="shared" si="17"/>
        <v>1.453629227638392E-3</v>
      </c>
      <c r="R61" s="333">
        <f t="shared" si="18"/>
        <v>-2.0000000000000009E-4</v>
      </c>
      <c r="S61" s="368">
        <f t="shared" si="19"/>
        <v>1.3000000000000025E-3</v>
      </c>
      <c r="T61" s="146"/>
      <c r="U61" s="133"/>
      <c r="V61" s="133"/>
    </row>
    <row r="62" spans="1:23" s="114" customFormat="1" ht="12.95" customHeight="1">
      <c r="A62" s="397">
        <v>51</v>
      </c>
      <c r="B62" s="372" t="s">
        <v>107</v>
      </c>
      <c r="C62" s="373" t="s">
        <v>104</v>
      </c>
      <c r="D62" s="330">
        <v>423265978.16000003</v>
      </c>
      <c r="E62" s="337">
        <f t="shared" ref="E62:E86" si="21">(D62/$D$87)</f>
        <v>1.2958904260906578E-3</v>
      </c>
      <c r="F62" s="331">
        <v>2.1854</v>
      </c>
      <c r="G62" s="331">
        <v>2.1854</v>
      </c>
      <c r="H62" s="338">
        <v>9.8008396041684084E-2</v>
      </c>
      <c r="I62" s="338">
        <v>0.19506097322054436</v>
      </c>
      <c r="J62" s="330">
        <v>424193315.27999997</v>
      </c>
      <c r="K62" s="337">
        <f t="shared" si="16"/>
        <v>1.2994623241061995E-3</v>
      </c>
      <c r="L62" s="331">
        <v>2.1901999999999999</v>
      </c>
      <c r="M62" s="331">
        <v>2.1901999999999999</v>
      </c>
      <c r="N62" s="338">
        <v>0.11452627175149166</v>
      </c>
      <c r="O62" s="338">
        <v>0.19127401971914171</v>
      </c>
      <c r="P62" s="111">
        <f t="shared" si="20"/>
        <v>2.1909087142586254E-3</v>
      </c>
      <c r="Q62" s="111">
        <f t="shared" si="17"/>
        <v>2.1963942527683331E-3</v>
      </c>
      <c r="R62" s="333">
        <f t="shared" si="18"/>
        <v>1.6517875709807575E-2</v>
      </c>
      <c r="S62" s="368">
        <f t="shared" si="19"/>
        <v>-3.7869535014026512E-3</v>
      </c>
      <c r="T62" s="146"/>
      <c r="U62" s="133"/>
      <c r="V62" s="133"/>
    </row>
    <row r="63" spans="1:23" s="114" customFormat="1" ht="12" customHeight="1">
      <c r="A63" s="405">
        <v>52</v>
      </c>
      <c r="B63" s="372" t="s">
        <v>18</v>
      </c>
      <c r="C63" s="373" t="s">
        <v>7</v>
      </c>
      <c r="D63" s="330">
        <v>3341682810.9524202</v>
      </c>
      <c r="E63" s="337">
        <f t="shared" si="21"/>
        <v>1.0231048525492384E-2</v>
      </c>
      <c r="F63" s="330">
        <v>3814.4232717916202</v>
      </c>
      <c r="G63" s="330">
        <v>3814.4232717916202</v>
      </c>
      <c r="H63" s="338">
        <v>7.3994078712261144E-2</v>
      </c>
      <c r="I63" s="338">
        <v>7.621478004913218E-2</v>
      </c>
      <c r="J63" s="330">
        <v>3342075495.10537</v>
      </c>
      <c r="K63" s="337">
        <f t="shared" si="16"/>
        <v>1.0238023641040537E-2</v>
      </c>
      <c r="L63" s="330">
        <v>3819.8758769675501</v>
      </c>
      <c r="M63" s="330">
        <v>3819.8758769675501</v>
      </c>
      <c r="N63" s="338">
        <v>7.4536671073573202E-2</v>
      </c>
      <c r="O63" s="338">
        <v>7.6233731208362729E-2</v>
      </c>
      <c r="P63" s="333">
        <f t="shared" si="20"/>
        <v>1.1751089949733747E-4</v>
      </c>
      <c r="Q63" s="333">
        <f t="shared" si="17"/>
        <v>1.4294704041507189E-3</v>
      </c>
      <c r="R63" s="333">
        <f t="shared" si="18"/>
        <v>5.4259236131205812E-4</v>
      </c>
      <c r="S63" s="368">
        <f t="shared" si="19"/>
        <v>1.8951159230548575E-5</v>
      </c>
      <c r="T63" s="146"/>
      <c r="U63" s="167"/>
      <c r="V63" s="133"/>
    </row>
    <row r="64" spans="1:23" s="114" customFormat="1" ht="12.75" customHeight="1">
      <c r="A64" s="397">
        <v>53</v>
      </c>
      <c r="B64" s="372" t="s">
        <v>227</v>
      </c>
      <c r="C64" s="373" t="s">
        <v>89</v>
      </c>
      <c r="D64" s="330">
        <v>376692688.17000002</v>
      </c>
      <c r="E64" s="337">
        <f t="shared" si="21"/>
        <v>1.1532995170080234E-3</v>
      </c>
      <c r="F64" s="331">
        <v>109.34</v>
      </c>
      <c r="G64" s="331">
        <v>109.34</v>
      </c>
      <c r="H64" s="338">
        <v>1.4E-3</v>
      </c>
      <c r="I64" s="338">
        <v>9.4899999999999998E-2</v>
      </c>
      <c r="J64" s="330">
        <v>362121819.01999998</v>
      </c>
      <c r="K64" s="337">
        <f t="shared" si="16"/>
        <v>1.109314182008469E-3</v>
      </c>
      <c r="L64" s="331">
        <v>105.2</v>
      </c>
      <c r="M64" s="331">
        <v>105.2</v>
      </c>
      <c r="N64" s="338">
        <v>2.8999999999999998E-3</v>
      </c>
      <c r="O64" s="338">
        <v>9.74E-2</v>
      </c>
      <c r="P64" s="333">
        <f t="shared" si="20"/>
        <v>-3.868105117937478E-2</v>
      </c>
      <c r="Q64" s="333">
        <f t="shared" si="17"/>
        <v>-3.7863544905798428E-2</v>
      </c>
      <c r="R64" s="333">
        <f t="shared" si="18"/>
        <v>1.4999999999999998E-3</v>
      </c>
      <c r="S64" s="368">
        <f t="shared" si="19"/>
        <v>2.5000000000000022E-3</v>
      </c>
      <c r="T64" s="149"/>
      <c r="U64" s="187"/>
      <c r="V64" s="168"/>
    </row>
    <row r="65" spans="1:23" s="114" customFormat="1" ht="12" customHeight="1">
      <c r="A65" s="405">
        <v>54</v>
      </c>
      <c r="B65" s="372" t="s">
        <v>112</v>
      </c>
      <c r="C65" s="373" t="s">
        <v>109</v>
      </c>
      <c r="D65" s="330">
        <v>342481464.06</v>
      </c>
      <c r="E65" s="337">
        <f t="shared" si="21"/>
        <v>1.0485568727215222E-3</v>
      </c>
      <c r="F65" s="331">
        <v>1.3987000000000001</v>
      </c>
      <c r="G65" s="331">
        <v>1.3987000000000001</v>
      </c>
      <c r="H65" s="338">
        <v>3.2000000000000002E-3</v>
      </c>
      <c r="I65" s="338">
        <v>4.3700000000000003E-2</v>
      </c>
      <c r="J65" s="330">
        <v>343261374.44</v>
      </c>
      <c r="K65" s="337">
        <f t="shared" si="16"/>
        <v>1.051537606412445E-3</v>
      </c>
      <c r="L65" s="331">
        <v>1.4018999999999999</v>
      </c>
      <c r="M65" s="331">
        <v>1.4018999999999999</v>
      </c>
      <c r="N65" s="338">
        <v>2.3E-3</v>
      </c>
      <c r="O65" s="338">
        <v>4.5999999999999999E-2</v>
      </c>
      <c r="P65" s="333">
        <f t="shared" si="20"/>
        <v>2.2772338413718099E-3</v>
      </c>
      <c r="Q65" s="333">
        <f t="shared" si="17"/>
        <v>2.2878387073710371E-3</v>
      </c>
      <c r="R65" s="333">
        <f t="shared" si="18"/>
        <v>-9.0000000000000019E-4</v>
      </c>
      <c r="S65" s="368">
        <f t="shared" si="19"/>
        <v>2.2999999999999965E-3</v>
      </c>
      <c r="T65" s="156"/>
      <c r="U65" s="189"/>
      <c r="V65" s="169"/>
      <c r="W65" s="187"/>
    </row>
    <row r="66" spans="1:23" s="114" customFormat="1" ht="12.95" customHeight="1">
      <c r="A66" s="397">
        <v>55</v>
      </c>
      <c r="B66" s="372" t="s">
        <v>243</v>
      </c>
      <c r="C66" s="373" t="s">
        <v>242</v>
      </c>
      <c r="D66" s="330">
        <v>538228101.69000006</v>
      </c>
      <c r="E66" s="337">
        <f t="shared" si="21"/>
        <v>1.6478637075086669E-3</v>
      </c>
      <c r="F66" s="74">
        <v>1000</v>
      </c>
      <c r="G66" s="74">
        <v>1000</v>
      </c>
      <c r="H66" s="338">
        <v>1.2540655300078199E-4</v>
      </c>
      <c r="I66" s="338">
        <v>0.15529999999999999</v>
      </c>
      <c r="J66" s="330">
        <v>538882249.6500001</v>
      </c>
      <c r="K66" s="337">
        <f t="shared" si="16"/>
        <v>1.6507973023750814E-3</v>
      </c>
      <c r="L66" s="74">
        <v>1000</v>
      </c>
      <c r="M66" s="74">
        <v>1000</v>
      </c>
      <c r="N66" s="338">
        <v>1.2153731065807083E-3</v>
      </c>
      <c r="O66" s="338">
        <v>0.16389999999999999</v>
      </c>
      <c r="P66" s="333">
        <f t="shared" si="20"/>
        <v>1.2153731065807556E-3</v>
      </c>
      <c r="Q66" s="333">
        <f t="shared" si="17"/>
        <v>0</v>
      </c>
      <c r="R66" s="333">
        <f t="shared" si="18"/>
        <v>1.0899665535799262E-3</v>
      </c>
      <c r="S66" s="368">
        <f t="shared" si="19"/>
        <v>8.5999999999999965E-3</v>
      </c>
      <c r="T66" s="146"/>
      <c r="U66" s="133"/>
      <c r="V66" s="169"/>
      <c r="W66" s="187"/>
    </row>
    <row r="67" spans="1:23" s="114" customFormat="1" ht="12.95" customHeight="1">
      <c r="A67" s="401">
        <v>56</v>
      </c>
      <c r="B67" s="372" t="s">
        <v>103</v>
      </c>
      <c r="C67" s="373" t="s">
        <v>100</v>
      </c>
      <c r="D67" s="330">
        <v>312162311.66000003</v>
      </c>
      <c r="E67" s="337">
        <f t="shared" si="21"/>
        <v>9.5573037271992904E-4</v>
      </c>
      <c r="F67" s="74">
        <v>1141.5999999999999</v>
      </c>
      <c r="G67" s="74">
        <v>1153.1600000000001</v>
      </c>
      <c r="H67" s="338">
        <v>1.5E-3</v>
      </c>
      <c r="I67" s="338">
        <v>3.4599999999999999E-2</v>
      </c>
      <c r="J67" s="330">
        <v>312162311.66000003</v>
      </c>
      <c r="K67" s="337">
        <f t="shared" si="16"/>
        <v>9.5626957897795243E-4</v>
      </c>
      <c r="L67" s="74">
        <v>1145.02</v>
      </c>
      <c r="M67" s="74">
        <v>1157.52</v>
      </c>
      <c r="N67" s="338">
        <v>5.3E-3</v>
      </c>
      <c r="O67" s="338">
        <v>3.8399999999999997E-2</v>
      </c>
      <c r="P67" s="333">
        <f t="shared" si="20"/>
        <v>0</v>
      </c>
      <c r="Q67" s="333">
        <f t="shared" si="17"/>
        <v>3.7809150508167988E-3</v>
      </c>
      <c r="R67" s="333">
        <f t="shared" si="18"/>
        <v>3.8E-3</v>
      </c>
      <c r="S67" s="368">
        <f t="shared" si="19"/>
        <v>3.7999999999999978E-3</v>
      </c>
      <c r="T67" s="146"/>
      <c r="U67" s="170"/>
      <c r="V67" s="166"/>
    </row>
    <row r="68" spans="1:23" s="114" customFormat="1" ht="12.95" customHeight="1">
      <c r="A68" s="396">
        <v>57</v>
      </c>
      <c r="B68" s="372" t="s">
        <v>174</v>
      </c>
      <c r="C68" s="373" t="s">
        <v>172</v>
      </c>
      <c r="D68" s="330">
        <v>705652857.17999995</v>
      </c>
      <c r="E68" s="337">
        <f t="shared" si="21"/>
        <v>2.160458976028087E-3</v>
      </c>
      <c r="F68" s="315">
        <v>1.0418000000000001</v>
      </c>
      <c r="G68" s="315">
        <v>1.0418000000000001</v>
      </c>
      <c r="H68" s="338">
        <v>0.10383262646115221</v>
      </c>
      <c r="I68" s="338">
        <v>0.10231708182527903</v>
      </c>
      <c r="J68" s="330">
        <v>707276606.19000006</v>
      </c>
      <c r="K68" s="337">
        <f t="shared" si="16"/>
        <v>2.1666520177455891E-3</v>
      </c>
      <c r="L68" s="315">
        <v>1.0438000000000001</v>
      </c>
      <c r="M68" s="315">
        <v>1.0438000000000001</v>
      </c>
      <c r="N68" s="338">
        <v>9.4205703961805901E-2</v>
      </c>
      <c r="O68" s="338">
        <v>0.10208414065000949</v>
      </c>
      <c r="P68" s="333">
        <v>0.10208414065000949</v>
      </c>
      <c r="Q68" s="333">
        <f>(M68-G68)/G68</f>
        <v>1.9197542714532556E-3</v>
      </c>
      <c r="R68" s="333">
        <f t="shared" si="18"/>
        <v>-9.6269224993463104E-3</v>
      </c>
      <c r="S68" s="368">
        <f t="shared" si="19"/>
        <v>-2.3294117526953539E-4</v>
      </c>
      <c r="T68" s="90"/>
      <c r="U68" s="169"/>
      <c r="V68" s="189"/>
    </row>
    <row r="69" spans="1:23" s="114" customFormat="1" ht="12" customHeight="1">
      <c r="A69" s="397">
        <v>58</v>
      </c>
      <c r="B69" s="372" t="s">
        <v>256</v>
      </c>
      <c r="C69" s="373" t="s">
        <v>189</v>
      </c>
      <c r="D69" s="330">
        <v>66292805221.339996</v>
      </c>
      <c r="E69" s="337">
        <f t="shared" si="21"/>
        <v>0.20296507642424513</v>
      </c>
      <c r="F69" s="315">
        <v>1533.3</v>
      </c>
      <c r="G69" s="330">
        <v>1533.3</v>
      </c>
      <c r="H69" s="338">
        <v>2.2000000000000001E-3</v>
      </c>
      <c r="I69" s="338">
        <v>0.1198</v>
      </c>
      <c r="J69" s="330">
        <v>66728090200.639999</v>
      </c>
      <c r="K69" s="337">
        <f t="shared" si="16"/>
        <v>0.20441302597627248</v>
      </c>
      <c r="L69" s="315">
        <v>1536.72</v>
      </c>
      <c r="M69" s="330">
        <v>1536.72</v>
      </c>
      <c r="N69" s="338">
        <v>2.2000000000000001E-3</v>
      </c>
      <c r="O69" s="338">
        <v>0.11990000000000001</v>
      </c>
      <c r="P69" s="333">
        <f t="shared" ref="P69:P86" si="22">((J69-D69)/D69)</f>
        <v>6.5660968463570552E-3</v>
      </c>
      <c r="Q69" s="333">
        <f t="shared" ref="Q69:Q86" si="23">((M69-G69)/G69)</f>
        <v>2.230483271375512E-3</v>
      </c>
      <c r="R69" s="333">
        <f t="shared" si="18"/>
        <v>0</v>
      </c>
      <c r="S69" s="368">
        <f t="shared" si="19"/>
        <v>1.0000000000000286E-4</v>
      </c>
      <c r="U69" s="169"/>
      <c r="V69" s="189"/>
    </row>
    <row r="70" spans="1:23" s="114" customFormat="1" ht="12.95" customHeight="1">
      <c r="A70" s="396">
        <v>59</v>
      </c>
      <c r="B70" s="372" t="s">
        <v>178</v>
      </c>
      <c r="C70" s="373" t="s">
        <v>179</v>
      </c>
      <c r="D70" s="330">
        <v>21343973.510000002</v>
      </c>
      <c r="E70" s="337">
        <f t="shared" si="21"/>
        <v>6.534768290752153E-5</v>
      </c>
      <c r="F70" s="330">
        <v>0.63670000000000004</v>
      </c>
      <c r="G70" s="330">
        <v>0.63670000000000004</v>
      </c>
      <c r="H70" s="338">
        <v>1.4155394778232334E-3</v>
      </c>
      <c r="I70" s="338">
        <v>-6.8198448704814826E-2</v>
      </c>
      <c r="J70" s="330">
        <v>21385156.890000001</v>
      </c>
      <c r="K70" s="337">
        <f t="shared" si="16"/>
        <v>6.5510710972218193E-5</v>
      </c>
      <c r="L70" s="330">
        <v>0.63800000000000001</v>
      </c>
      <c r="M70" s="330">
        <v>0.63800000000000001</v>
      </c>
      <c r="N70" s="338">
        <v>1.6000000000000001E-3</v>
      </c>
      <c r="O70" s="338">
        <v>-6.6299999999999998E-2</v>
      </c>
      <c r="P70" s="111">
        <f t="shared" si="22"/>
        <v>1.9295085791173733E-3</v>
      </c>
      <c r="Q70" s="111">
        <f t="shared" si="23"/>
        <v>2.0417779173864735E-3</v>
      </c>
      <c r="R70" s="333">
        <f t="shared" si="18"/>
        <v>1.8446052217676668E-4</v>
      </c>
      <c r="S70" s="368">
        <f t="shared" si="19"/>
        <v>1.8984487048148285E-3</v>
      </c>
      <c r="U70" s="428"/>
      <c r="V70" s="428"/>
    </row>
    <row r="71" spans="1:23" s="130" customFormat="1" ht="12.95" customHeight="1">
      <c r="A71" s="396">
        <v>60</v>
      </c>
      <c r="B71" s="372" t="s">
        <v>106</v>
      </c>
      <c r="C71" s="373" t="s">
        <v>105</v>
      </c>
      <c r="D71" s="330">
        <v>742098925.64999998</v>
      </c>
      <c r="E71" s="337">
        <f t="shared" si="21"/>
        <v>2.2720439217500036E-3</v>
      </c>
      <c r="F71" s="331">
        <v>201.355638</v>
      </c>
      <c r="G71" s="331">
        <v>202.98336800000001</v>
      </c>
      <c r="H71" s="338">
        <v>8.9999999999999998E-4</v>
      </c>
      <c r="I71" s="338">
        <v>1.7899999999999999E-2</v>
      </c>
      <c r="J71" s="330">
        <v>745411120.92999995</v>
      </c>
      <c r="K71" s="337">
        <f t="shared" si="16"/>
        <v>2.2834722583474306E-3</v>
      </c>
      <c r="L71" s="331">
        <v>202.751226</v>
      </c>
      <c r="M71" s="331">
        <v>204.46580700000001</v>
      </c>
      <c r="N71" s="338">
        <v>6.1000000000000004E-3</v>
      </c>
      <c r="O71" s="338">
        <v>2.53E-2</v>
      </c>
      <c r="P71" s="333">
        <f t="shared" si="22"/>
        <v>4.4632799826503445E-3</v>
      </c>
      <c r="Q71" s="333">
        <f t="shared" si="23"/>
        <v>7.3032535355310457E-3</v>
      </c>
      <c r="R71" s="333">
        <f t="shared" si="18"/>
        <v>5.2000000000000006E-3</v>
      </c>
      <c r="S71" s="368">
        <f t="shared" si="19"/>
        <v>7.4000000000000003E-3</v>
      </c>
      <c r="T71" s="171"/>
      <c r="U71" s="172"/>
      <c r="V71" s="408"/>
      <c r="W71" s="131"/>
    </row>
    <row r="72" spans="1:23" s="114" customFormat="1" ht="12.95" customHeight="1">
      <c r="A72" s="396">
        <v>61</v>
      </c>
      <c r="B72" s="372" t="s">
        <v>113</v>
      </c>
      <c r="C72" s="373" t="s">
        <v>135</v>
      </c>
      <c r="D72" s="330">
        <v>1355564768.8499999</v>
      </c>
      <c r="E72" s="337">
        <f t="shared" si="21"/>
        <v>4.1502589306492031E-3</v>
      </c>
      <c r="F72" s="331">
        <v>3.56</v>
      </c>
      <c r="G72" s="331">
        <v>3.56</v>
      </c>
      <c r="H72" s="324">
        <v>5.0000000000000001E-3</v>
      </c>
      <c r="I72" s="324">
        <v>-1.46E-2</v>
      </c>
      <c r="J72" s="330">
        <v>1356912544.1400001</v>
      </c>
      <c r="K72" s="337">
        <f t="shared" si="16"/>
        <v>4.1567291720595277E-3</v>
      </c>
      <c r="L72" s="331">
        <v>3.56</v>
      </c>
      <c r="M72" s="331">
        <v>3.56</v>
      </c>
      <c r="N72" s="324">
        <v>6.0000000000000001E-3</v>
      </c>
      <c r="O72" s="324">
        <v>-1.1299999999999999E-2</v>
      </c>
      <c r="P72" s="333">
        <f t="shared" si="22"/>
        <v>9.9425370219941023E-4</v>
      </c>
      <c r="Q72" s="333">
        <f t="shared" si="23"/>
        <v>0</v>
      </c>
      <c r="R72" s="333">
        <f t="shared" si="18"/>
        <v>1E-3</v>
      </c>
      <c r="S72" s="368">
        <f t="shared" si="19"/>
        <v>3.3000000000000008E-3</v>
      </c>
      <c r="U72" s="173"/>
      <c r="V72" s="408"/>
    </row>
    <row r="73" spans="1:23" s="114" customFormat="1" ht="12.95" customHeight="1">
      <c r="A73" s="396">
        <v>62</v>
      </c>
      <c r="B73" s="372" t="s">
        <v>86</v>
      </c>
      <c r="C73" s="373" t="s">
        <v>23</v>
      </c>
      <c r="D73" s="330">
        <v>15915159275.120001</v>
      </c>
      <c r="E73" s="337">
        <f t="shared" si="21"/>
        <v>4.8726577609645938E-2</v>
      </c>
      <c r="F73" s="330">
        <v>1177.8599999999999</v>
      </c>
      <c r="G73" s="330">
        <v>1177.8599999999999</v>
      </c>
      <c r="H73" s="338">
        <v>1.8E-3</v>
      </c>
      <c r="I73" s="338">
        <v>3.2800000000000003E-2</v>
      </c>
      <c r="J73" s="330">
        <v>16286957930.43</v>
      </c>
      <c r="K73" s="337">
        <f t="shared" si="16"/>
        <v>4.9893026227738689E-2</v>
      </c>
      <c r="L73" s="330">
        <v>1179.81</v>
      </c>
      <c r="M73" s="330">
        <v>1179.81</v>
      </c>
      <c r="N73" s="338">
        <v>1.6999999999999999E-3</v>
      </c>
      <c r="O73" s="338">
        <v>3.4500000000000003E-2</v>
      </c>
      <c r="P73" s="333">
        <f t="shared" si="22"/>
        <v>2.3361290256845142E-2</v>
      </c>
      <c r="Q73" s="333">
        <f t="shared" si="23"/>
        <v>1.6555448015893618E-3</v>
      </c>
      <c r="R73" s="333">
        <f t="shared" si="18"/>
        <v>-1.0000000000000005E-4</v>
      </c>
      <c r="S73" s="368">
        <f t="shared" si="19"/>
        <v>1.7000000000000001E-3</v>
      </c>
      <c r="T73" s="174"/>
      <c r="U73" s="132"/>
      <c r="V73" s="408"/>
    </row>
    <row r="74" spans="1:23" s="114" customFormat="1" ht="12.95" customHeight="1">
      <c r="A74" s="401">
        <v>63</v>
      </c>
      <c r="B74" s="373" t="s">
        <v>237</v>
      </c>
      <c r="C74" s="404" t="s">
        <v>9</v>
      </c>
      <c r="D74" s="330">
        <v>2180810306</v>
      </c>
      <c r="E74" s="337">
        <f t="shared" si="21"/>
        <v>6.6768683109156932E-3</v>
      </c>
      <c r="F74" s="331">
        <v>103.36</v>
      </c>
      <c r="G74" s="331">
        <v>103.36</v>
      </c>
      <c r="H74" s="338">
        <v>1.6999999999999999E-3</v>
      </c>
      <c r="I74" s="338">
        <v>0.10249999999999999</v>
      </c>
      <c r="J74" s="330">
        <v>2185516775</v>
      </c>
      <c r="K74" s="337">
        <f t="shared" si="16"/>
        <v>6.6950529523077734E-3</v>
      </c>
      <c r="L74" s="331">
        <v>103.56</v>
      </c>
      <c r="M74" s="331">
        <v>103.56</v>
      </c>
      <c r="N74" s="338">
        <v>1.6999999999999999E-3</v>
      </c>
      <c r="O74" s="338">
        <v>0.10249999999999999</v>
      </c>
      <c r="P74" s="333">
        <f t="shared" si="22"/>
        <v>2.1581285575601092E-3</v>
      </c>
      <c r="Q74" s="333">
        <f t="shared" si="23"/>
        <v>1.9349845201238666E-3</v>
      </c>
      <c r="R74" s="333">
        <f t="shared" si="18"/>
        <v>0</v>
      </c>
      <c r="S74" s="368">
        <f t="shared" si="19"/>
        <v>0</v>
      </c>
      <c r="T74" s="125"/>
      <c r="U74" s="132"/>
      <c r="V74" s="408"/>
    </row>
    <row r="75" spans="1:23" s="114" customFormat="1" ht="12.95" customHeight="1">
      <c r="A75" s="397">
        <v>64</v>
      </c>
      <c r="B75" s="372" t="s">
        <v>17</v>
      </c>
      <c r="C75" s="373" t="s">
        <v>58</v>
      </c>
      <c r="D75" s="330">
        <v>1555885335.6700001</v>
      </c>
      <c r="E75" s="337">
        <f t="shared" si="21"/>
        <v>4.7635695156850793E-3</v>
      </c>
      <c r="F75" s="331">
        <v>335.8014</v>
      </c>
      <c r="G75" s="331">
        <v>335.8014</v>
      </c>
      <c r="H75" s="338">
        <v>1.9E-3</v>
      </c>
      <c r="I75" s="338">
        <v>8.2799999999999999E-2</v>
      </c>
      <c r="J75" s="330">
        <v>1559022409.8199999</v>
      </c>
      <c r="K75" s="337">
        <f t="shared" si="16"/>
        <v>4.7758670658473307E-3</v>
      </c>
      <c r="L75" s="331">
        <v>336.4341</v>
      </c>
      <c r="M75" s="331">
        <v>336.4341</v>
      </c>
      <c r="N75" s="338">
        <v>1.9E-3</v>
      </c>
      <c r="O75" s="338">
        <v>8.6699999999999999E-2</v>
      </c>
      <c r="P75" s="111">
        <f t="shared" si="22"/>
        <v>2.0162630741994625E-3</v>
      </c>
      <c r="Q75" s="111">
        <f t="shared" si="23"/>
        <v>1.8841493811520733E-3</v>
      </c>
      <c r="R75" s="333">
        <f t="shared" si="18"/>
        <v>0</v>
      </c>
      <c r="S75" s="368">
        <f t="shared" si="19"/>
        <v>3.9000000000000007E-3</v>
      </c>
      <c r="T75" s="146"/>
      <c r="U75" s="175"/>
      <c r="V75" s="408"/>
    </row>
    <row r="76" spans="1:23" s="114" customFormat="1" ht="12.95" customHeight="1">
      <c r="A76" s="397">
        <v>65</v>
      </c>
      <c r="B76" s="372" t="s">
        <v>92</v>
      </c>
      <c r="C76" s="373" t="s">
        <v>91</v>
      </c>
      <c r="D76" s="330">
        <v>96156931.060000002</v>
      </c>
      <c r="E76" s="337">
        <f t="shared" si="21"/>
        <v>2.9439844634951895E-4</v>
      </c>
      <c r="F76" s="331">
        <v>21.115895999999999</v>
      </c>
      <c r="G76" s="330">
        <v>21.393173000000001</v>
      </c>
      <c r="H76" s="338">
        <v>2.0400000000000001E-2</v>
      </c>
      <c r="I76" s="338">
        <v>3.56E-2</v>
      </c>
      <c r="J76" s="330">
        <v>96115700.5</v>
      </c>
      <c r="K76" s="337">
        <f t="shared" si="16"/>
        <v>2.9443823619045646E-4</v>
      </c>
      <c r="L76" s="331">
        <v>21.108376</v>
      </c>
      <c r="M76" s="330">
        <v>21.398900000000001</v>
      </c>
      <c r="N76" s="338">
        <v>1E-4</v>
      </c>
      <c r="O76" s="338">
        <v>3.56E-2</v>
      </c>
      <c r="P76" s="333">
        <f t="shared" si="22"/>
        <v>-4.2878406731050242E-4</v>
      </c>
      <c r="Q76" s="333">
        <f t="shared" si="23"/>
        <v>2.6770222444329596E-4</v>
      </c>
      <c r="R76" s="333">
        <f t="shared" si="18"/>
        <v>-2.0300000000000002E-2</v>
      </c>
      <c r="S76" s="368">
        <f t="shared" si="19"/>
        <v>0</v>
      </c>
      <c r="T76" s="156"/>
      <c r="U76" s="175"/>
      <c r="V76" s="408"/>
    </row>
    <row r="77" spans="1:23" s="114" customFormat="1" ht="12.95" customHeight="1">
      <c r="A77" s="397">
        <v>66</v>
      </c>
      <c r="B77" s="372" t="s">
        <v>35</v>
      </c>
      <c r="C77" s="373" t="s">
        <v>20</v>
      </c>
      <c r="D77" s="330">
        <v>6821437756.9899998</v>
      </c>
      <c r="E77" s="337">
        <f t="shared" si="21"/>
        <v>2.0884824997947509E-2</v>
      </c>
      <c r="F77" s="331">
        <v>1.04</v>
      </c>
      <c r="G77" s="331">
        <v>1.04</v>
      </c>
      <c r="H77" s="338">
        <v>0</v>
      </c>
      <c r="I77" s="338">
        <v>0.1104</v>
      </c>
      <c r="J77" s="330">
        <v>6816381535.5600004</v>
      </c>
      <c r="K77" s="337">
        <f>(J77/$J$119)</f>
        <v>7.2358819089543613E-2</v>
      </c>
      <c r="L77" s="331">
        <v>1.04</v>
      </c>
      <c r="M77" s="331">
        <v>1.04</v>
      </c>
      <c r="N77" s="338">
        <v>0</v>
      </c>
      <c r="O77" s="338">
        <v>0.1103</v>
      </c>
      <c r="P77" s="333">
        <f t="shared" si="22"/>
        <v>-7.4122518010491078E-4</v>
      </c>
      <c r="Q77" s="333">
        <f t="shared" si="23"/>
        <v>0</v>
      </c>
      <c r="R77" s="333">
        <f t="shared" si="18"/>
        <v>0</v>
      </c>
      <c r="S77" s="368">
        <f t="shared" si="19"/>
        <v>-1.0000000000000286E-4</v>
      </c>
      <c r="T77" s="146"/>
      <c r="U77" s="175"/>
      <c r="V77" s="408"/>
    </row>
    <row r="78" spans="1:23" s="114" customFormat="1" ht="12.95" customHeight="1">
      <c r="A78" s="400">
        <v>67</v>
      </c>
      <c r="B78" s="372" t="s">
        <v>69</v>
      </c>
      <c r="C78" s="373" t="s">
        <v>5</v>
      </c>
      <c r="D78" s="330">
        <v>32114586818.380001</v>
      </c>
      <c r="E78" s="337">
        <f t="shared" si="21"/>
        <v>9.8323483915979018E-2</v>
      </c>
      <c r="F78" s="330">
        <v>4715.96</v>
      </c>
      <c r="G78" s="330">
        <v>4715.96</v>
      </c>
      <c r="H78" s="338">
        <v>1.8E-3</v>
      </c>
      <c r="I78" s="338">
        <v>3.15E-2</v>
      </c>
      <c r="J78" s="330">
        <v>31296332331.400002</v>
      </c>
      <c r="K78" s="337">
        <f t="shared" ref="K78:K86" si="24">(J78/$J$87)</f>
        <v>9.5872337640485417E-2</v>
      </c>
      <c r="L78" s="330">
        <v>4720.1899999999996</v>
      </c>
      <c r="M78" s="330">
        <v>4720.1899999999996</v>
      </c>
      <c r="N78" s="338">
        <v>8.9999999999999998E-4</v>
      </c>
      <c r="O78" s="338">
        <v>3.2399999999999998E-2</v>
      </c>
      <c r="P78" s="333">
        <f t="shared" si="22"/>
        <v>-2.5479215772182737E-2</v>
      </c>
      <c r="Q78" s="333">
        <f t="shared" si="23"/>
        <v>8.969541726392004E-4</v>
      </c>
      <c r="R78" s="333">
        <f t="shared" si="18"/>
        <v>-8.9999999999999998E-4</v>
      </c>
      <c r="S78" s="368">
        <f t="shared" si="19"/>
        <v>8.9999999999999802E-4</v>
      </c>
      <c r="T78" s="146"/>
      <c r="U78" s="175"/>
      <c r="V78" s="408"/>
    </row>
    <row r="79" spans="1:23" s="114" customFormat="1" ht="12.95" customHeight="1">
      <c r="A79" s="400">
        <v>68</v>
      </c>
      <c r="B79" s="372" t="s">
        <v>16</v>
      </c>
      <c r="C79" s="373" t="s">
        <v>5</v>
      </c>
      <c r="D79" s="330">
        <v>40527889205.389999</v>
      </c>
      <c r="E79" s="337">
        <f t="shared" si="21"/>
        <v>0.12408203427839573</v>
      </c>
      <c r="F79" s="331">
        <v>248.87</v>
      </c>
      <c r="G79" s="331">
        <v>248.87</v>
      </c>
      <c r="H79" s="338">
        <v>1.1999999999999999E-3</v>
      </c>
      <c r="I79" s="338">
        <v>1.55E-2</v>
      </c>
      <c r="J79" s="330">
        <v>40608967761.57</v>
      </c>
      <c r="K79" s="337">
        <f t="shared" si="24"/>
        <v>0.12440041303378714</v>
      </c>
      <c r="L79" s="331">
        <v>249.03</v>
      </c>
      <c r="M79" s="331">
        <v>249.03</v>
      </c>
      <c r="N79" s="338">
        <v>5.9999999999999995E-4</v>
      </c>
      <c r="O79" s="338">
        <v>1.6199999999999999E-2</v>
      </c>
      <c r="P79" s="333">
        <f t="shared" si="22"/>
        <v>2.0005620270304447E-3</v>
      </c>
      <c r="Q79" s="333">
        <f t="shared" si="23"/>
        <v>6.4290593482539714E-4</v>
      </c>
      <c r="R79" s="333">
        <f t="shared" si="18"/>
        <v>-5.9999999999999995E-4</v>
      </c>
      <c r="S79" s="368">
        <f t="shared" si="19"/>
        <v>6.9999999999999923E-4</v>
      </c>
      <c r="T79" s="146"/>
      <c r="U79" s="175"/>
      <c r="V79" s="408"/>
    </row>
    <row r="80" spans="1:23" s="114" customFormat="1" ht="12.95" customHeight="1">
      <c r="A80" s="400">
        <v>69</v>
      </c>
      <c r="B80" s="372" t="s">
        <v>70</v>
      </c>
      <c r="C80" s="373" t="s">
        <v>5</v>
      </c>
      <c r="D80" s="330">
        <v>251564123.09999999</v>
      </c>
      <c r="E80" s="337">
        <f t="shared" si="21"/>
        <v>7.7020019442703628E-4</v>
      </c>
      <c r="F80" s="330">
        <v>4447.03</v>
      </c>
      <c r="G80" s="330">
        <v>4463.32</v>
      </c>
      <c r="H80" s="338">
        <v>2.0000000000000001E-4</v>
      </c>
      <c r="I80" s="338">
        <v>4.8000000000000001E-2</v>
      </c>
      <c r="J80" s="330">
        <v>252413526.38999999</v>
      </c>
      <c r="K80" s="337">
        <f t="shared" si="24"/>
        <v>7.7323676687852721E-4</v>
      </c>
      <c r="L80" s="330">
        <v>4462.03</v>
      </c>
      <c r="M80" s="330">
        <v>4478.3999999999996</v>
      </c>
      <c r="N80" s="338">
        <v>3.3999999999999998E-3</v>
      </c>
      <c r="O80" s="338">
        <v>5.1499999999999997E-2</v>
      </c>
      <c r="P80" s="333">
        <f t="shared" si="22"/>
        <v>3.3764881873173261E-3</v>
      </c>
      <c r="Q80" s="333">
        <f t="shared" si="23"/>
        <v>3.3786508697561295E-3</v>
      </c>
      <c r="R80" s="333">
        <f t="shared" si="18"/>
        <v>3.1999999999999997E-3</v>
      </c>
      <c r="S80" s="368">
        <f t="shared" si="19"/>
        <v>3.4999999999999962E-3</v>
      </c>
      <c r="T80" s="146"/>
      <c r="U80" s="175"/>
      <c r="V80" s="408"/>
    </row>
    <row r="81" spans="1:22" s="114" customFormat="1" ht="12.95" customHeight="1">
      <c r="A81" s="400">
        <v>70</v>
      </c>
      <c r="B81" s="372" t="s">
        <v>169</v>
      </c>
      <c r="C81" s="373" t="s">
        <v>5</v>
      </c>
      <c r="D81" s="330">
        <v>19942192679.689999</v>
      </c>
      <c r="E81" s="337">
        <f t="shared" si="21"/>
        <v>6.1055926774952182E-2</v>
      </c>
      <c r="F81" s="331">
        <v>118.76</v>
      </c>
      <c r="G81" s="331">
        <v>118.76</v>
      </c>
      <c r="H81" s="338">
        <v>1.9E-3</v>
      </c>
      <c r="I81" s="338">
        <v>3.27E-2</v>
      </c>
      <c r="J81" s="330">
        <v>19587138388.970001</v>
      </c>
      <c r="K81" s="337">
        <f t="shared" si="24"/>
        <v>6.0002709747370632E-2</v>
      </c>
      <c r="L81" s="331">
        <v>118.83</v>
      </c>
      <c r="M81" s="331">
        <v>118.83</v>
      </c>
      <c r="N81" s="338">
        <v>5.9999999999999995E-4</v>
      </c>
      <c r="O81" s="338">
        <v>3.3300000000000003E-2</v>
      </c>
      <c r="P81" s="333">
        <f t="shared" si="22"/>
        <v>-1.7804175118696964E-2</v>
      </c>
      <c r="Q81" s="333">
        <f t="shared" si="23"/>
        <v>5.8942404850112137E-4</v>
      </c>
      <c r="R81" s="333">
        <f t="shared" si="18"/>
        <v>-1.2999999999999999E-3</v>
      </c>
      <c r="S81" s="368">
        <f t="shared" si="19"/>
        <v>6.0000000000000331E-4</v>
      </c>
      <c r="T81" s="146"/>
      <c r="U81" s="175"/>
      <c r="V81" s="408"/>
    </row>
    <row r="82" spans="1:22" s="114" customFormat="1" ht="12.95" customHeight="1">
      <c r="A82" s="401">
        <v>71</v>
      </c>
      <c r="B82" s="372" t="s">
        <v>64</v>
      </c>
      <c r="C82" s="373" t="s">
        <v>5</v>
      </c>
      <c r="D82" s="330">
        <v>14885535672.709999</v>
      </c>
      <c r="E82" s="337">
        <f t="shared" si="21"/>
        <v>4.5574235022036121E-2</v>
      </c>
      <c r="F82" s="331">
        <v>339.72</v>
      </c>
      <c r="G82" s="331">
        <v>339.72</v>
      </c>
      <c r="H82" s="338">
        <v>1.1999999999999999E-3</v>
      </c>
      <c r="I82" s="338">
        <v>2.1700000000000001E-2</v>
      </c>
      <c r="J82" s="330">
        <v>14862305342.799999</v>
      </c>
      <c r="K82" s="337">
        <f t="shared" si="24"/>
        <v>4.5528784039377934E-2</v>
      </c>
      <c r="L82" s="331">
        <v>339.99</v>
      </c>
      <c r="M82" s="331">
        <v>339.99</v>
      </c>
      <c r="N82" s="338">
        <v>8.0000000000000004E-4</v>
      </c>
      <c r="O82" s="338">
        <v>2.2499999999999999E-2</v>
      </c>
      <c r="P82" s="333">
        <f t="shared" si="22"/>
        <v>-1.5605975102789586E-3</v>
      </c>
      <c r="Q82" s="333">
        <f t="shared" si="23"/>
        <v>7.9477216531255673E-4</v>
      </c>
      <c r="R82" s="333">
        <f t="shared" si="18"/>
        <v>-3.9999999999999986E-4</v>
      </c>
      <c r="S82" s="368">
        <f t="shared" si="19"/>
        <v>7.9999999999999863E-4</v>
      </c>
      <c r="T82" s="146"/>
      <c r="U82" s="175"/>
      <c r="V82" s="408"/>
    </row>
    <row r="83" spans="1:22" s="114" customFormat="1" ht="12.95" customHeight="1">
      <c r="A83" s="397">
        <v>72</v>
      </c>
      <c r="B83" s="372" t="s">
        <v>252</v>
      </c>
      <c r="C83" s="373" t="s">
        <v>251</v>
      </c>
      <c r="D83" s="330">
        <v>57752216.039999999</v>
      </c>
      <c r="E83" s="337">
        <f t="shared" si="21"/>
        <v>1.7681681900609699E-4</v>
      </c>
      <c r="F83" s="74">
        <v>105.1422</v>
      </c>
      <c r="G83" s="74">
        <v>105.1422</v>
      </c>
      <c r="H83" s="338">
        <v>3.1212E-2</v>
      </c>
      <c r="I83" s="338">
        <v>1.7232000000000001E-2</v>
      </c>
      <c r="J83" s="330">
        <v>65607962.390000001</v>
      </c>
      <c r="K83" s="337">
        <f t="shared" si="24"/>
        <v>2.0098165674983982E-4</v>
      </c>
      <c r="L83" s="74">
        <v>105.3723</v>
      </c>
      <c r="M83" s="74">
        <v>105.3723</v>
      </c>
      <c r="N83" s="338">
        <v>3.2986000000000001E-2</v>
      </c>
      <c r="O83" s="338">
        <v>2.0917000000000002E-2</v>
      </c>
      <c r="P83" s="333">
        <f t="shared" si="22"/>
        <v>0.13602502014050857</v>
      </c>
      <c r="Q83" s="333">
        <f t="shared" si="23"/>
        <v>2.1884647648612362E-3</v>
      </c>
      <c r="R83" s="333">
        <f t="shared" si="18"/>
        <v>1.7740000000000013E-3</v>
      </c>
      <c r="S83" s="368">
        <f t="shared" si="19"/>
        <v>3.6850000000000008E-3</v>
      </c>
      <c r="T83" s="146"/>
      <c r="U83" s="175"/>
      <c r="V83" s="408"/>
    </row>
    <row r="84" spans="1:22" s="334" customFormat="1" ht="12.95" customHeight="1">
      <c r="A84" s="401">
        <v>73</v>
      </c>
      <c r="B84" s="372" t="s">
        <v>160</v>
      </c>
      <c r="C84" s="373" t="s">
        <v>41</v>
      </c>
      <c r="D84" s="330">
        <v>101582871782.85001</v>
      </c>
      <c r="E84" s="337">
        <f t="shared" si="21"/>
        <v>0.31101075397188771</v>
      </c>
      <c r="F84" s="330">
        <v>2.0026999999999999</v>
      </c>
      <c r="G84" s="330">
        <v>2.0026999999999999</v>
      </c>
      <c r="H84" s="338">
        <v>7.2900000000000006E-2</v>
      </c>
      <c r="I84" s="338">
        <v>7.3400000000000007E-2</v>
      </c>
      <c r="J84" s="330">
        <v>101704149704.03999</v>
      </c>
      <c r="K84" s="337">
        <f t="shared" si="24"/>
        <v>0.31155774026853889</v>
      </c>
      <c r="L84" s="330">
        <v>2.0053999999999998</v>
      </c>
      <c r="M84" s="330">
        <v>2.0053999999999998</v>
      </c>
      <c r="N84" s="338">
        <v>7.2800000000000004E-2</v>
      </c>
      <c r="O84" s="338">
        <v>7.3300000000000004E-2</v>
      </c>
      <c r="P84" s="111">
        <f t="shared" si="22"/>
        <v>1.1938815969806265E-3</v>
      </c>
      <c r="Q84" s="111">
        <f t="shared" si="23"/>
        <v>1.3481799570579341E-3</v>
      </c>
      <c r="R84" s="333">
        <f t="shared" si="18"/>
        <v>-1.0000000000000286E-4</v>
      </c>
      <c r="S84" s="368">
        <f t="shared" si="19"/>
        <v>-1.0000000000000286E-4</v>
      </c>
      <c r="T84" s="146"/>
      <c r="U84" s="175"/>
      <c r="V84" s="342"/>
    </row>
    <row r="85" spans="1:22" s="334" customFormat="1" ht="12.95" customHeight="1">
      <c r="A85" s="402">
        <v>74</v>
      </c>
      <c r="B85" s="372" t="s">
        <v>49</v>
      </c>
      <c r="C85" s="373" t="s">
        <v>248</v>
      </c>
      <c r="D85" s="330">
        <v>9651379398.7800007</v>
      </c>
      <c r="E85" s="337">
        <f t="shared" si="21"/>
        <v>2.9549103416763998E-2</v>
      </c>
      <c r="F85" s="331">
        <v>1</v>
      </c>
      <c r="G85" s="331">
        <v>1</v>
      </c>
      <c r="H85" s="338">
        <v>0.06</v>
      </c>
      <c r="I85" s="338">
        <v>0.06</v>
      </c>
      <c r="J85" s="330">
        <v>9656763576.3600006</v>
      </c>
      <c r="K85" s="337">
        <f t="shared" si="24"/>
        <v>2.9582268244839803E-2</v>
      </c>
      <c r="L85" s="331">
        <v>1</v>
      </c>
      <c r="M85" s="331">
        <v>1</v>
      </c>
      <c r="N85" s="338">
        <v>0.06</v>
      </c>
      <c r="O85" s="338">
        <v>0.06</v>
      </c>
      <c r="P85" s="333">
        <f t="shared" si="22"/>
        <v>5.5786612022324191E-4</v>
      </c>
      <c r="Q85" s="333">
        <f t="shared" si="23"/>
        <v>0</v>
      </c>
      <c r="R85" s="333">
        <f t="shared" si="18"/>
        <v>0</v>
      </c>
      <c r="S85" s="368">
        <f t="shared" si="19"/>
        <v>0</v>
      </c>
      <c r="T85" s="146"/>
      <c r="U85" s="175"/>
      <c r="V85" s="343"/>
    </row>
    <row r="86" spans="1:22" s="114" customFormat="1" ht="12.95" customHeight="1">
      <c r="A86" s="397">
        <v>75</v>
      </c>
      <c r="B86" s="372" t="s">
        <v>19</v>
      </c>
      <c r="C86" s="373" t="s">
        <v>12</v>
      </c>
      <c r="D86" s="330">
        <v>2623245741.79</v>
      </c>
      <c r="E86" s="337">
        <f t="shared" si="21"/>
        <v>8.0314488229047201E-3</v>
      </c>
      <c r="F86" s="331">
        <v>24.156099999999999</v>
      </c>
      <c r="G86" s="331">
        <v>24.156099999999999</v>
      </c>
      <c r="H86" s="338">
        <v>1.4E-3</v>
      </c>
      <c r="I86" s="338">
        <v>2.5600000000000001E-2</v>
      </c>
      <c r="J86" s="330">
        <v>2625605143.5300002</v>
      </c>
      <c r="K86" s="337">
        <f t="shared" si="24"/>
        <v>8.0432077524479322E-3</v>
      </c>
      <c r="L86" s="331">
        <v>24.1905</v>
      </c>
      <c r="M86" s="331">
        <v>24.1905</v>
      </c>
      <c r="N86" s="338">
        <v>1E-3</v>
      </c>
      <c r="O86" s="338">
        <v>2.69E-2</v>
      </c>
      <c r="P86" s="333">
        <f t="shared" si="22"/>
        <v>8.9942078334997501E-4</v>
      </c>
      <c r="Q86" s="333">
        <f t="shared" si="23"/>
        <v>1.4240709386035635E-3</v>
      </c>
      <c r="R86" s="333">
        <f t="shared" si="18"/>
        <v>-3.9999999999999996E-4</v>
      </c>
      <c r="S86" s="368">
        <f t="shared" si="19"/>
        <v>1.2999999999999991E-3</v>
      </c>
      <c r="T86" s="146"/>
      <c r="U86" s="175"/>
      <c r="V86" s="295"/>
    </row>
    <row r="87" spans="1:22" s="114" customFormat="1" ht="12.95" customHeight="1">
      <c r="A87" s="218"/>
      <c r="C87" s="248" t="s">
        <v>42</v>
      </c>
      <c r="D87" s="76">
        <f>SUM(D57:D86)</f>
        <v>326621734089.72247</v>
      </c>
      <c r="E87" s="266">
        <f>(D87/$D$168)</f>
        <v>0.19881127958717401</v>
      </c>
      <c r="F87" s="331"/>
      <c r="G87" s="331"/>
      <c r="H87" s="338"/>
      <c r="I87" s="338"/>
      <c r="J87" s="76">
        <f>SUM(J57:J86)</f>
        <v>326437563760.66541</v>
      </c>
      <c r="K87" s="266">
        <f>(J87/$J$168)</f>
        <v>0.19976999592222092</v>
      </c>
      <c r="L87" s="268"/>
      <c r="M87" s="73"/>
      <c r="N87" s="283"/>
      <c r="O87" s="283"/>
      <c r="P87" s="270">
        <f t="shared" ref="P87" si="25">((J87-D87)/D87)</f>
        <v>-5.638642804047956E-4</v>
      </c>
      <c r="Q87" s="270"/>
      <c r="R87" s="270">
        <f t="shared" ref="R87:S87" si="26">N87-H87</f>
        <v>0</v>
      </c>
      <c r="S87" s="368">
        <f t="shared" si="26"/>
        <v>0</v>
      </c>
      <c r="T87" s="90"/>
      <c r="U87" s="176"/>
      <c r="V87" s="188"/>
    </row>
    <row r="88" spans="1:22" s="114" customFormat="1" ht="5.25" customHeight="1">
      <c r="A88" s="411"/>
      <c r="B88" s="412"/>
      <c r="C88" s="413"/>
      <c r="D88" s="413"/>
      <c r="E88" s="413"/>
      <c r="F88" s="413"/>
      <c r="G88" s="413"/>
      <c r="H88" s="413"/>
      <c r="I88" s="413"/>
      <c r="J88" s="413"/>
      <c r="K88" s="413"/>
      <c r="L88" s="413"/>
      <c r="M88" s="413"/>
      <c r="N88" s="413"/>
      <c r="O88" s="413"/>
      <c r="P88" s="413"/>
      <c r="Q88" s="413"/>
      <c r="R88" s="413"/>
      <c r="S88" s="426"/>
      <c r="T88" s="90"/>
      <c r="U88" s="176"/>
      <c r="V88" s="188"/>
    </row>
    <row r="89" spans="1:22" s="114" customFormat="1" ht="12" customHeight="1">
      <c r="A89" s="418" t="s">
        <v>199</v>
      </c>
      <c r="B89" s="419"/>
      <c r="C89" s="420"/>
      <c r="D89" s="420"/>
      <c r="E89" s="420"/>
      <c r="F89" s="420"/>
      <c r="G89" s="420"/>
      <c r="H89" s="420"/>
      <c r="I89" s="420"/>
      <c r="J89" s="420"/>
      <c r="K89" s="420"/>
      <c r="L89" s="420"/>
      <c r="M89" s="420"/>
      <c r="N89" s="420"/>
      <c r="O89" s="420"/>
      <c r="P89" s="420"/>
      <c r="Q89" s="420"/>
      <c r="R89" s="420"/>
      <c r="S89" s="421"/>
      <c r="T89" s="90"/>
      <c r="U89" s="176"/>
      <c r="V89" s="188"/>
    </row>
    <row r="90" spans="1:22" s="114" customFormat="1" ht="12.95" customHeight="1">
      <c r="A90" s="422" t="s">
        <v>200</v>
      </c>
      <c r="B90" s="423"/>
      <c r="C90" s="424"/>
      <c r="D90" s="424"/>
      <c r="E90" s="424"/>
      <c r="F90" s="424"/>
      <c r="G90" s="424"/>
      <c r="H90" s="424"/>
      <c r="I90" s="424"/>
      <c r="J90" s="424"/>
      <c r="K90" s="424"/>
      <c r="L90" s="424"/>
      <c r="M90" s="424"/>
      <c r="N90" s="424"/>
      <c r="O90" s="424"/>
      <c r="P90" s="424"/>
      <c r="Q90" s="424"/>
      <c r="R90" s="424"/>
      <c r="S90" s="425"/>
      <c r="T90" s="90"/>
      <c r="U90" s="176"/>
      <c r="V90" s="188"/>
    </row>
    <row r="91" spans="1:22" s="114" customFormat="1" ht="12.95" customHeight="1">
      <c r="A91" s="397">
        <v>76</v>
      </c>
      <c r="B91" s="372" t="s">
        <v>148</v>
      </c>
      <c r="C91" s="373" t="s">
        <v>58</v>
      </c>
      <c r="D91" s="330">
        <v>792032015.80999994</v>
      </c>
      <c r="E91" s="337">
        <f t="shared" ref="E91:E100" si="27">(D91/$D$112)</f>
        <v>2.3901555279768703E-3</v>
      </c>
      <c r="F91" s="330">
        <f>108.1469*461.03</f>
        <v>49858.965306999999</v>
      </c>
      <c r="G91" s="330">
        <f>108.1469*461.03</f>
        <v>49858.965306999999</v>
      </c>
      <c r="H91" s="338">
        <v>1.1000000000000001E-3</v>
      </c>
      <c r="I91" s="338">
        <v>8.48E-2</v>
      </c>
      <c r="J91" s="330">
        <v>799837469.70000005</v>
      </c>
      <c r="K91" s="337">
        <f t="shared" ref="K91:K100" si="28">(J91/$J$112)</f>
        <v>2.426340726526761E-3</v>
      </c>
      <c r="L91" s="330">
        <f>108.2735*460.53</f>
        <v>49863.194954999999</v>
      </c>
      <c r="M91" s="330">
        <f>108.2735*460.53</f>
        <v>49863.194954999999</v>
      </c>
      <c r="N91" s="338">
        <v>1.1999999999999999E-3</v>
      </c>
      <c r="O91" s="338">
        <v>8.48E-2</v>
      </c>
      <c r="P91" s="333">
        <f t="shared" ref="P91:P100" si="29">((J91-D91)/D91)</f>
        <v>9.8549726957913152E-3</v>
      </c>
      <c r="Q91" s="333">
        <f t="shared" ref="Q91:Q100" si="30">((M91-G91)/G91)</f>
        <v>8.4832245794852601E-5</v>
      </c>
      <c r="R91" s="333">
        <f t="shared" ref="R91:R100" si="31">N91-H91</f>
        <v>9.9999999999999829E-5</v>
      </c>
      <c r="S91" s="368">
        <f t="shared" ref="S91:S100" si="32">O91-I91</f>
        <v>0</v>
      </c>
      <c r="T91" s="90"/>
      <c r="U91" s="176"/>
      <c r="V91" s="188"/>
    </row>
    <row r="92" spans="1:22" s="114" customFormat="1" ht="12.95" customHeight="1">
      <c r="A92" s="398">
        <v>77</v>
      </c>
      <c r="B92" s="372" t="s">
        <v>149</v>
      </c>
      <c r="C92" s="373" t="s">
        <v>6</v>
      </c>
      <c r="D92" s="330">
        <f>11820551.48*460.57</f>
        <v>5444191395.1436005</v>
      </c>
      <c r="E92" s="337">
        <f t="shared" si="27"/>
        <v>1.6429214853340143E-2</v>
      </c>
      <c r="F92" s="330">
        <f>1.1471*460.57</f>
        <v>528.31984699999998</v>
      </c>
      <c r="G92" s="330">
        <f>1.1471*460.57</f>
        <v>528.31984699999998</v>
      </c>
      <c r="H92" s="338">
        <v>0.05</v>
      </c>
      <c r="I92" s="338">
        <v>5.3600000000000002E-2</v>
      </c>
      <c r="J92" s="330">
        <f>11850638.38*460.81</f>
        <v>5460892671.8878002</v>
      </c>
      <c r="K92" s="337">
        <f t="shared" si="28"/>
        <v>1.6565848431635322E-2</v>
      </c>
      <c r="L92" s="330">
        <f>1.1486*460.81</f>
        <v>529.28636600000004</v>
      </c>
      <c r="M92" s="330">
        <f>1.1486*460.81</f>
        <v>529.28636600000004</v>
      </c>
      <c r="N92" s="338">
        <v>6.8199999999999997E-2</v>
      </c>
      <c r="O92" s="338">
        <v>5.4399999999999997E-2</v>
      </c>
      <c r="P92" s="333">
        <f t="shared" si="29"/>
        <v>3.0677240258485121E-3</v>
      </c>
      <c r="Q92" s="333">
        <f t="shared" si="30"/>
        <v>1.8294201996921424E-3</v>
      </c>
      <c r="R92" s="333">
        <f t="shared" si="31"/>
        <v>1.8199999999999994E-2</v>
      </c>
      <c r="S92" s="368">
        <f t="shared" si="32"/>
        <v>7.9999999999999516E-4</v>
      </c>
      <c r="U92" s="167"/>
      <c r="V92" s="166"/>
    </row>
    <row r="93" spans="1:22" s="114" customFormat="1" ht="12.95" customHeight="1">
      <c r="A93" s="396">
        <v>78</v>
      </c>
      <c r="B93" s="372" t="s">
        <v>175</v>
      </c>
      <c r="C93" s="373" t="s">
        <v>172</v>
      </c>
      <c r="D93" s="330">
        <v>1112084505.4552</v>
      </c>
      <c r="E93" s="337">
        <f t="shared" si="27"/>
        <v>3.3559942972416525E-3</v>
      </c>
      <c r="F93" s="330">
        <v>47605.035739999992</v>
      </c>
      <c r="G93" s="330">
        <v>47605.035739999992</v>
      </c>
      <c r="H93" s="338">
        <v>6.7872267307367132E-2</v>
      </c>
      <c r="I93" s="338">
        <v>4.9186274324727663E-2</v>
      </c>
      <c r="J93" s="330">
        <v>1114031644.3122001</v>
      </c>
      <c r="K93" s="337">
        <f t="shared" si="28"/>
        <v>3.3794620177623135E-3</v>
      </c>
      <c r="L93" s="330">
        <v>47688.382560000005</v>
      </c>
      <c r="M93" s="330">
        <v>47688.382560000005</v>
      </c>
      <c r="N93" s="338">
        <v>5.7584709822270222E-2</v>
      </c>
      <c r="O93" s="338">
        <v>4.9660801167203887E-2</v>
      </c>
      <c r="P93" s="333">
        <f t="shared" si="29"/>
        <v>1.7508910945603967E-3</v>
      </c>
      <c r="Q93" s="333">
        <f t="shared" si="30"/>
        <v>1.7507983914815438E-3</v>
      </c>
      <c r="R93" s="333">
        <f t="shared" si="31"/>
        <v>-1.028755748509691E-2</v>
      </c>
      <c r="S93" s="368">
        <f t="shared" si="32"/>
        <v>4.7452684247622362E-4</v>
      </c>
      <c r="T93" s="394">
        <v>461.31</v>
      </c>
      <c r="U93" s="177"/>
      <c r="V93" s="166"/>
    </row>
    <row r="94" spans="1:22" s="114" customFormat="1" ht="12.95" customHeight="1">
      <c r="A94" s="397">
        <v>79</v>
      </c>
      <c r="B94" s="372" t="s">
        <v>244</v>
      </c>
      <c r="C94" s="373" t="s">
        <v>189</v>
      </c>
      <c r="D94" s="330">
        <v>13187329635.59</v>
      </c>
      <c r="E94" s="337">
        <f t="shared" si="27"/>
        <v>3.9796079197030723E-2</v>
      </c>
      <c r="F94" s="330">
        <v>57009.91</v>
      </c>
      <c r="G94" s="330">
        <v>57009.91</v>
      </c>
      <c r="H94" s="338">
        <v>1.4E-3</v>
      </c>
      <c r="I94" s="338">
        <v>7.0000000000000007E-2</v>
      </c>
      <c r="J94" s="330">
        <v>13206440467.370001</v>
      </c>
      <c r="K94" s="337">
        <f t="shared" si="28"/>
        <v>4.0062294618992571E-2</v>
      </c>
      <c r="L94" s="330">
        <v>57152.72</v>
      </c>
      <c r="M94" s="330">
        <v>57152.72</v>
      </c>
      <c r="N94" s="338">
        <v>1.1000000000000001E-3</v>
      </c>
      <c r="O94" s="338">
        <v>7.0599999999999996E-2</v>
      </c>
      <c r="P94" s="333">
        <f t="shared" si="29"/>
        <v>1.4491813208660775E-3</v>
      </c>
      <c r="Q94" s="333">
        <f t="shared" si="30"/>
        <v>2.5050030775350752E-3</v>
      </c>
      <c r="R94" s="333">
        <f t="shared" si="31"/>
        <v>-2.9999999999999992E-4</v>
      </c>
      <c r="S94" s="368">
        <f t="shared" si="32"/>
        <v>5.9999999999998943E-4</v>
      </c>
      <c r="U94" s="177"/>
      <c r="V94" s="166"/>
    </row>
    <row r="95" spans="1:22" s="334" customFormat="1" ht="12.95" customHeight="1">
      <c r="A95" s="397">
        <v>80</v>
      </c>
      <c r="B95" s="399" t="s">
        <v>276</v>
      </c>
      <c r="C95" s="399" t="s">
        <v>189</v>
      </c>
      <c r="D95" s="330">
        <v>7636845106.1330996</v>
      </c>
      <c r="E95" s="337">
        <f t="shared" si="27"/>
        <v>2.304609811518768E-2</v>
      </c>
      <c r="F95" s="330">
        <v>49848.42</v>
      </c>
      <c r="G95" s="330">
        <v>49848.42</v>
      </c>
      <c r="H95" s="338">
        <v>2E-3</v>
      </c>
      <c r="I95" s="338">
        <v>9.5600000000000004E-2</v>
      </c>
      <c r="J95" s="330">
        <v>7852544963.21</v>
      </c>
      <c r="K95" s="337">
        <f t="shared" si="28"/>
        <v>2.3821026612150735E-2</v>
      </c>
      <c r="L95" s="330">
        <v>50022.52</v>
      </c>
      <c r="M95" s="330">
        <v>50022.52</v>
      </c>
      <c r="N95" s="338">
        <v>2E-3</v>
      </c>
      <c r="O95" s="338">
        <v>9.8199999999999996E-2</v>
      </c>
      <c r="P95" s="333">
        <f t="shared" si="29"/>
        <v>2.824462904238733E-2</v>
      </c>
      <c r="Q95" s="333">
        <f t="shared" si="30"/>
        <v>3.4925881301754108E-3</v>
      </c>
      <c r="R95" s="333">
        <f t="shared" si="31"/>
        <v>0</v>
      </c>
      <c r="S95" s="368">
        <f t="shared" si="32"/>
        <v>2.5999999999999912E-3</v>
      </c>
      <c r="U95" s="336"/>
      <c r="V95" s="166"/>
    </row>
    <row r="96" spans="1:22" s="114" customFormat="1" ht="12.95" customHeight="1">
      <c r="A96" s="405">
        <v>81</v>
      </c>
      <c r="B96" s="372" t="s">
        <v>241</v>
      </c>
      <c r="C96" s="373" t="s">
        <v>223</v>
      </c>
      <c r="D96" s="330">
        <f>84427.53*461.03</f>
        <v>38923624.155899994</v>
      </c>
      <c r="E96" s="337">
        <f t="shared" si="27"/>
        <v>1.1746181162888265E-4</v>
      </c>
      <c r="F96" s="330">
        <f>101.78*461.03</f>
        <v>46923.633399999999</v>
      </c>
      <c r="G96" s="330">
        <f>101.78*461.03</f>
        <v>46923.633399999999</v>
      </c>
      <c r="H96" s="338">
        <v>1E-3</v>
      </c>
      <c r="I96" s="338">
        <v>3.6999999999999998E-2</v>
      </c>
      <c r="J96" s="330">
        <f>84479.3*461.31</f>
        <v>38971145.883000001</v>
      </c>
      <c r="K96" s="337">
        <f t="shared" si="28"/>
        <v>1.1822061605941616E-4</v>
      </c>
      <c r="L96" s="330">
        <f>101.84*461.31</f>
        <v>46979.810400000002</v>
      </c>
      <c r="M96" s="330">
        <f>101.84*461.31</f>
        <v>46979.810400000002</v>
      </c>
      <c r="N96" s="338">
        <v>1E-3</v>
      </c>
      <c r="O96" s="338">
        <v>3.7999999999999999E-2</v>
      </c>
      <c r="P96" s="333">
        <f t="shared" si="29"/>
        <v>1.220896772347545E-3</v>
      </c>
      <c r="Q96" s="333">
        <f t="shared" si="30"/>
        <v>1.1972005560848859E-3</v>
      </c>
      <c r="R96" s="333">
        <f t="shared" si="31"/>
        <v>0</v>
      </c>
      <c r="S96" s="368">
        <f t="shared" si="32"/>
        <v>1.0000000000000009E-3</v>
      </c>
      <c r="T96" s="126"/>
      <c r="U96" s="177"/>
      <c r="V96" s="133"/>
    </row>
    <row r="97" spans="1:43" s="114" customFormat="1" ht="12.95" customHeight="1">
      <c r="A97" s="396">
        <v>82</v>
      </c>
      <c r="B97" s="372" t="s">
        <v>122</v>
      </c>
      <c r="C97" s="373" t="s">
        <v>135</v>
      </c>
      <c r="D97" s="330">
        <v>5891862899.6499996</v>
      </c>
      <c r="E97" s="337">
        <f t="shared" si="27"/>
        <v>1.7780176051694498E-2</v>
      </c>
      <c r="F97" s="330">
        <v>460.53</v>
      </c>
      <c r="G97" s="330">
        <v>460.53</v>
      </c>
      <c r="H97" s="324">
        <v>4.7000000000000002E-3</v>
      </c>
      <c r="I97" s="324">
        <v>5.8700000000000002E-2</v>
      </c>
      <c r="J97" s="330">
        <v>5904820210.9300003</v>
      </c>
      <c r="K97" s="337">
        <f t="shared" si="28"/>
        <v>1.7912521360085261E-2</v>
      </c>
      <c r="L97" s="330">
        <v>460.81</v>
      </c>
      <c r="M97" s="330">
        <v>460.81</v>
      </c>
      <c r="N97" s="324">
        <v>5.4000000000000003E-3</v>
      </c>
      <c r="O97" s="324">
        <v>5.7700000000000001E-2</v>
      </c>
      <c r="P97" s="333">
        <f t="shared" si="29"/>
        <v>2.1991875066832262E-3</v>
      </c>
      <c r="Q97" s="333">
        <f t="shared" si="30"/>
        <v>6.0799513603897594E-4</v>
      </c>
      <c r="R97" s="333">
        <f t="shared" si="31"/>
        <v>7.000000000000001E-4</v>
      </c>
      <c r="S97" s="368">
        <f t="shared" si="32"/>
        <v>-1.0000000000000009E-3</v>
      </c>
      <c r="U97" s="177"/>
      <c r="V97" s="133"/>
    </row>
    <row r="98" spans="1:43" s="334" customFormat="1" ht="12.95" customHeight="1">
      <c r="A98" s="395">
        <v>83</v>
      </c>
      <c r="B98" s="372" t="s">
        <v>255</v>
      </c>
      <c r="C98" s="373" t="s">
        <v>176</v>
      </c>
      <c r="D98" s="330">
        <f>1754294.48*461.03</f>
        <v>808782384.11439991</v>
      </c>
      <c r="E98" s="337">
        <f t="shared" si="27"/>
        <v>2.4407039712206272E-3</v>
      </c>
      <c r="F98" s="330">
        <f>101.42*461.03</f>
        <v>46757.662599999996</v>
      </c>
      <c r="G98" s="330">
        <f>101.42*461.03</f>
        <v>46757.662599999996</v>
      </c>
      <c r="H98" s="338">
        <v>1.8E-3</v>
      </c>
      <c r="I98" s="338">
        <v>3.8199999999999998E-2</v>
      </c>
      <c r="J98" s="330">
        <f>1778343.24*461.31</f>
        <v>820367520.04439998</v>
      </c>
      <c r="K98" s="337">
        <f t="shared" si="28"/>
        <v>2.4886195008469313E-3</v>
      </c>
      <c r="L98" s="330">
        <f>101.62*461.31</f>
        <v>46878.322200000002</v>
      </c>
      <c r="M98" s="330">
        <f>101.62*461.31</f>
        <v>46878.322200000002</v>
      </c>
      <c r="N98" s="338">
        <v>1.9E-3</v>
      </c>
      <c r="O98" s="338">
        <v>4.0099999999999997E-2</v>
      </c>
      <c r="P98" s="333">
        <f t="shared" si="29"/>
        <v>1.4324169464553253E-2</v>
      </c>
      <c r="Q98" s="333">
        <f t="shared" si="30"/>
        <v>2.5805310464772106E-3</v>
      </c>
      <c r="R98" s="333">
        <f t="shared" si="31"/>
        <v>1.0000000000000005E-4</v>
      </c>
      <c r="S98" s="368">
        <f t="shared" si="32"/>
        <v>1.8999999999999989E-3</v>
      </c>
      <c r="U98" s="336"/>
      <c r="V98" s="335"/>
    </row>
    <row r="99" spans="1:43" s="334" customFormat="1" ht="12.95" customHeight="1">
      <c r="A99" s="397">
        <v>84</v>
      </c>
      <c r="B99" s="372" t="s">
        <v>130</v>
      </c>
      <c r="C99" s="373" t="s">
        <v>91</v>
      </c>
      <c r="D99" s="330">
        <f>1722269.22*461.03</f>
        <v>794017778.49659991</v>
      </c>
      <c r="E99" s="337">
        <f t="shared" si="27"/>
        <v>2.3961480656115685E-3</v>
      </c>
      <c r="F99" s="330">
        <f>125.160912*461.03</f>
        <v>57702.935259359998</v>
      </c>
      <c r="G99" s="330">
        <f>128.553101*461.03</f>
        <v>59266.836154029996</v>
      </c>
      <c r="H99" s="338">
        <v>1.6799999999999999E-2</v>
      </c>
      <c r="I99" s="338">
        <v>0.39240000000000003</v>
      </c>
      <c r="J99" s="330">
        <f>1711619.73*461.31</f>
        <v>789587297.64629996</v>
      </c>
      <c r="K99" s="337">
        <f t="shared" si="28"/>
        <v>2.3952463969286147E-3</v>
      </c>
      <c r="L99" s="330">
        <f>127.32*461.31</f>
        <v>58733.989199999996</v>
      </c>
      <c r="M99" s="330">
        <f>130.84*461.31</f>
        <v>60357.8004</v>
      </c>
      <c r="N99" s="338">
        <v>2.0000000000000001E-4</v>
      </c>
      <c r="O99" s="338">
        <v>6.0900000000000003E-2</v>
      </c>
      <c r="P99" s="333">
        <f t="shared" si="29"/>
        <v>-5.5798257548951421E-3</v>
      </c>
      <c r="Q99" s="333">
        <f t="shared" si="30"/>
        <v>1.8407668044480581E-2</v>
      </c>
      <c r="R99" s="333">
        <f t="shared" si="31"/>
        <v>-1.66E-2</v>
      </c>
      <c r="S99" s="368">
        <f t="shared" si="32"/>
        <v>-0.33150000000000002</v>
      </c>
      <c r="U99" s="336"/>
      <c r="V99" s="335"/>
    </row>
    <row r="100" spans="1:43" s="334" customFormat="1" ht="12.95" customHeight="1">
      <c r="A100" s="401">
        <v>85</v>
      </c>
      <c r="B100" s="372" t="s">
        <v>257</v>
      </c>
      <c r="C100" s="373" t="s">
        <v>41</v>
      </c>
      <c r="D100" s="330">
        <v>67931334769.089996</v>
      </c>
      <c r="E100" s="337">
        <f t="shared" si="27"/>
        <v>0.20499986374305584</v>
      </c>
      <c r="F100" s="330">
        <v>59234.32</v>
      </c>
      <c r="G100" s="330">
        <v>59234.32</v>
      </c>
      <c r="H100" s="338">
        <v>6.4000000000000001E-2</v>
      </c>
      <c r="I100" s="338">
        <v>6.1899999999999997E-2</v>
      </c>
      <c r="J100" s="330">
        <v>68183648509.949997</v>
      </c>
      <c r="K100" s="337">
        <f t="shared" si="28"/>
        <v>0.20683797587643493</v>
      </c>
      <c r="L100" s="330">
        <v>59293.22</v>
      </c>
      <c r="M100" s="330">
        <v>59234.32</v>
      </c>
      <c r="N100" s="338">
        <v>6.2700000000000006E-2</v>
      </c>
      <c r="O100" s="338">
        <v>6.1899999999999997E-2</v>
      </c>
      <c r="P100" s="333">
        <f t="shared" si="29"/>
        <v>3.7142467716504814E-3</v>
      </c>
      <c r="Q100" s="333">
        <f t="shared" si="30"/>
        <v>0</v>
      </c>
      <c r="R100" s="333">
        <f t="shared" si="31"/>
        <v>-1.2999999999999956E-3</v>
      </c>
      <c r="S100" s="368">
        <f t="shared" si="32"/>
        <v>0</v>
      </c>
      <c r="U100" s="336"/>
      <c r="V100" s="335"/>
    </row>
    <row r="101" spans="1:43" s="114" customFormat="1" ht="4.5" customHeight="1">
      <c r="A101" s="411"/>
      <c r="B101" s="412"/>
      <c r="C101" s="413"/>
      <c r="D101" s="413"/>
      <c r="E101" s="413"/>
      <c r="F101" s="413"/>
      <c r="G101" s="413"/>
      <c r="H101" s="413"/>
      <c r="I101" s="413"/>
      <c r="J101" s="413"/>
      <c r="K101" s="413"/>
      <c r="L101" s="413"/>
      <c r="M101" s="413"/>
      <c r="N101" s="413"/>
      <c r="O101" s="413"/>
      <c r="P101" s="413"/>
      <c r="Q101" s="413"/>
      <c r="R101" s="413"/>
      <c r="S101" s="426"/>
      <c r="U101" s="178"/>
      <c r="V101" s="133"/>
    </row>
    <row r="102" spans="1:43" s="114" customFormat="1" ht="12.95" customHeight="1">
      <c r="A102" s="422" t="s">
        <v>201</v>
      </c>
      <c r="B102" s="423"/>
      <c r="C102" s="424"/>
      <c r="D102" s="424"/>
      <c r="E102" s="424"/>
      <c r="F102" s="424"/>
      <c r="G102" s="424"/>
      <c r="H102" s="424"/>
      <c r="I102" s="424"/>
      <c r="J102" s="424"/>
      <c r="K102" s="424"/>
      <c r="L102" s="424"/>
      <c r="M102" s="424"/>
      <c r="N102" s="424"/>
      <c r="O102" s="424"/>
      <c r="P102" s="424"/>
      <c r="Q102" s="424"/>
      <c r="R102" s="424"/>
      <c r="S102" s="425"/>
      <c r="T102" s="179"/>
      <c r="U102" s="178"/>
      <c r="V102" s="133"/>
      <c r="AG102" s="114">
        <v>136.96</v>
      </c>
      <c r="AQ102" s="123">
        <v>185280902</v>
      </c>
    </row>
    <row r="103" spans="1:43" s="114" customFormat="1" ht="12.95" customHeight="1">
      <c r="A103" s="402">
        <v>86</v>
      </c>
      <c r="B103" s="372" t="s">
        <v>151</v>
      </c>
      <c r="C103" s="373" t="s">
        <v>150</v>
      </c>
      <c r="D103" s="329">
        <v>390563596.22000003</v>
      </c>
      <c r="E103" s="337">
        <f>(D103/$D$112)</f>
        <v>1.178623742345913E-3</v>
      </c>
      <c r="F103" s="330">
        <v>42122.03</v>
      </c>
      <c r="G103" s="330">
        <v>42122.03</v>
      </c>
      <c r="H103" s="338">
        <v>-1.6000000000000001E-3</v>
      </c>
      <c r="I103" s="338">
        <v>5.1999999999999998E-2</v>
      </c>
      <c r="J103" s="329">
        <v>392500040.07999998</v>
      </c>
      <c r="K103" s="337">
        <f t="shared" ref="K103:K111" si="33">(J103/$J$112)</f>
        <v>1.1906654395257195E-3</v>
      </c>
      <c r="L103" s="330">
        <v>42333.79</v>
      </c>
      <c r="M103" s="330">
        <v>42333.79</v>
      </c>
      <c r="N103" s="338">
        <v>2.8999999999999998E-3</v>
      </c>
      <c r="O103" s="338">
        <v>5.1299999999999998E-2</v>
      </c>
      <c r="P103" s="333">
        <f t="shared" ref="P103:P111" si="34">((J103-D103)/D103)</f>
        <v>4.9580756597426912E-3</v>
      </c>
      <c r="Q103" s="333">
        <f t="shared" ref="Q103:Q111" si="35">((M103-G103)/G103)</f>
        <v>5.027298067068516E-3</v>
      </c>
      <c r="R103" s="333">
        <f t="shared" ref="R103:R111" si="36">N103-H103</f>
        <v>4.4999999999999997E-3</v>
      </c>
      <c r="S103" s="368">
        <f t="shared" ref="S103:S111" si="37">O103-I103</f>
        <v>-6.9999999999999923E-4</v>
      </c>
      <c r="T103"/>
      <c r="U103" s="427"/>
      <c r="V103" s="133"/>
    </row>
    <row r="104" spans="1:43" s="114" customFormat="1" ht="12.95" customHeight="1">
      <c r="A104" s="402">
        <v>87</v>
      </c>
      <c r="B104" s="373" t="s">
        <v>232</v>
      </c>
      <c r="C104" s="373" t="s">
        <v>81</v>
      </c>
      <c r="D104" s="330">
        <f>6439295.42*461.03</f>
        <v>2968708367.4825997</v>
      </c>
      <c r="E104" s="337">
        <f>(D104/$J$112)</f>
        <v>9.0057021458440998E-3</v>
      </c>
      <c r="F104" s="329">
        <f>125.97*461.03</f>
        <v>58075.949099999998</v>
      </c>
      <c r="G104" s="329">
        <f>126.86*461.03</f>
        <v>58486.265799999994</v>
      </c>
      <c r="H104" s="338">
        <v>8.0000000000000004E-4</v>
      </c>
      <c r="I104" s="338">
        <v>1.6799999999999999E-2</v>
      </c>
      <c r="J104" s="330">
        <f>6247220.02 *461.31</f>
        <v>2881905067.4261999</v>
      </c>
      <c r="K104" s="337">
        <f t="shared" si="33"/>
        <v>8.7423806710415219E-3</v>
      </c>
      <c r="L104" s="329">
        <f>126.08*461.31</f>
        <v>58161.964800000002</v>
      </c>
      <c r="M104" s="329">
        <f>126.96*461.31</f>
        <v>58567.917600000001</v>
      </c>
      <c r="N104" s="338">
        <v>8.0000000000000004E-4</v>
      </c>
      <c r="O104" s="338">
        <v>1.7600000000000001E-2</v>
      </c>
      <c r="P104" s="333">
        <f t="shared" si="34"/>
        <v>-2.9239416376222613E-2</v>
      </c>
      <c r="Q104" s="333">
        <f t="shared" si="35"/>
        <v>1.3960850275383271E-3</v>
      </c>
      <c r="R104" s="333">
        <f t="shared" si="36"/>
        <v>0</v>
      </c>
      <c r="S104" s="368">
        <f t="shared" si="37"/>
        <v>8.000000000000021E-4</v>
      </c>
      <c r="U104" s="427"/>
      <c r="V104" s="134"/>
    </row>
    <row r="105" spans="1:43" s="114" customFormat="1" ht="12.75" customHeight="1">
      <c r="A105" s="397">
        <v>88</v>
      </c>
      <c r="B105" s="372" t="s">
        <v>145</v>
      </c>
      <c r="C105" s="373" t="s">
        <v>89</v>
      </c>
      <c r="D105" s="329">
        <v>5686187129.4399996</v>
      </c>
      <c r="E105" s="337">
        <f t="shared" ref="E105:E111" si="38">(D105/$D$112)</f>
        <v>1.715949775924494E-2</v>
      </c>
      <c r="F105" s="329">
        <v>51007.199999999997</v>
      </c>
      <c r="G105" s="329">
        <v>51007.199999999997</v>
      </c>
      <c r="H105" s="338">
        <v>-4.0500000000000001E-2</v>
      </c>
      <c r="I105" s="338">
        <v>6.0100000000000001E-2</v>
      </c>
      <c r="J105" s="329">
        <v>5680666365.0200005</v>
      </c>
      <c r="K105" s="337">
        <f t="shared" si="33"/>
        <v>1.7232541206688559E-2</v>
      </c>
      <c r="L105" s="329">
        <v>51067.06</v>
      </c>
      <c r="M105" s="329">
        <v>51067.06</v>
      </c>
      <c r="N105" s="338">
        <v>1.1999999999999999E-3</v>
      </c>
      <c r="O105" s="338">
        <v>6.0299999999999999E-2</v>
      </c>
      <c r="P105" s="333">
        <f t="shared" si="34"/>
        <v>-9.7090797300982096E-4</v>
      </c>
      <c r="Q105" s="333">
        <f t="shared" si="35"/>
        <v>1.1735598111639255E-3</v>
      </c>
      <c r="R105" s="333">
        <f t="shared" si="36"/>
        <v>4.1700000000000001E-2</v>
      </c>
      <c r="S105" s="368">
        <f t="shared" si="37"/>
        <v>1.9999999999999879E-4</v>
      </c>
      <c r="T105" s="180"/>
      <c r="U105" s="181"/>
      <c r="V105" s="182"/>
      <c r="W105" s="189"/>
      <c r="X105" s="187"/>
      <c r="Y105" s="144"/>
    </row>
    <row r="106" spans="1:43" s="114" customFormat="1" ht="12.95" customHeight="1" thickBot="1">
      <c r="A106" s="405">
        <v>89</v>
      </c>
      <c r="B106" s="372" t="s">
        <v>156</v>
      </c>
      <c r="C106" s="373" t="s">
        <v>7</v>
      </c>
      <c r="D106" s="329">
        <v>1701605744.8269351</v>
      </c>
      <c r="E106" s="337">
        <f t="shared" si="38"/>
        <v>5.1350226963690739E-3</v>
      </c>
      <c r="F106" s="329">
        <v>535.97687989856763</v>
      </c>
      <c r="G106" s="329">
        <v>535.97687989856763</v>
      </c>
      <c r="H106" s="338">
        <v>5.3632730627527048E-2</v>
      </c>
      <c r="I106" s="338">
        <v>5.5722693693737751E-2</v>
      </c>
      <c r="J106" s="329">
        <v>1667048332.0026059</v>
      </c>
      <c r="K106" s="337">
        <f t="shared" si="33"/>
        <v>5.0570614834330599E-3</v>
      </c>
      <c r="L106" s="329">
        <v>536.88120254257319</v>
      </c>
      <c r="M106" s="329">
        <v>536.88120254257319</v>
      </c>
      <c r="N106" s="338">
        <v>5.4265800402271823E-2</v>
      </c>
      <c r="O106" s="338">
        <v>5.5704395923649334E-2</v>
      </c>
      <c r="P106" s="333">
        <f t="shared" si="34"/>
        <v>-2.0308707189892489E-2</v>
      </c>
      <c r="Q106" s="333">
        <f t="shared" si="35"/>
        <v>1.687241890315682E-3</v>
      </c>
      <c r="R106" s="333">
        <f t="shared" si="36"/>
        <v>6.3306977474477527E-4</v>
      </c>
      <c r="S106" s="368">
        <f t="shared" si="37"/>
        <v>-1.8297770088417098E-5</v>
      </c>
      <c r="T106" s="169"/>
      <c r="U106" s="163"/>
      <c r="V106" s="182"/>
      <c r="W106" s="189"/>
      <c r="X106" s="187"/>
      <c r="Y106" s="145"/>
    </row>
    <row r="107" spans="1:43" s="114" customFormat="1" ht="12.75" customHeight="1">
      <c r="A107" s="401">
        <v>90</v>
      </c>
      <c r="B107" s="373" t="s">
        <v>196</v>
      </c>
      <c r="C107" s="404" t="s">
        <v>9</v>
      </c>
      <c r="D107" s="330">
        <v>4794772026.1099997</v>
      </c>
      <c r="E107" s="337">
        <f t="shared" si="38"/>
        <v>1.4469428804434678E-2</v>
      </c>
      <c r="F107" s="329">
        <f>1.0107*461.03</f>
        <v>465.96302099999997</v>
      </c>
      <c r="G107" s="329">
        <f>1.0107*461.03</f>
        <v>465.96302099999997</v>
      </c>
      <c r="H107" s="338">
        <v>1.6000000000000001E-3</v>
      </c>
      <c r="I107" s="338">
        <v>9.2399999999999996E-2</v>
      </c>
      <c r="J107" s="330">
        <v>4757962328.3800001</v>
      </c>
      <c r="K107" s="337">
        <f t="shared" si="33"/>
        <v>1.4433479562989879E-2</v>
      </c>
      <c r="L107" s="329">
        <f>1.0125*461.31</f>
        <v>467.07637499999998</v>
      </c>
      <c r="M107" s="329">
        <f>1.0125*461.31</f>
        <v>467.07637499999998</v>
      </c>
      <c r="N107" s="338">
        <v>1.6000000000000001E-3</v>
      </c>
      <c r="O107" s="338">
        <v>9.3299999999999994E-2</v>
      </c>
      <c r="P107" s="333">
        <f t="shared" si="34"/>
        <v>-7.677048570724908E-3</v>
      </c>
      <c r="Q107" s="333">
        <f t="shared" si="35"/>
        <v>2.3893612793793252E-3</v>
      </c>
      <c r="R107" s="333">
        <f t="shared" si="36"/>
        <v>0</v>
      </c>
      <c r="S107" s="368">
        <f t="shared" si="37"/>
        <v>8.9999999999999802E-4</v>
      </c>
      <c r="U107" s="187"/>
      <c r="V107" s="187"/>
      <c r="W107" s="187"/>
      <c r="X107" s="189"/>
    </row>
    <row r="108" spans="1:43" s="114" customFormat="1" ht="12.75" customHeight="1">
      <c r="A108" s="405">
        <v>91</v>
      </c>
      <c r="B108" s="372" t="s">
        <v>164</v>
      </c>
      <c r="C108" s="373" t="s">
        <v>163</v>
      </c>
      <c r="D108" s="329">
        <v>102366570.39</v>
      </c>
      <c r="E108" s="337">
        <f t="shared" si="38"/>
        <v>3.0891683570072516E-4</v>
      </c>
      <c r="F108" s="329">
        <v>399.47</v>
      </c>
      <c r="G108" s="329">
        <v>399.47</v>
      </c>
      <c r="H108" s="338">
        <v>2.8310000000000002E-3</v>
      </c>
      <c r="I108" s="338">
        <v>1.0039999999999999E-3</v>
      </c>
      <c r="J108" s="329">
        <v>104206974.76000001</v>
      </c>
      <c r="K108" s="337">
        <f t="shared" si="33"/>
        <v>3.1611625664795264E-4</v>
      </c>
      <c r="L108" s="329">
        <v>409.024</v>
      </c>
      <c r="M108" s="329">
        <v>409.024</v>
      </c>
      <c r="N108" s="338">
        <v>1.7322000000000001E-2</v>
      </c>
      <c r="O108" s="338">
        <v>1.8343000000000002E-2</v>
      </c>
      <c r="P108" s="333">
        <f t="shared" si="34"/>
        <v>1.7978568227775563E-2</v>
      </c>
      <c r="Q108" s="333">
        <f t="shared" si="35"/>
        <v>2.3916689613738135E-2</v>
      </c>
      <c r="R108" s="333">
        <f t="shared" si="36"/>
        <v>1.4491E-2</v>
      </c>
      <c r="S108" s="368">
        <f t="shared" si="37"/>
        <v>1.7339E-2</v>
      </c>
      <c r="U108" s="187"/>
      <c r="V108" s="187"/>
      <c r="W108" s="187"/>
      <c r="X108" s="189"/>
    </row>
    <row r="109" spans="1:43" s="114" customFormat="1" ht="12.75" customHeight="1">
      <c r="A109" s="401">
        <v>92</v>
      </c>
      <c r="B109" s="372" t="s">
        <v>94</v>
      </c>
      <c r="C109" s="373" t="s">
        <v>5</v>
      </c>
      <c r="D109" s="330">
        <v>201739663926.91</v>
      </c>
      <c r="E109" s="337">
        <f t="shared" si="38"/>
        <v>0.60880010318013711</v>
      </c>
      <c r="F109" s="329">
        <v>646.79999999999995</v>
      </c>
      <c r="G109" s="329">
        <v>646.79999999999995</v>
      </c>
      <c r="H109" s="338">
        <v>1.4E-3</v>
      </c>
      <c r="I109" s="338">
        <v>2.5100000000000001E-2</v>
      </c>
      <c r="J109" s="330">
        <v>199657203553.20999</v>
      </c>
      <c r="K109" s="337">
        <f t="shared" si="33"/>
        <v>0.60566855477188064</v>
      </c>
      <c r="L109" s="329">
        <v>648.48</v>
      </c>
      <c r="M109" s="329">
        <v>648.48</v>
      </c>
      <c r="N109" s="338">
        <v>1.1000000000000001E-3</v>
      </c>
      <c r="O109" s="338">
        <v>2.6200000000000001E-2</v>
      </c>
      <c r="P109" s="333">
        <f t="shared" si="34"/>
        <v>-1.032251334796753E-2</v>
      </c>
      <c r="Q109" s="333">
        <f t="shared" si="35"/>
        <v>2.5974025974026958E-3</v>
      </c>
      <c r="R109" s="333">
        <f t="shared" si="36"/>
        <v>-2.9999999999999992E-4</v>
      </c>
      <c r="S109" s="368">
        <f t="shared" si="37"/>
        <v>1.1000000000000003E-3</v>
      </c>
      <c r="T109"/>
      <c r="U109" s="296"/>
      <c r="V109" s="296"/>
      <c r="W109" s="296"/>
      <c r="X109" s="297"/>
    </row>
    <row r="110" spans="1:43" s="334" customFormat="1" ht="12.75" customHeight="1">
      <c r="A110" s="401">
        <v>93</v>
      </c>
      <c r="B110" s="372" t="s">
        <v>258</v>
      </c>
      <c r="C110" s="373" t="s">
        <v>41</v>
      </c>
      <c r="D110" s="330">
        <v>4847511381.1099997</v>
      </c>
      <c r="E110" s="337">
        <f t="shared" si="38"/>
        <v>1.4628583053731367E-2</v>
      </c>
      <c r="F110" s="330">
        <v>475.55</v>
      </c>
      <c r="G110" s="330">
        <v>475.55</v>
      </c>
      <c r="H110" s="338">
        <v>7.9100000000000004E-2</v>
      </c>
      <c r="I110" s="338">
        <v>8.3699999999999997E-2</v>
      </c>
      <c r="J110" s="330">
        <v>4797721501.9499998</v>
      </c>
      <c r="K110" s="337">
        <f t="shared" si="33"/>
        <v>1.4554090694301495E-2</v>
      </c>
      <c r="L110" s="330">
        <v>476.12</v>
      </c>
      <c r="M110" s="330">
        <v>475.55</v>
      </c>
      <c r="N110" s="338">
        <v>7.3499999999999996E-2</v>
      </c>
      <c r="O110" s="338">
        <v>8.3199999999999996E-2</v>
      </c>
      <c r="P110" s="333">
        <f t="shared" si="34"/>
        <v>-1.0271224809089317E-2</v>
      </c>
      <c r="Q110" s="333">
        <f t="shared" si="35"/>
        <v>0</v>
      </c>
      <c r="R110" s="333">
        <f t="shared" si="36"/>
        <v>-5.6000000000000077E-3</v>
      </c>
      <c r="S110" s="368">
        <f t="shared" si="37"/>
        <v>-5.0000000000000044E-4</v>
      </c>
      <c r="T110" s="360"/>
      <c r="U110" s="359"/>
      <c r="V110" s="359"/>
      <c r="W110" s="359"/>
      <c r="X110" s="358"/>
    </row>
    <row r="111" spans="1:43" s="114" customFormat="1" ht="12.95" customHeight="1">
      <c r="A111" s="402">
        <v>94</v>
      </c>
      <c r="B111" s="372" t="s">
        <v>126</v>
      </c>
      <c r="C111" s="373" t="s">
        <v>248</v>
      </c>
      <c r="D111" s="329">
        <v>5503802123.8999996</v>
      </c>
      <c r="E111" s="337">
        <f t="shared" si="38"/>
        <v>1.6609105198704687E-2</v>
      </c>
      <c r="F111" s="329">
        <v>460.17</v>
      </c>
      <c r="G111" s="329">
        <v>460.17</v>
      </c>
      <c r="H111" s="338">
        <v>1.2929442186924156E-3</v>
      </c>
      <c r="I111" s="338">
        <v>4.8999999999999998E-3</v>
      </c>
      <c r="J111" s="329">
        <v>5537273782.9099998</v>
      </c>
      <c r="K111" s="337">
        <f t="shared" si="33"/>
        <v>1.6797553756068343E-2</v>
      </c>
      <c r="L111" s="329">
        <v>460.84</v>
      </c>
      <c r="M111" s="329">
        <v>460.84</v>
      </c>
      <c r="N111" s="338">
        <v>1.6000000000000001E-3</v>
      </c>
      <c r="O111" s="338">
        <v>6.4999999999999997E-3</v>
      </c>
      <c r="P111" s="333">
        <f t="shared" si="34"/>
        <v>6.0815520355739418E-3</v>
      </c>
      <c r="Q111" s="333">
        <f t="shared" si="35"/>
        <v>1.45598365821318E-3</v>
      </c>
      <c r="R111" s="333">
        <f t="shared" si="36"/>
        <v>3.0705578130758447E-4</v>
      </c>
      <c r="S111" s="368">
        <f t="shared" si="37"/>
        <v>1.5999999999999999E-3</v>
      </c>
      <c r="U111" s="187"/>
      <c r="V111" s="187"/>
      <c r="W111" s="187"/>
      <c r="X111" s="189"/>
    </row>
    <row r="112" spans="1:43" s="114" customFormat="1" ht="13.5" customHeight="1">
      <c r="A112" s="218"/>
      <c r="C112" s="290" t="s">
        <v>42</v>
      </c>
      <c r="D112" s="76">
        <f>SUM(D91:D111)</f>
        <v>331372584980.02832</v>
      </c>
      <c r="E112" s="266">
        <f>(D112/$D$168)</f>
        <v>0.20170307350671188</v>
      </c>
      <c r="F112" s="268"/>
      <c r="G112" s="73"/>
      <c r="H112" s="280"/>
      <c r="I112" s="280"/>
      <c r="J112" s="76">
        <f>SUM(J91:J111)</f>
        <v>329647629846.67249</v>
      </c>
      <c r="K112" s="266">
        <f>(J112/$J$168)</f>
        <v>0.20173446006514614</v>
      </c>
      <c r="L112" s="268"/>
      <c r="M112" s="73"/>
      <c r="N112" s="282"/>
      <c r="O112" s="282"/>
      <c r="P112" s="270">
        <f t="shared" ref="P112" si="39">((J112-D112)/D112)</f>
        <v>-5.2054853404960985E-3</v>
      </c>
      <c r="Q112" s="270"/>
      <c r="R112" s="270">
        <f t="shared" ref="R112:S112" si="40">N112-H112</f>
        <v>0</v>
      </c>
      <c r="S112" s="368">
        <f t="shared" si="40"/>
        <v>0</v>
      </c>
      <c r="U112" s="187"/>
      <c r="V112" s="187"/>
      <c r="W112" s="187"/>
      <c r="X112" s="187"/>
    </row>
    <row r="113" spans="1:23" s="114" customFormat="1" ht="4.5" customHeight="1">
      <c r="A113" s="411"/>
      <c r="B113" s="412"/>
      <c r="C113" s="413"/>
      <c r="D113" s="413"/>
      <c r="E113" s="413"/>
      <c r="F113" s="413"/>
      <c r="G113" s="413"/>
      <c r="H113" s="413"/>
      <c r="I113" s="413"/>
      <c r="J113" s="413"/>
      <c r="K113" s="413"/>
      <c r="L113" s="413"/>
      <c r="M113" s="413"/>
      <c r="N113" s="413"/>
      <c r="O113" s="413"/>
      <c r="P113" s="413"/>
      <c r="Q113" s="413"/>
      <c r="R113" s="413"/>
      <c r="S113" s="426"/>
      <c r="T113" s="120"/>
      <c r="U113" s="135"/>
    </row>
    <row r="114" spans="1:23" s="114" customFormat="1" ht="12.95" customHeight="1">
      <c r="A114" s="414" t="s">
        <v>216</v>
      </c>
      <c r="B114" s="415"/>
      <c r="C114" s="416"/>
      <c r="D114" s="416"/>
      <c r="E114" s="416"/>
      <c r="F114" s="416"/>
      <c r="G114" s="416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7"/>
    </row>
    <row r="115" spans="1:23" s="114" customFormat="1" ht="12.95" customHeight="1">
      <c r="A115" s="401">
        <v>95</v>
      </c>
      <c r="B115" s="372" t="s">
        <v>229</v>
      </c>
      <c r="C115" s="373" t="s">
        <v>9</v>
      </c>
      <c r="D115" s="330">
        <v>54330953714</v>
      </c>
      <c r="E115" s="337">
        <f>(D115/$D$119)</f>
        <v>0.5768031215808761</v>
      </c>
      <c r="F115" s="331">
        <v>101.68</v>
      </c>
      <c r="G115" s="331">
        <v>101.68</v>
      </c>
      <c r="H115" s="338">
        <v>0</v>
      </c>
      <c r="I115" s="338">
        <v>7.6999999999999999E-2</v>
      </c>
      <c r="J115" s="330">
        <v>54330953714</v>
      </c>
      <c r="K115" s="337">
        <f>(J115/$J$119)</f>
        <v>0.57674642040569335</v>
      </c>
      <c r="L115" s="331">
        <v>101.54</v>
      </c>
      <c r="M115" s="331">
        <v>101.54</v>
      </c>
      <c r="N115" s="338">
        <v>0</v>
      </c>
      <c r="O115" s="338">
        <v>7.6999999999999999E-2</v>
      </c>
      <c r="P115" s="333">
        <f>((J115-D115)/D115)</f>
        <v>0</v>
      </c>
      <c r="Q115" s="333">
        <f>((M115-G115)/G115)</f>
        <v>-1.3768686073957568E-3</v>
      </c>
      <c r="R115" s="333">
        <f t="shared" ref="R115:S118" si="41">N115-H115</f>
        <v>0</v>
      </c>
      <c r="S115" s="368">
        <f t="shared" si="41"/>
        <v>0</v>
      </c>
    </row>
    <row r="116" spans="1:23" s="114" customFormat="1" ht="12.95" customHeight="1">
      <c r="A116" s="397">
        <v>96</v>
      </c>
      <c r="B116" s="372" t="s">
        <v>143</v>
      </c>
      <c r="C116" s="373" t="s">
        <v>20</v>
      </c>
      <c r="D116" s="330">
        <v>2364368561.3600001</v>
      </c>
      <c r="E116" s="337">
        <f>(D116/$D$119)</f>
        <v>2.5101255794976331E-2</v>
      </c>
      <c r="F116" s="331">
        <v>77</v>
      </c>
      <c r="G116" s="331">
        <v>77</v>
      </c>
      <c r="H116" s="338">
        <v>0.1016</v>
      </c>
      <c r="I116" s="338">
        <v>0.13950000000000001</v>
      </c>
      <c r="J116" s="330">
        <v>2369507527.9499998</v>
      </c>
      <c r="K116" s="337">
        <f>(J116/$J$119)</f>
        <v>2.5153340618008682E-2</v>
      </c>
      <c r="L116" s="331">
        <v>77</v>
      </c>
      <c r="M116" s="331">
        <v>77</v>
      </c>
      <c r="N116" s="338">
        <v>0.1147</v>
      </c>
      <c r="O116" s="338">
        <v>0.14019999999999999</v>
      </c>
      <c r="P116" s="333">
        <f>((J116-D116)/D116)</f>
        <v>2.1735048731335309E-3</v>
      </c>
      <c r="Q116" s="333">
        <f>((M116-G116)/G116)</f>
        <v>0</v>
      </c>
      <c r="R116" s="333">
        <f t="shared" si="41"/>
        <v>1.3100000000000001E-2</v>
      </c>
      <c r="S116" s="368">
        <f t="shared" si="41"/>
        <v>6.9999999999997842E-4</v>
      </c>
      <c r="T116" s="136"/>
      <c r="U116" s="168"/>
    </row>
    <row r="117" spans="1:23" s="114" customFormat="1" ht="12.95" customHeight="1">
      <c r="A117" s="397">
        <v>97</v>
      </c>
      <c r="B117" s="372" t="s">
        <v>21</v>
      </c>
      <c r="C117" s="373" t="s">
        <v>20</v>
      </c>
      <c r="D117" s="330">
        <v>10224711101.32</v>
      </c>
      <c r="E117" s="337">
        <f>(D117/$D$119)</f>
        <v>0.10855037280496528</v>
      </c>
      <c r="F117" s="331">
        <v>36.6</v>
      </c>
      <c r="G117" s="331">
        <v>36.6</v>
      </c>
      <c r="H117" s="338">
        <v>0.1057</v>
      </c>
      <c r="I117" s="338">
        <v>0.1895</v>
      </c>
      <c r="J117" s="330">
        <v>10229848237.83</v>
      </c>
      <c r="K117" s="337">
        <f>(J117/$J$119)</f>
        <v>0.10859423494606581</v>
      </c>
      <c r="L117" s="331">
        <v>36.6</v>
      </c>
      <c r="M117" s="331">
        <v>36.6</v>
      </c>
      <c r="N117" s="338">
        <v>2.8799999999999999E-2</v>
      </c>
      <c r="O117" s="338">
        <v>0.184</v>
      </c>
      <c r="P117" s="333">
        <f>((J117-D117)/D117)</f>
        <v>5.0242363418336879E-4</v>
      </c>
      <c r="Q117" s="333">
        <f>((M117-G117)/G117)</f>
        <v>0</v>
      </c>
      <c r="R117" s="333">
        <f t="shared" si="41"/>
        <v>-7.6899999999999996E-2</v>
      </c>
      <c r="S117" s="368">
        <f t="shared" si="41"/>
        <v>-5.5000000000000049E-3</v>
      </c>
      <c r="T117" s="137"/>
      <c r="U117" s="115"/>
    </row>
    <row r="118" spans="1:23" s="138" customFormat="1" ht="12.95" customHeight="1">
      <c r="A118" s="401">
        <v>98</v>
      </c>
      <c r="B118" s="372" t="s">
        <v>186</v>
      </c>
      <c r="C118" s="373" t="s">
        <v>5</v>
      </c>
      <c r="D118" s="330">
        <v>27273204629.889999</v>
      </c>
      <c r="E118" s="337">
        <f>(D118/$D$119)</f>
        <v>0.28954524981918217</v>
      </c>
      <c r="F118" s="331">
        <v>3.35</v>
      </c>
      <c r="G118" s="331">
        <v>3.35</v>
      </c>
      <c r="H118" s="338">
        <v>0</v>
      </c>
      <c r="I118" s="338">
        <v>0.05</v>
      </c>
      <c r="J118" s="330">
        <v>27272188865.650002</v>
      </c>
      <c r="K118" s="337">
        <f>(J118/$J$119)</f>
        <v>0.28950600403023224</v>
      </c>
      <c r="L118" s="331">
        <v>3.35</v>
      </c>
      <c r="M118" s="331">
        <v>3.35</v>
      </c>
      <c r="N118" s="338">
        <v>0</v>
      </c>
      <c r="O118" s="338">
        <v>0.1167</v>
      </c>
      <c r="P118" s="333">
        <f>((J118-D118)/D118)</f>
        <v>-3.7244036913969383E-5</v>
      </c>
      <c r="Q118" s="333">
        <f>((M118-G118)/G118)</f>
        <v>0</v>
      </c>
      <c r="R118" s="333">
        <f t="shared" si="41"/>
        <v>0</v>
      </c>
      <c r="S118" s="368">
        <f t="shared" si="41"/>
        <v>6.6699999999999995E-2</v>
      </c>
      <c r="T118" s="137"/>
      <c r="U118" s="163"/>
    </row>
    <row r="119" spans="1:23" s="114" customFormat="1" ht="12.75" customHeight="1">
      <c r="A119" s="218"/>
      <c r="C119" s="248" t="s">
        <v>42</v>
      </c>
      <c r="D119" s="70">
        <f>SUM(D115:D118)</f>
        <v>94193238006.570007</v>
      </c>
      <c r="E119" s="266">
        <f>(D119/$D$168)</f>
        <v>5.7334452126205498E-2</v>
      </c>
      <c r="F119" s="72"/>
      <c r="G119" s="72"/>
      <c r="H119" s="249"/>
      <c r="I119" s="249"/>
      <c r="J119" s="70">
        <f>SUM(J115:J118)</f>
        <v>94202498345.429993</v>
      </c>
      <c r="K119" s="266">
        <f>(J119/$J$168)</f>
        <v>5.7649102920419401E-2</v>
      </c>
      <c r="L119" s="268"/>
      <c r="M119" s="72"/>
      <c r="N119" s="269"/>
      <c r="O119" s="269"/>
      <c r="P119" s="270">
        <f>((J119-D119)/D119)</f>
        <v>9.8312140616075224E-5</v>
      </c>
      <c r="Q119" s="270"/>
      <c r="R119" s="270">
        <f>N119-H119</f>
        <v>0</v>
      </c>
      <c r="S119" s="368">
        <f t="shared" ref="S119" si="42">O119-I119</f>
        <v>0</v>
      </c>
      <c r="T119" s="163"/>
      <c r="U119" s="163"/>
      <c r="V119" s="183"/>
      <c r="W119" s="407"/>
    </row>
    <row r="120" spans="1:23" s="114" customFormat="1" ht="5.25" customHeight="1">
      <c r="A120" s="411"/>
      <c r="B120" s="412"/>
      <c r="C120" s="413"/>
      <c r="D120" s="413"/>
      <c r="E120" s="413"/>
      <c r="F120" s="413"/>
      <c r="G120" s="413"/>
      <c r="H120" s="413"/>
      <c r="I120" s="413"/>
      <c r="J120" s="413"/>
      <c r="K120" s="413"/>
      <c r="L120" s="413"/>
      <c r="M120" s="413"/>
      <c r="N120" s="413"/>
      <c r="O120" s="413"/>
      <c r="P120" s="413"/>
      <c r="Q120" s="413"/>
      <c r="R120" s="413"/>
      <c r="S120" s="426"/>
      <c r="T120" s="163"/>
      <c r="U120" s="163"/>
      <c r="V120" s="183"/>
      <c r="W120" s="407"/>
    </row>
    <row r="121" spans="1:23" s="114" customFormat="1" ht="12" customHeight="1">
      <c r="A121" s="418" t="s">
        <v>226</v>
      </c>
      <c r="B121" s="419"/>
      <c r="C121" s="420"/>
      <c r="D121" s="420"/>
      <c r="E121" s="420"/>
      <c r="F121" s="420"/>
      <c r="G121" s="420"/>
      <c r="H121" s="420"/>
      <c r="I121" s="420"/>
      <c r="J121" s="420"/>
      <c r="K121" s="420"/>
      <c r="L121" s="420"/>
      <c r="M121" s="420"/>
      <c r="N121" s="420"/>
      <c r="O121" s="420"/>
      <c r="P121" s="420"/>
      <c r="Q121" s="420"/>
      <c r="R121" s="420"/>
      <c r="S121" s="421"/>
      <c r="T121" s="187"/>
      <c r="U121" s="189"/>
      <c r="V121" s="183"/>
      <c r="W121" s="407"/>
    </row>
    <row r="122" spans="1:23" s="114" customFormat="1" ht="12" customHeight="1">
      <c r="A122" s="397">
        <v>99</v>
      </c>
      <c r="B122" s="372" t="s">
        <v>118</v>
      </c>
      <c r="C122" s="373" t="s">
        <v>36</v>
      </c>
      <c r="D122" s="329">
        <v>171930951.83000001</v>
      </c>
      <c r="E122" s="337">
        <f t="shared" ref="E122:E145" si="43">(D122/$D$146)</f>
        <v>5.4127345015647079E-3</v>
      </c>
      <c r="F122" s="329">
        <v>3.86</v>
      </c>
      <c r="G122" s="329">
        <v>3.92</v>
      </c>
      <c r="H122" s="319">
        <v>2.6890000000000001E-2</v>
      </c>
      <c r="I122" s="319">
        <v>2.8403000000000001E-2</v>
      </c>
      <c r="J122" s="329">
        <v>173805872.94</v>
      </c>
      <c r="K122" s="318">
        <f t="shared" ref="K122:K134" si="44">(J122/$J$146)</f>
        <v>5.4285064119360474E-3</v>
      </c>
      <c r="L122" s="329">
        <v>3.91</v>
      </c>
      <c r="M122" s="329">
        <v>3.96</v>
      </c>
      <c r="N122" s="319">
        <v>1.1259999999999999E-2</v>
      </c>
      <c r="O122" s="319">
        <v>3.9662000000000003E-2</v>
      </c>
      <c r="P122" s="333">
        <f t="shared" ref="P122:P145" si="45">((J122-D122)/D122)</f>
        <v>1.0905081895049637E-2</v>
      </c>
      <c r="Q122" s="333">
        <f t="shared" ref="Q122:Q145" si="46">((M122-G122)/G122)</f>
        <v>1.0204081632653071E-2</v>
      </c>
      <c r="R122" s="333">
        <f t="shared" ref="R122:R145" si="47">N122-H122</f>
        <v>-1.5630000000000002E-2</v>
      </c>
      <c r="S122" s="368">
        <f t="shared" ref="S122:S145" si="48">O122-I122</f>
        <v>1.1259000000000002E-2</v>
      </c>
      <c r="T122" s="409"/>
      <c r="U122" s="169"/>
      <c r="V122" s="187"/>
    </row>
    <row r="123" spans="1:23" s="114" customFormat="1" ht="12" customHeight="1">
      <c r="A123" s="398">
        <v>100</v>
      </c>
      <c r="B123" s="372" t="s">
        <v>158</v>
      </c>
      <c r="C123" s="373" t="s">
        <v>6</v>
      </c>
      <c r="D123" s="329">
        <v>4935775290.6000004</v>
      </c>
      <c r="E123" s="337">
        <f t="shared" si="43"/>
        <v>0.15538820045512913</v>
      </c>
      <c r="F123" s="329">
        <v>543.47630000000004</v>
      </c>
      <c r="G123" s="329">
        <v>559.86249999999995</v>
      </c>
      <c r="H123" s="319">
        <v>7.6E-3</v>
      </c>
      <c r="I123" s="319">
        <v>8.9499999999999996E-2</v>
      </c>
      <c r="J123" s="329">
        <v>4941603561.1999998</v>
      </c>
      <c r="K123" s="318">
        <f t="shared" si="44"/>
        <v>0.15434188824264136</v>
      </c>
      <c r="L123" s="329">
        <v>544.33209999999997</v>
      </c>
      <c r="M123" s="329">
        <v>560.7441</v>
      </c>
      <c r="N123" s="319">
        <v>8.2100000000000006E-2</v>
      </c>
      <c r="O123" s="319">
        <v>8.9200000000000002E-2</v>
      </c>
      <c r="P123" s="333">
        <f t="shared" si="45"/>
        <v>1.1808217061864935E-3</v>
      </c>
      <c r="Q123" s="333">
        <f t="shared" si="46"/>
        <v>1.5746723525866596E-3</v>
      </c>
      <c r="R123" s="333">
        <f t="shared" si="47"/>
        <v>7.4500000000000011E-2</v>
      </c>
      <c r="S123" s="368">
        <f t="shared" si="48"/>
        <v>-2.9999999999999472E-4</v>
      </c>
      <c r="T123" s="409"/>
      <c r="W123" s="190"/>
    </row>
    <row r="124" spans="1:23" s="114" customFormat="1" ht="12" customHeight="1">
      <c r="A124" s="397">
        <v>101</v>
      </c>
      <c r="B124" s="372" t="s">
        <v>246</v>
      </c>
      <c r="C124" s="373" t="s">
        <v>12</v>
      </c>
      <c r="D124" s="329">
        <v>2699776971.6500001</v>
      </c>
      <c r="E124" s="337">
        <f t="shared" si="43"/>
        <v>8.4994445766977983E-2</v>
      </c>
      <c r="F124" s="329">
        <v>14.835800000000001</v>
      </c>
      <c r="G124" s="329">
        <v>14.969200000000001</v>
      </c>
      <c r="H124" s="338">
        <v>6.7999999999999996E-3</v>
      </c>
      <c r="I124" s="338">
        <v>6.9500000000000006E-2</v>
      </c>
      <c r="J124" s="329">
        <v>2718917482.6599998</v>
      </c>
      <c r="K124" s="318">
        <f t="shared" si="44"/>
        <v>8.4920381218878876E-2</v>
      </c>
      <c r="L124" s="329">
        <v>14.880100000000001</v>
      </c>
      <c r="M124" s="329">
        <v>15.014799999999999</v>
      </c>
      <c r="N124" s="338">
        <v>8.9999999999999993E-3</v>
      </c>
      <c r="O124" s="338">
        <v>7.2700000000000001E-2</v>
      </c>
      <c r="P124" s="333">
        <f t="shared" si="45"/>
        <v>7.0896637800054296E-3</v>
      </c>
      <c r="Q124" s="333">
        <f t="shared" si="46"/>
        <v>3.0462549768857741E-3</v>
      </c>
      <c r="R124" s="333">
        <f t="shared" si="47"/>
        <v>2.1999999999999997E-3</v>
      </c>
      <c r="S124" s="368">
        <f t="shared" si="48"/>
        <v>3.1999999999999945E-3</v>
      </c>
      <c r="T124" s="189"/>
      <c r="U124" s="115"/>
      <c r="W124" s="190"/>
    </row>
    <row r="125" spans="1:23" s="114" customFormat="1" ht="12" customHeight="1">
      <c r="A125" s="397">
        <v>102</v>
      </c>
      <c r="B125" s="372" t="s">
        <v>146</v>
      </c>
      <c r="C125" s="373" t="s">
        <v>104</v>
      </c>
      <c r="D125" s="330">
        <v>1047558751.25</v>
      </c>
      <c r="E125" s="337">
        <f t="shared" si="43"/>
        <v>3.2979270660429959E-2</v>
      </c>
      <c r="F125" s="329">
        <v>2.4409999999999998</v>
      </c>
      <c r="G125" s="329">
        <v>2.4914000000000001</v>
      </c>
      <c r="H125" s="338">
        <v>0.74941690368586422</v>
      </c>
      <c r="I125" s="338">
        <v>0.22025825612426594</v>
      </c>
      <c r="J125" s="330">
        <v>1072807293.22</v>
      </c>
      <c r="K125" s="318">
        <f t="shared" si="44"/>
        <v>3.3507160440009731E-2</v>
      </c>
      <c r="L125" s="329">
        <v>2.4992000000000001</v>
      </c>
      <c r="M125" s="329">
        <v>2.5520999999999998</v>
      </c>
      <c r="N125" s="338">
        <v>1.2703987431048469</v>
      </c>
      <c r="O125" s="338">
        <v>0.27688015694755463</v>
      </c>
      <c r="P125" s="333">
        <f t="shared" si="45"/>
        <v>2.4102268192473398E-2</v>
      </c>
      <c r="Q125" s="333">
        <f t="shared" si="46"/>
        <v>2.4363811511599803E-2</v>
      </c>
      <c r="R125" s="333">
        <f t="shared" si="47"/>
        <v>0.52098183941898268</v>
      </c>
      <c r="S125" s="368">
        <f t="shared" si="48"/>
        <v>5.662190082328869E-2</v>
      </c>
      <c r="T125" s="189"/>
      <c r="U125" s="115"/>
      <c r="W125" s="190"/>
    </row>
    <row r="126" spans="1:23" s="114" customFormat="1" ht="12" customHeight="1">
      <c r="A126" s="405">
        <v>103</v>
      </c>
      <c r="B126" s="372" t="s">
        <v>275</v>
      </c>
      <c r="C126" s="373" t="s">
        <v>7</v>
      </c>
      <c r="D126" s="330">
        <v>2369343849.3488002</v>
      </c>
      <c r="E126" s="337">
        <f t="shared" si="43"/>
        <v>7.4591741992570251E-2</v>
      </c>
      <c r="F126" s="329">
        <v>4441.2447802207798</v>
      </c>
      <c r="G126" s="329">
        <v>4469.4253479082499</v>
      </c>
      <c r="H126" s="338">
        <v>-0.32979802287613258</v>
      </c>
      <c r="I126" s="338">
        <v>0.15331246488385908</v>
      </c>
      <c r="J126" s="330">
        <v>2386581991.5784502</v>
      </c>
      <c r="K126" s="318">
        <f t="shared" si="44"/>
        <v>7.4540494085416478E-2</v>
      </c>
      <c r="L126" s="329">
        <v>4476.17831630607</v>
      </c>
      <c r="M126" s="329">
        <v>4504.8489558523297</v>
      </c>
      <c r="N126" s="338">
        <v>0.41014050603614288</v>
      </c>
      <c r="O126" s="338">
        <v>0.16739143292419784</v>
      </c>
      <c r="P126" s="333">
        <f t="shared" si="45"/>
        <v>7.2754920035721362E-3</v>
      </c>
      <c r="Q126" s="333">
        <f t="shared" si="46"/>
        <v>7.9257634229551437E-3</v>
      </c>
      <c r="R126" s="333">
        <f t="shared" si="47"/>
        <v>0.73993852891227552</v>
      </c>
      <c r="S126" s="368">
        <f t="shared" si="48"/>
        <v>1.4078968040338757E-2</v>
      </c>
      <c r="T126" s="189"/>
      <c r="U126" s="115"/>
      <c r="W126" s="190"/>
    </row>
    <row r="127" spans="1:23" s="114" customFormat="1" ht="12" customHeight="1">
      <c r="A127" s="397">
        <v>104</v>
      </c>
      <c r="B127" s="372" t="s">
        <v>159</v>
      </c>
      <c r="C127" s="373" t="s">
        <v>89</v>
      </c>
      <c r="D127" s="329">
        <v>361009987.01999998</v>
      </c>
      <c r="E127" s="337">
        <f t="shared" si="43"/>
        <v>1.136532538995472E-2</v>
      </c>
      <c r="F127" s="329">
        <v>143.08000000000001</v>
      </c>
      <c r="G127" s="329">
        <v>144.01</v>
      </c>
      <c r="H127" s="338">
        <v>2.3999999999999998E-3</v>
      </c>
      <c r="I127" s="338">
        <v>3.9199999999999999E-2</v>
      </c>
      <c r="J127" s="329">
        <v>354647768.31999999</v>
      </c>
      <c r="K127" s="318">
        <f t="shared" si="44"/>
        <v>1.107677002933345E-2</v>
      </c>
      <c r="L127" s="329">
        <v>133.99</v>
      </c>
      <c r="M127" s="329">
        <v>134.91</v>
      </c>
      <c r="N127" s="338">
        <v>1.47E-2</v>
      </c>
      <c r="O127" s="338">
        <v>5.7599999999999998E-2</v>
      </c>
      <c r="P127" s="333">
        <f t="shared" si="45"/>
        <v>-1.7623386966431821E-2</v>
      </c>
      <c r="Q127" s="333">
        <f t="shared" si="46"/>
        <v>-6.3190056246093987E-2</v>
      </c>
      <c r="R127" s="333">
        <f t="shared" si="47"/>
        <v>1.23E-2</v>
      </c>
      <c r="S127" s="368">
        <f t="shared" si="48"/>
        <v>1.84E-2</v>
      </c>
      <c r="U127" s="115"/>
      <c r="W127" s="190"/>
    </row>
    <row r="128" spans="1:23" s="114" customFormat="1" ht="12" customHeight="1">
      <c r="A128" s="405">
        <v>105</v>
      </c>
      <c r="B128" s="372" t="s">
        <v>184</v>
      </c>
      <c r="C128" s="373" t="s">
        <v>182</v>
      </c>
      <c r="D128" s="329">
        <v>3734808.11</v>
      </c>
      <c r="E128" s="337">
        <f t="shared" si="43"/>
        <v>1.1757932180651894E-4</v>
      </c>
      <c r="F128" s="329">
        <v>102.747</v>
      </c>
      <c r="G128" s="329">
        <v>102.99</v>
      </c>
      <c r="H128" s="338">
        <v>0</v>
      </c>
      <c r="I128" s="338">
        <v>0</v>
      </c>
      <c r="J128" s="329">
        <v>3734808.11</v>
      </c>
      <c r="K128" s="318">
        <f t="shared" si="44"/>
        <v>1.1664985440097723E-4</v>
      </c>
      <c r="L128" s="329">
        <v>102.747</v>
      </c>
      <c r="M128" s="329">
        <v>102.99</v>
      </c>
      <c r="N128" s="338">
        <v>0</v>
      </c>
      <c r="O128" s="338">
        <v>0</v>
      </c>
      <c r="P128" s="333">
        <f t="shared" si="45"/>
        <v>0</v>
      </c>
      <c r="Q128" s="333">
        <f t="shared" si="46"/>
        <v>0</v>
      </c>
      <c r="R128" s="333">
        <f t="shared" si="47"/>
        <v>0</v>
      </c>
      <c r="S128" s="368">
        <f t="shared" si="48"/>
        <v>0</v>
      </c>
      <c r="U128" s="115"/>
    </row>
    <row r="129" spans="1:22" s="114" customFormat="1" ht="12" customHeight="1">
      <c r="A129" s="405">
        <v>106</v>
      </c>
      <c r="B129" s="372" t="s">
        <v>111</v>
      </c>
      <c r="C129" s="373" t="s">
        <v>109</v>
      </c>
      <c r="D129" s="329">
        <v>127934595.36</v>
      </c>
      <c r="E129" s="337">
        <f t="shared" si="43"/>
        <v>4.0276401129535474E-3</v>
      </c>
      <c r="F129" s="329">
        <v>1.1826000000000001</v>
      </c>
      <c r="G129" s="329">
        <v>1.1929000000000001</v>
      </c>
      <c r="H129" s="338">
        <v>3.0000000000000001E-3</v>
      </c>
      <c r="I129" s="338">
        <v>-1.55E-2</v>
      </c>
      <c r="J129" s="329">
        <v>129271344.36</v>
      </c>
      <c r="K129" s="318">
        <f t="shared" si="44"/>
        <v>4.037552413318656E-3</v>
      </c>
      <c r="L129" s="329">
        <v>1.1949000000000001</v>
      </c>
      <c r="M129" s="329">
        <v>1.2055</v>
      </c>
      <c r="N129" s="338">
        <v>1.04E-2</v>
      </c>
      <c r="O129" s="338">
        <v>-5.1999999999999998E-3</v>
      </c>
      <c r="P129" s="333">
        <f t="shared" si="45"/>
        <v>1.0448690569102683E-2</v>
      </c>
      <c r="Q129" s="333">
        <f t="shared" si="46"/>
        <v>1.0562494760667234E-2</v>
      </c>
      <c r="R129" s="333">
        <f t="shared" si="47"/>
        <v>7.3999999999999995E-3</v>
      </c>
      <c r="S129" s="368">
        <f t="shared" si="48"/>
        <v>1.03E-2</v>
      </c>
      <c r="U129" s="113"/>
    </row>
    <row r="130" spans="1:22" s="114" customFormat="1" ht="11.25" customHeight="1">
      <c r="A130" s="401">
        <v>107</v>
      </c>
      <c r="B130" s="372" t="s">
        <v>239</v>
      </c>
      <c r="C130" s="373" t="s">
        <v>100</v>
      </c>
      <c r="D130" s="325">
        <v>168041733.13999999</v>
      </c>
      <c r="E130" s="337">
        <f t="shared" si="43"/>
        <v>5.29029402203832E-3</v>
      </c>
      <c r="F130" s="329">
        <v>106.28</v>
      </c>
      <c r="G130" s="329">
        <v>108.5</v>
      </c>
      <c r="H130" s="338">
        <v>8.9999999999999998E-4</v>
      </c>
      <c r="I130" s="338">
        <v>3.2800000000000003E-2</v>
      </c>
      <c r="J130" s="325">
        <v>168041733.13999999</v>
      </c>
      <c r="K130" s="318">
        <f t="shared" si="44"/>
        <v>5.2484741188132608E-3</v>
      </c>
      <c r="L130" s="329">
        <v>106.51</v>
      </c>
      <c r="M130" s="329">
        <v>108.8</v>
      </c>
      <c r="N130" s="338">
        <v>3.3999999999999998E-3</v>
      </c>
      <c r="O130" s="338">
        <v>3.5299999999999998E-2</v>
      </c>
      <c r="P130" s="333">
        <f t="shared" si="45"/>
        <v>0</v>
      </c>
      <c r="Q130" s="333">
        <f t="shared" si="46"/>
        <v>2.7649769585253196E-3</v>
      </c>
      <c r="R130" s="333">
        <f t="shared" si="47"/>
        <v>2.4999999999999996E-3</v>
      </c>
      <c r="S130" s="368">
        <f t="shared" si="48"/>
        <v>2.4999999999999953E-3</v>
      </c>
    </row>
    <row r="131" spans="1:22" s="114" customFormat="1" ht="12" customHeight="1">
      <c r="A131" s="396">
        <v>108</v>
      </c>
      <c r="B131" s="372" t="s">
        <v>273</v>
      </c>
      <c r="C131" s="373" t="s">
        <v>172</v>
      </c>
      <c r="D131" s="330">
        <v>234160705.58000001</v>
      </c>
      <c r="E131" s="337">
        <f t="shared" si="43"/>
        <v>7.3718531568231918E-3</v>
      </c>
      <c r="F131" s="329">
        <v>1.0678000000000001</v>
      </c>
      <c r="G131" s="329">
        <v>1.0678000000000001</v>
      </c>
      <c r="H131" s="338">
        <v>-6.8651176787742837E-2</v>
      </c>
      <c r="I131" s="338">
        <v>0.15583018936932252</v>
      </c>
      <c r="J131" s="330">
        <v>246046830.84</v>
      </c>
      <c r="K131" s="318">
        <f t="shared" si="44"/>
        <v>7.6848197144211185E-3</v>
      </c>
      <c r="L131" s="329">
        <v>1.1079000000000001</v>
      </c>
      <c r="M131" s="329">
        <v>1.1779000000000002</v>
      </c>
      <c r="N131" s="338">
        <v>1.8376942972654007</v>
      </c>
      <c r="O131" s="338">
        <v>0.24574380046608038</v>
      </c>
      <c r="P131" s="333">
        <f t="shared" si="45"/>
        <v>5.0760545970165542E-2</v>
      </c>
      <c r="Q131" s="333">
        <f t="shared" si="46"/>
        <v>0.10310919647874141</v>
      </c>
      <c r="R131" s="333">
        <f t="shared" si="47"/>
        <v>1.9063454740531436</v>
      </c>
      <c r="S131" s="368">
        <f t="shared" si="48"/>
        <v>8.9913611096757856E-2</v>
      </c>
    </row>
    <row r="132" spans="1:22" s="114" customFormat="1" ht="12" customHeight="1">
      <c r="A132" s="398">
        <v>109</v>
      </c>
      <c r="B132" s="372" t="s">
        <v>195</v>
      </c>
      <c r="C132" s="373" t="s">
        <v>189</v>
      </c>
      <c r="D132" s="329">
        <v>5206895677.54</v>
      </c>
      <c r="E132" s="337">
        <f t="shared" si="43"/>
        <v>0.16392361921974302</v>
      </c>
      <c r="F132" s="329">
        <v>213.71</v>
      </c>
      <c r="G132" s="329">
        <v>215.13</v>
      </c>
      <c r="H132" s="338">
        <v>2.0999999999999999E-3</v>
      </c>
      <c r="I132" s="338">
        <v>7.0199999999999999E-2</v>
      </c>
      <c r="J132" s="329">
        <v>5224725272.5</v>
      </c>
      <c r="K132" s="318">
        <f t="shared" si="44"/>
        <v>0.16318467358212713</v>
      </c>
      <c r="L132" s="329">
        <v>214.5</v>
      </c>
      <c r="M132" s="329">
        <v>215.92</v>
      </c>
      <c r="N132" s="338">
        <v>3.7000000000000002E-3</v>
      </c>
      <c r="O132" s="338">
        <v>7.4099999999999999E-2</v>
      </c>
      <c r="P132" s="333">
        <f t="shared" si="45"/>
        <v>3.4242274215149316E-3</v>
      </c>
      <c r="Q132" s="333">
        <f t="shared" si="46"/>
        <v>3.6721982057360296E-3</v>
      </c>
      <c r="R132" s="333">
        <f t="shared" si="47"/>
        <v>1.6000000000000003E-3</v>
      </c>
      <c r="S132" s="368">
        <f t="shared" si="48"/>
        <v>3.9000000000000007E-3</v>
      </c>
    </row>
    <row r="133" spans="1:22" s="114" customFormat="1" ht="12" customHeight="1">
      <c r="A133" s="396">
        <v>110</v>
      </c>
      <c r="B133" s="372" t="s">
        <v>185</v>
      </c>
      <c r="C133" s="373" t="s">
        <v>179</v>
      </c>
      <c r="D133" s="329">
        <v>1974540457.4000001</v>
      </c>
      <c r="E133" s="337">
        <f t="shared" si="43"/>
        <v>6.2162531788179536E-2</v>
      </c>
      <c r="F133" s="329">
        <v>1.3605</v>
      </c>
      <c r="G133" s="329">
        <v>1.3720000000000001</v>
      </c>
      <c r="H133" s="338">
        <v>1.0932944606412789E-3</v>
      </c>
      <c r="I133" s="338">
        <v>5.7514628888204487E-2</v>
      </c>
      <c r="J133" s="329">
        <v>2010814602.6300001</v>
      </c>
      <c r="K133" s="318">
        <f t="shared" si="44"/>
        <v>6.2804091593382669E-2</v>
      </c>
      <c r="L133" s="329">
        <v>1.3854</v>
      </c>
      <c r="M133" s="329">
        <v>1.4098999999999999</v>
      </c>
      <c r="N133" s="338">
        <v>1.47E-2</v>
      </c>
      <c r="O133" s="338">
        <v>7.6899999999999996E-2</v>
      </c>
      <c r="P133" s="333">
        <f t="shared" si="45"/>
        <v>1.837093035701301E-2</v>
      </c>
      <c r="Q133" s="333">
        <f t="shared" si="46"/>
        <v>2.7623906705539228E-2</v>
      </c>
      <c r="R133" s="333">
        <f t="shared" si="47"/>
        <v>1.3606705539358721E-2</v>
      </c>
      <c r="S133" s="368">
        <f t="shared" si="48"/>
        <v>1.9385371111795509E-2</v>
      </c>
    </row>
    <row r="134" spans="1:22" s="114" customFormat="1" ht="12" customHeight="1">
      <c r="A134" s="397">
        <v>111</v>
      </c>
      <c r="B134" s="372" t="s">
        <v>261</v>
      </c>
      <c r="C134" s="373" t="s">
        <v>88</v>
      </c>
      <c r="D134" s="329">
        <v>137636606.43044761</v>
      </c>
      <c r="E134" s="337">
        <f t="shared" si="43"/>
        <v>4.3330790667697235E-3</v>
      </c>
      <c r="F134" s="329">
        <v>89.91</v>
      </c>
      <c r="G134" s="329">
        <v>94.17</v>
      </c>
      <c r="H134" s="338">
        <v>3.7000000000000002E-3</v>
      </c>
      <c r="I134" s="338">
        <v>5.5999999999999999E-3</v>
      </c>
      <c r="J134" s="329">
        <v>144623718.08643621</v>
      </c>
      <c r="K134" s="318">
        <f t="shared" si="44"/>
        <v>4.5170555382859452E-3</v>
      </c>
      <c r="L134" s="329">
        <v>90.18</v>
      </c>
      <c r="M134" s="329">
        <v>94.47</v>
      </c>
      <c r="N134" s="338">
        <v>4.1000000000000003E-3</v>
      </c>
      <c r="O134" s="338">
        <v>5.1999999999999998E-3</v>
      </c>
      <c r="P134" s="333">
        <f t="shared" si="45"/>
        <v>5.0764922480992916E-2</v>
      </c>
      <c r="Q134" s="333">
        <f t="shared" si="46"/>
        <v>3.1857279388339934E-3</v>
      </c>
      <c r="R134" s="333">
        <f t="shared" si="47"/>
        <v>4.0000000000000018E-4</v>
      </c>
      <c r="S134" s="368">
        <f t="shared" si="48"/>
        <v>-4.0000000000000018E-4</v>
      </c>
    </row>
    <row r="135" spans="1:22" s="114" customFormat="1" ht="12" customHeight="1">
      <c r="A135" s="396">
        <v>112</v>
      </c>
      <c r="B135" s="372" t="s">
        <v>132</v>
      </c>
      <c r="C135" s="373" t="s">
        <v>105</v>
      </c>
      <c r="D135" s="330">
        <v>164324644.02000001</v>
      </c>
      <c r="E135" s="337">
        <f t="shared" si="43"/>
        <v>5.1732725299156665E-3</v>
      </c>
      <c r="F135" s="329">
        <v>148.51593800000001</v>
      </c>
      <c r="G135" s="329">
        <v>153.242255</v>
      </c>
      <c r="H135" s="338">
        <v>3.0999999999999999E-3</v>
      </c>
      <c r="I135" s="338">
        <v>1.77E-2</v>
      </c>
      <c r="J135" s="330">
        <v>164855421.06</v>
      </c>
      <c r="K135" s="318">
        <v>1.4052378000000001</v>
      </c>
      <c r="L135" s="329">
        <v>148.99565200000001</v>
      </c>
      <c r="M135" s="329">
        <v>153.811879</v>
      </c>
      <c r="N135" s="338">
        <v>2.0999999999999999E-3</v>
      </c>
      <c r="O135" s="338">
        <v>2.1399999999999999E-2</v>
      </c>
      <c r="P135" s="333">
        <f t="shared" si="45"/>
        <v>3.230051360618743E-3</v>
      </c>
      <c r="Q135" s="333">
        <f t="shared" si="46"/>
        <v>3.7171470753938236E-3</v>
      </c>
      <c r="R135" s="333">
        <f t="shared" si="47"/>
        <v>-1E-3</v>
      </c>
      <c r="S135" s="368">
        <f t="shared" si="48"/>
        <v>3.6999999999999984E-3</v>
      </c>
    </row>
    <row r="136" spans="1:22" s="114" customFormat="1" ht="12" customHeight="1">
      <c r="A136" s="402">
        <v>113</v>
      </c>
      <c r="B136" s="372" t="s">
        <v>27</v>
      </c>
      <c r="C136" s="373" t="s">
        <v>57</v>
      </c>
      <c r="D136" s="330">
        <v>1222906333</v>
      </c>
      <c r="E136" s="337">
        <f t="shared" si="43"/>
        <v>3.8499567590110279E-2</v>
      </c>
      <c r="F136" s="329">
        <v>552.20000000000005</v>
      </c>
      <c r="G136" s="329">
        <v>552.20000000000005</v>
      </c>
      <c r="H136" s="338">
        <v>1.057E-2</v>
      </c>
      <c r="I136" s="338">
        <v>6.25E-2</v>
      </c>
      <c r="J136" s="330">
        <v>1224031404.8800001</v>
      </c>
      <c r="K136" s="318">
        <f t="shared" ref="K136:K145" si="49">(J136/$J$146)</f>
        <v>3.8230367118238809E-2</v>
      </c>
      <c r="L136" s="329">
        <v>552.20000000000005</v>
      </c>
      <c r="M136" s="329">
        <v>552.20000000000005</v>
      </c>
      <c r="N136" s="338">
        <v>-8.9999999999999998E-4</v>
      </c>
      <c r="O136" s="338">
        <v>6.3500000000000001E-2</v>
      </c>
      <c r="P136" s="333">
        <f t="shared" si="45"/>
        <v>9.1999840841458329E-4</v>
      </c>
      <c r="Q136" s="333">
        <f t="shared" si="46"/>
        <v>0</v>
      </c>
      <c r="R136" s="333">
        <f t="shared" si="47"/>
        <v>-1.1469999999999999E-2</v>
      </c>
      <c r="S136" s="368">
        <f t="shared" si="48"/>
        <v>1.0000000000000009E-3</v>
      </c>
      <c r="T136" s="228"/>
      <c r="U136" s="228"/>
      <c r="V136" s="113"/>
    </row>
    <row r="137" spans="1:22" s="114" customFormat="1" ht="12" customHeight="1">
      <c r="A137" s="402">
        <v>114</v>
      </c>
      <c r="B137" s="372" t="s">
        <v>191</v>
      </c>
      <c r="C137" s="373" t="s">
        <v>163</v>
      </c>
      <c r="D137" s="330">
        <v>20434272.059999999</v>
      </c>
      <c r="E137" s="337">
        <f t="shared" si="43"/>
        <v>6.4331226120870196E-4</v>
      </c>
      <c r="F137" s="329">
        <v>1.27</v>
      </c>
      <c r="G137" s="329">
        <v>1.27</v>
      </c>
      <c r="H137" s="338">
        <v>1.8595E-2</v>
      </c>
      <c r="I137" s="338">
        <v>3.0488999999999999E-2</v>
      </c>
      <c r="J137" s="330">
        <v>20648687.989999998</v>
      </c>
      <c r="K137" s="318">
        <f t="shared" si="49"/>
        <v>6.4492374886824025E-4</v>
      </c>
      <c r="L137" s="329">
        <v>1.29</v>
      </c>
      <c r="M137" s="329">
        <v>1.29</v>
      </c>
      <c r="N137" s="338">
        <v>1.0493000000000001E-2</v>
      </c>
      <c r="O137" s="338">
        <v>6.2504000000000004E-2</v>
      </c>
      <c r="P137" s="333">
        <f t="shared" si="45"/>
        <v>1.0492956605961902E-2</v>
      </c>
      <c r="Q137" s="333">
        <f t="shared" si="46"/>
        <v>1.5748031496063006E-2</v>
      </c>
      <c r="R137" s="333">
        <f t="shared" si="47"/>
        <v>-8.1019999999999998E-3</v>
      </c>
      <c r="S137" s="368">
        <f t="shared" si="48"/>
        <v>3.2015000000000002E-2</v>
      </c>
      <c r="U137" s="223"/>
      <c r="V137" s="113"/>
    </row>
    <row r="138" spans="1:22" s="114" customFormat="1" ht="12" customHeight="1">
      <c r="A138" s="397">
        <v>115</v>
      </c>
      <c r="B138" s="372" t="s">
        <v>48</v>
      </c>
      <c r="C138" s="373" t="s">
        <v>91</v>
      </c>
      <c r="D138" s="329">
        <v>194737320.71000001</v>
      </c>
      <c r="E138" s="337">
        <f t="shared" si="43"/>
        <v>6.1307251738564892E-3</v>
      </c>
      <c r="F138" s="329">
        <v>1.9739359999999999</v>
      </c>
      <c r="G138" s="329">
        <v>2.0239989999999999</v>
      </c>
      <c r="H138" s="338">
        <v>0.01</v>
      </c>
      <c r="I138" s="338">
        <v>0.38640000000000002</v>
      </c>
      <c r="J138" s="329">
        <v>198997979.69</v>
      </c>
      <c r="K138" s="318">
        <f t="shared" si="49"/>
        <v>6.2153354799604757E-3</v>
      </c>
      <c r="L138" s="329">
        <v>2.016988</v>
      </c>
      <c r="M138" s="329">
        <v>2.0679259999999999</v>
      </c>
      <c r="N138" s="338">
        <v>1E-4</v>
      </c>
      <c r="O138" s="338">
        <v>2.9700000000000001E-2</v>
      </c>
      <c r="P138" s="333">
        <f t="shared" si="45"/>
        <v>2.187900585499428E-2</v>
      </c>
      <c r="Q138" s="333">
        <f t="shared" si="46"/>
        <v>2.1703073963969376E-2</v>
      </c>
      <c r="R138" s="333">
        <f t="shared" si="47"/>
        <v>-9.9000000000000008E-3</v>
      </c>
      <c r="S138" s="368">
        <f t="shared" si="48"/>
        <v>-0.35670000000000002</v>
      </c>
    </row>
    <row r="139" spans="1:22" s="114" customFormat="1" ht="12" customHeight="1">
      <c r="A139" s="401">
        <v>116</v>
      </c>
      <c r="B139" s="372" t="s">
        <v>22</v>
      </c>
      <c r="C139" s="373" t="s">
        <v>5</v>
      </c>
      <c r="D139" s="330">
        <v>1724095028.71</v>
      </c>
      <c r="E139" s="337">
        <f t="shared" si="43"/>
        <v>5.4278002573393956E-2</v>
      </c>
      <c r="F139" s="329">
        <v>3890.51</v>
      </c>
      <c r="G139" s="329">
        <v>3916.1</v>
      </c>
      <c r="H139" s="338">
        <v>6.9999999999999999E-4</v>
      </c>
      <c r="I139" s="338">
        <v>6.5000000000000002E-2</v>
      </c>
      <c r="J139" s="330">
        <v>1751839197.8299999</v>
      </c>
      <c r="K139" s="337">
        <f t="shared" si="49"/>
        <v>5.4715471676748138E-2</v>
      </c>
      <c r="L139" s="329">
        <v>3950.97</v>
      </c>
      <c r="M139" s="329">
        <v>3977.15</v>
      </c>
      <c r="N139" s="338">
        <v>1.5599999999999999E-2</v>
      </c>
      <c r="O139" s="338">
        <v>8.1600000000000006E-2</v>
      </c>
      <c r="P139" s="333">
        <f t="shared" si="45"/>
        <v>1.609201851289983E-2</v>
      </c>
      <c r="Q139" s="333">
        <f t="shared" si="46"/>
        <v>1.5589489543167995E-2</v>
      </c>
      <c r="R139" s="333">
        <f t="shared" si="47"/>
        <v>1.49E-2</v>
      </c>
      <c r="S139" s="368">
        <f t="shared" si="48"/>
        <v>1.6600000000000004E-2</v>
      </c>
      <c r="T139" s="113"/>
      <c r="V139" s="141"/>
    </row>
    <row r="140" spans="1:22" s="114" customFormat="1" ht="12" customHeight="1">
      <c r="A140" s="397">
        <v>117</v>
      </c>
      <c r="B140" s="372" t="s">
        <v>253</v>
      </c>
      <c r="C140" s="373" t="s">
        <v>251</v>
      </c>
      <c r="D140" s="325">
        <v>59095586</v>
      </c>
      <c r="E140" s="337">
        <f t="shared" si="43"/>
        <v>1.8604487082038643E-3</v>
      </c>
      <c r="F140" s="329">
        <v>109.0129</v>
      </c>
      <c r="G140" s="329">
        <v>109.3357</v>
      </c>
      <c r="H140" s="338">
        <v>5.0915000000000002E-2</v>
      </c>
      <c r="I140" s="338">
        <v>2.4878000000000001E-2</v>
      </c>
      <c r="J140" s="325">
        <v>59941821.270000003</v>
      </c>
      <c r="K140" s="318">
        <f t="shared" si="49"/>
        <v>1.8721724162891198E-3</v>
      </c>
      <c r="L140" s="329">
        <v>110.5441</v>
      </c>
      <c r="M140" s="329">
        <v>110.8775</v>
      </c>
      <c r="N140" s="338">
        <v>6.0985400000000002E-2</v>
      </c>
      <c r="O140" s="338">
        <v>3.5470000000000002E-2</v>
      </c>
      <c r="P140" s="333">
        <f t="shared" si="45"/>
        <v>1.4319771192386574E-2</v>
      </c>
      <c r="Q140" s="333">
        <f t="shared" si="46"/>
        <v>1.4101524021888504E-2</v>
      </c>
      <c r="R140" s="333">
        <f t="shared" si="47"/>
        <v>1.00704E-2</v>
      </c>
      <c r="S140" s="368">
        <f t="shared" si="48"/>
        <v>1.0592000000000001E-2</v>
      </c>
      <c r="T140" s="120"/>
      <c r="V140" s="141"/>
    </row>
    <row r="141" spans="1:22" s="114" customFormat="1" ht="12" customHeight="1">
      <c r="A141" s="401">
        <v>118</v>
      </c>
      <c r="B141" s="372" t="s">
        <v>75</v>
      </c>
      <c r="C141" s="373" t="s">
        <v>41</v>
      </c>
      <c r="D141" s="329">
        <v>1223917806.3</v>
      </c>
      <c r="E141" s="337">
        <f t="shared" si="43"/>
        <v>3.8531410817696982E-2</v>
      </c>
      <c r="F141" s="329">
        <v>1.5597000000000001</v>
      </c>
      <c r="G141" s="329">
        <v>1.5713999999999999</v>
      </c>
      <c r="H141" s="338">
        <v>-6.9999999999999999E-4</v>
      </c>
      <c r="I141" s="338">
        <v>0.13850000000000001</v>
      </c>
      <c r="J141" s="329">
        <v>1225013501.0599999</v>
      </c>
      <c r="K141" s="318">
        <f t="shared" si="49"/>
        <v>3.8261041084084069E-2</v>
      </c>
      <c r="L141" s="329">
        <v>1.5610999999999999</v>
      </c>
      <c r="M141" s="329">
        <v>1.5728</v>
      </c>
      <c r="N141" s="338">
        <v>8.9999999999999998E-4</v>
      </c>
      <c r="O141" s="338">
        <v>0.1396</v>
      </c>
      <c r="P141" s="333">
        <f t="shared" si="45"/>
        <v>8.9523557412107769E-4</v>
      </c>
      <c r="Q141" s="333">
        <f t="shared" si="46"/>
        <v>8.9092528955076237E-4</v>
      </c>
      <c r="R141" s="333">
        <f t="shared" si="47"/>
        <v>1.5999999999999999E-3</v>
      </c>
      <c r="S141" s="368">
        <f t="shared" si="48"/>
        <v>1.0999999999999899E-3</v>
      </c>
      <c r="T141" s="113"/>
      <c r="V141" s="141"/>
    </row>
    <row r="142" spans="1:22" s="114" customFormat="1" ht="12" customHeight="1">
      <c r="A142" s="401">
        <v>119</v>
      </c>
      <c r="B142" s="372" t="s">
        <v>245</v>
      </c>
      <c r="C142" s="373" t="s">
        <v>41</v>
      </c>
      <c r="D142" s="329">
        <v>690170453.63999999</v>
      </c>
      <c r="E142" s="337">
        <f t="shared" si="43"/>
        <v>2.1727963386555013E-2</v>
      </c>
      <c r="F142" s="329">
        <v>1.2456</v>
      </c>
      <c r="G142" s="329">
        <v>1.2557</v>
      </c>
      <c r="H142" s="338">
        <v>-3.2000000000000002E-3</v>
      </c>
      <c r="I142" s="338">
        <v>7.1900000000000006E-2</v>
      </c>
      <c r="J142" s="329">
        <v>692553026.64999998</v>
      </c>
      <c r="K142" s="318">
        <f t="shared" si="49"/>
        <v>2.1630618587169824E-2</v>
      </c>
      <c r="L142" s="329">
        <v>1.2499</v>
      </c>
      <c r="M142" s="329">
        <v>1.26</v>
      </c>
      <c r="N142" s="338">
        <v>3.3999999999999998E-3</v>
      </c>
      <c r="O142" s="338">
        <v>7.5499999999999998E-2</v>
      </c>
      <c r="P142" s="333">
        <f t="shared" si="45"/>
        <v>3.4521515626091482E-3</v>
      </c>
      <c r="Q142" s="333">
        <f t="shared" si="46"/>
        <v>3.4243848052878637E-3</v>
      </c>
      <c r="R142" s="333">
        <f t="shared" si="47"/>
        <v>6.6E-3</v>
      </c>
      <c r="S142" s="368">
        <f t="shared" si="48"/>
        <v>3.5999999999999921E-3</v>
      </c>
      <c r="T142" s="113"/>
      <c r="U142" s="142"/>
      <c r="V142" s="141"/>
    </row>
    <row r="143" spans="1:22" s="316" customFormat="1" ht="12" customHeight="1">
      <c r="A143" s="397">
        <v>120</v>
      </c>
      <c r="B143" s="372" t="s">
        <v>161</v>
      </c>
      <c r="C143" s="373" t="s">
        <v>108</v>
      </c>
      <c r="D143" s="329">
        <v>4553824280.3699999</v>
      </c>
      <c r="E143" s="337">
        <f t="shared" si="43"/>
        <v>0.14336360925165811</v>
      </c>
      <c r="F143" s="329">
        <v>201.23099999999999</v>
      </c>
      <c r="G143" s="329">
        <v>205.85040000000001</v>
      </c>
      <c r="H143" s="338">
        <v>-1E-4</v>
      </c>
      <c r="I143" s="338">
        <v>9.4E-2</v>
      </c>
      <c r="J143" s="329">
        <v>4611211944.9399996</v>
      </c>
      <c r="K143" s="318">
        <f t="shared" si="49"/>
        <v>0.14402271445996673</v>
      </c>
      <c r="L143" s="329">
        <v>203.77520484695978</v>
      </c>
      <c r="M143" s="329">
        <v>208.43921888664573</v>
      </c>
      <c r="N143" s="338">
        <v>1.26E-2</v>
      </c>
      <c r="O143" s="338">
        <v>0.107</v>
      </c>
      <c r="P143" s="333">
        <f t="shared" si="45"/>
        <v>1.2602081467521387E-2</v>
      </c>
      <c r="Q143" s="333">
        <f t="shared" si="46"/>
        <v>1.257621499227461E-2</v>
      </c>
      <c r="R143" s="333">
        <f t="shared" si="47"/>
        <v>1.2699999999999999E-2</v>
      </c>
      <c r="S143" s="368">
        <f t="shared" si="48"/>
        <v>1.2999999999999998E-2</v>
      </c>
      <c r="T143" s="113"/>
      <c r="U143" s="317"/>
      <c r="V143" s="141"/>
    </row>
    <row r="144" spans="1:22" s="334" customFormat="1" ht="12" customHeight="1">
      <c r="A144" s="402">
        <v>121</v>
      </c>
      <c r="B144" s="372" t="s">
        <v>52</v>
      </c>
      <c r="C144" s="373" t="s">
        <v>248</v>
      </c>
      <c r="D144" s="330">
        <v>2269310744</v>
      </c>
      <c r="E144" s="337">
        <f t="shared" si="43"/>
        <v>7.1442497282080422E-2</v>
      </c>
      <c r="F144" s="329">
        <v>3.2</v>
      </c>
      <c r="G144" s="329">
        <v>3.26</v>
      </c>
      <c r="H144" s="338">
        <v>1.3441280360100283E-3</v>
      </c>
      <c r="I144" s="338">
        <v>3.8199999999999998E-2</v>
      </c>
      <c r="J144" s="330">
        <v>2290635751.6900001</v>
      </c>
      <c r="K144" s="318">
        <f t="shared" si="49"/>
        <v>7.1543789948638498E-2</v>
      </c>
      <c r="L144" s="329">
        <v>3.23</v>
      </c>
      <c r="M144" s="329">
        <v>3.29</v>
      </c>
      <c r="N144" s="338">
        <v>8.8999999999999999E-3</v>
      </c>
      <c r="O144" s="338">
        <v>4.7399999999999998E-2</v>
      </c>
      <c r="P144" s="333">
        <f t="shared" si="45"/>
        <v>9.3971298317706529E-3</v>
      </c>
      <c r="Q144" s="333">
        <f t="shared" si="46"/>
        <v>9.2024539877301383E-3</v>
      </c>
      <c r="R144" s="333">
        <f t="shared" si="47"/>
        <v>7.5558719639899716E-3</v>
      </c>
      <c r="S144" s="368">
        <f t="shared" si="48"/>
        <v>9.1999999999999998E-3</v>
      </c>
      <c r="T144" s="113"/>
      <c r="U144" s="317"/>
      <c r="V144" s="141"/>
    </row>
    <row r="145" spans="1:25" s="114" customFormat="1" ht="12" customHeight="1">
      <c r="A145" s="401">
        <v>122</v>
      </c>
      <c r="B145" s="372" t="s">
        <v>238</v>
      </c>
      <c r="C145" s="373" t="s">
        <v>9</v>
      </c>
      <c r="D145" s="330">
        <v>203000759.84999999</v>
      </c>
      <c r="E145" s="337">
        <f t="shared" si="43"/>
        <v>6.3908749703799426E-3</v>
      </c>
      <c r="F145" s="329">
        <v>152.59</v>
      </c>
      <c r="G145" s="329">
        <v>154.97999999999999</v>
      </c>
      <c r="H145" s="338">
        <v>-5.5999999999999999E-3</v>
      </c>
      <c r="I145" s="338">
        <v>5.3800000000000001E-2</v>
      </c>
      <c r="J145" s="330">
        <v>201903777.02000001</v>
      </c>
      <c r="K145" s="318">
        <f t="shared" si="49"/>
        <v>6.3060927091085212E-3</v>
      </c>
      <c r="L145" s="329">
        <v>152.59</v>
      </c>
      <c r="M145" s="329">
        <v>154.97999999999999</v>
      </c>
      <c r="N145" s="338">
        <v>-5.5999999999999999E-3</v>
      </c>
      <c r="O145" s="338">
        <v>5.8099999999999999E-2</v>
      </c>
      <c r="P145" s="333">
        <f t="shared" si="45"/>
        <v>-5.4038360783011784E-3</v>
      </c>
      <c r="Q145" s="333">
        <f t="shared" si="46"/>
        <v>0</v>
      </c>
      <c r="R145" s="333">
        <f t="shared" si="47"/>
        <v>0</v>
      </c>
      <c r="S145" s="368">
        <f t="shared" si="48"/>
        <v>4.2999999999999983E-3</v>
      </c>
      <c r="T145" s="113"/>
      <c r="U145" s="142"/>
      <c r="V145" s="141"/>
    </row>
    <row r="146" spans="1:25" s="114" customFormat="1" ht="12" customHeight="1">
      <c r="A146" s="294"/>
      <c r="C146" s="248" t="s">
        <v>42</v>
      </c>
      <c r="D146" s="220">
        <f>SUM(D122:D145)</f>
        <v>31764157613.919247</v>
      </c>
      <c r="E146" s="266">
        <f>(D146/$D$168)</f>
        <v>1.9334515009638707E-2</v>
      </c>
      <c r="F146" s="268"/>
      <c r="G146" s="186"/>
      <c r="H146" s="281"/>
      <c r="I146" s="281"/>
      <c r="J146" s="220">
        <f>SUM(J122:J145)</f>
        <v>32017254793.66489</v>
      </c>
      <c r="K146" s="266">
        <f>(J146/$J$168)</f>
        <v>1.9593599418786769E-2</v>
      </c>
      <c r="L146" s="268"/>
      <c r="M146" s="186"/>
      <c r="N146" s="281"/>
      <c r="O146" s="281"/>
      <c r="P146" s="270">
        <f t="shared" ref="P146" si="50">((J146-D146)/D146)</f>
        <v>7.9680117074704005E-3</v>
      </c>
      <c r="Q146" s="270"/>
      <c r="R146" s="270">
        <f t="shared" ref="R146:S146" si="51">N146-H146</f>
        <v>0</v>
      </c>
      <c r="S146" s="368">
        <f t="shared" si="51"/>
        <v>0</v>
      </c>
      <c r="T146" s="113"/>
      <c r="U146" s="142"/>
      <c r="V146" s="141"/>
    </row>
    <row r="147" spans="1:25" s="114" customFormat="1" ht="5.25" customHeight="1">
      <c r="A147" s="411"/>
      <c r="B147" s="412"/>
      <c r="C147" s="413"/>
      <c r="D147" s="413"/>
      <c r="E147" s="413"/>
      <c r="F147" s="413"/>
      <c r="G147" s="413"/>
      <c r="H147" s="413"/>
      <c r="I147" s="413"/>
      <c r="J147" s="413"/>
      <c r="K147" s="413"/>
      <c r="L147" s="413"/>
      <c r="M147" s="413"/>
      <c r="N147" s="413"/>
      <c r="O147" s="413"/>
      <c r="P147" s="413"/>
      <c r="Q147" s="413"/>
      <c r="R147" s="413"/>
      <c r="S147" s="426"/>
      <c r="T147" s="113"/>
      <c r="U147" s="142"/>
      <c r="V147" s="141"/>
    </row>
    <row r="148" spans="1:25" s="114" customFormat="1" ht="12" customHeight="1">
      <c r="A148" s="418" t="s">
        <v>67</v>
      </c>
      <c r="B148" s="419"/>
      <c r="C148" s="420"/>
      <c r="D148" s="420"/>
      <c r="E148" s="420"/>
      <c r="F148" s="420"/>
      <c r="G148" s="420"/>
      <c r="H148" s="420"/>
      <c r="I148" s="420"/>
      <c r="J148" s="420"/>
      <c r="K148" s="420"/>
      <c r="L148" s="420"/>
      <c r="M148" s="420"/>
      <c r="N148" s="420"/>
      <c r="O148" s="420"/>
      <c r="P148" s="420"/>
      <c r="Q148" s="420"/>
      <c r="R148" s="420"/>
      <c r="S148" s="421"/>
      <c r="U148" s="143"/>
      <c r="V148" s="141"/>
    </row>
    <row r="149" spans="1:25" s="114" customFormat="1" ht="12" customHeight="1">
      <c r="A149" s="398">
        <v>123</v>
      </c>
      <c r="B149" s="372" t="s">
        <v>26</v>
      </c>
      <c r="C149" s="373" t="s">
        <v>6</v>
      </c>
      <c r="D149" s="326">
        <v>529568607.05000001</v>
      </c>
      <c r="E149" s="337">
        <f>(D149/$D$152)</f>
        <v>0.17349400120549918</v>
      </c>
      <c r="F149" s="326">
        <v>45.828299999999999</v>
      </c>
      <c r="G149" s="326">
        <v>47.210099999999997</v>
      </c>
      <c r="H149" s="319">
        <v>-0.53920000000000001</v>
      </c>
      <c r="I149" s="319">
        <v>1.5900000000000001E-2</v>
      </c>
      <c r="J149" s="326">
        <v>527732117.74000001</v>
      </c>
      <c r="K149" s="318">
        <f>(J149/$J$152)</f>
        <v>0.17104440867366694</v>
      </c>
      <c r="L149" s="326">
        <v>45.659399999999998</v>
      </c>
      <c r="M149" s="326">
        <v>47.036000000000001</v>
      </c>
      <c r="N149" s="319">
        <v>-0.1923</v>
      </c>
      <c r="O149" s="319">
        <v>5.4000000000000003E-3</v>
      </c>
      <c r="P149" s="333">
        <f>((J149-D149)/D149)</f>
        <v>-3.4678968608624632E-3</v>
      </c>
      <c r="Q149" s="333">
        <f>((M149-G149)/G149)</f>
        <v>-3.68777020171522E-3</v>
      </c>
      <c r="R149" s="333">
        <f t="shared" ref="R149:S151" si="52">N149-H149</f>
        <v>0.34689999999999999</v>
      </c>
      <c r="S149" s="368">
        <f t="shared" si="52"/>
        <v>-1.0500000000000001E-2</v>
      </c>
      <c r="U149" s="115"/>
      <c r="V149" s="141"/>
    </row>
    <row r="150" spans="1:25" s="114" customFormat="1" ht="11.25" customHeight="1">
      <c r="A150" s="397">
        <v>124</v>
      </c>
      <c r="B150" s="372" t="s">
        <v>247</v>
      </c>
      <c r="C150" s="373" t="s">
        <v>194</v>
      </c>
      <c r="D150" s="325">
        <v>612120747.19000006</v>
      </c>
      <c r="E150" s="337">
        <f>(D150/$D$152)</f>
        <v>0.20053922426120316</v>
      </c>
      <c r="F150" s="326">
        <v>17.127500000000001</v>
      </c>
      <c r="G150" s="326">
        <v>17.2972</v>
      </c>
      <c r="H150" s="338">
        <v>9.7000000000000003E-3</v>
      </c>
      <c r="I150" s="338">
        <v>8.3500000000000005E-2</v>
      </c>
      <c r="J150" s="325">
        <v>615246797.87</v>
      </c>
      <c r="K150" s="318">
        <f t="shared" ref="K150:K151" si="53">(J150/$J$152)</f>
        <v>0.199408982687477</v>
      </c>
      <c r="L150" s="326">
        <v>17.067499999999999</v>
      </c>
      <c r="M150" s="326">
        <v>17.235700000000001</v>
      </c>
      <c r="N150" s="338">
        <v>7.1000000000000004E-3</v>
      </c>
      <c r="O150" s="338">
        <v>7.9699999999999993E-2</v>
      </c>
      <c r="P150" s="333">
        <f>((J150-D150)/D150)</f>
        <v>5.1069183561419668E-3</v>
      </c>
      <c r="Q150" s="111">
        <f>((M150-G150)/G150)</f>
        <v>-3.5554887496241461E-3</v>
      </c>
      <c r="R150" s="333">
        <f t="shared" si="52"/>
        <v>-2.5999999999999999E-3</v>
      </c>
      <c r="S150" s="368">
        <f t="shared" si="52"/>
        <v>-3.8000000000000117E-3</v>
      </c>
    </row>
    <row r="151" spans="1:25" s="114" customFormat="1" ht="12" customHeight="1">
      <c r="A151" s="401">
        <v>125</v>
      </c>
      <c r="B151" s="372" t="s">
        <v>25</v>
      </c>
      <c r="C151" s="373" t="s">
        <v>5</v>
      </c>
      <c r="D151" s="325">
        <v>1910684810.6900001</v>
      </c>
      <c r="E151" s="337">
        <f>(D151/$D$152)</f>
        <v>0.62596677453329763</v>
      </c>
      <c r="F151" s="326">
        <v>1.51</v>
      </c>
      <c r="G151" s="326">
        <v>1.53</v>
      </c>
      <c r="H151" s="338">
        <v>0</v>
      </c>
      <c r="I151" s="338">
        <v>6.25E-2</v>
      </c>
      <c r="J151" s="325">
        <v>1942372554.4100001</v>
      </c>
      <c r="K151" s="318">
        <f t="shared" si="53"/>
        <v>0.62954660863885592</v>
      </c>
      <c r="L151" s="326">
        <v>1.54</v>
      </c>
      <c r="M151" s="326">
        <v>1.56</v>
      </c>
      <c r="N151" s="338">
        <v>1.9599999999999999E-2</v>
      </c>
      <c r="O151" s="338">
        <v>8.3299999999999999E-2</v>
      </c>
      <c r="P151" s="333">
        <f>((J151-D151)/D151)</f>
        <v>1.6584495539354146E-2</v>
      </c>
      <c r="Q151" s="333">
        <f>((M151-G151)/G151)</f>
        <v>1.9607843137254919E-2</v>
      </c>
      <c r="R151" s="333">
        <f t="shared" si="52"/>
        <v>1.9599999999999999E-2</v>
      </c>
      <c r="S151" s="368">
        <f t="shared" si="52"/>
        <v>2.0799999999999999E-2</v>
      </c>
      <c r="W151" s="184"/>
      <c r="X151" s="185"/>
      <c r="Y151" s="112"/>
    </row>
    <row r="152" spans="1:25" s="114" customFormat="1" ht="12.75" customHeight="1">
      <c r="A152" s="218"/>
      <c r="C152" s="290" t="s">
        <v>42</v>
      </c>
      <c r="D152" s="220">
        <f>SUM(D149:D151)</f>
        <v>3052374164.9300003</v>
      </c>
      <c r="E152" s="266">
        <f>(D152/$D$168)</f>
        <v>1.8579486610093906E-3</v>
      </c>
      <c r="F152" s="11"/>
      <c r="G152" s="11"/>
      <c r="H152" s="280"/>
      <c r="I152" s="280"/>
      <c r="J152" s="220">
        <f>SUM(J149:J151)</f>
        <v>3085351470.0200005</v>
      </c>
      <c r="K152" s="266">
        <f>(J152/$J$168)</f>
        <v>1.8881425393690648E-3</v>
      </c>
      <c r="L152" s="268"/>
      <c r="M152" s="186"/>
      <c r="N152" s="281"/>
      <c r="O152" s="281"/>
      <c r="P152" s="270">
        <f>((J152-D152)/D152)</f>
        <v>1.0803821323378426E-2</v>
      </c>
      <c r="Q152" s="270"/>
      <c r="R152" s="270">
        <f>N152-H152</f>
        <v>0</v>
      </c>
      <c r="S152" s="368">
        <f t="shared" ref="S152" si="54">O152-I152</f>
        <v>0</v>
      </c>
      <c r="V152" s="113"/>
    </row>
    <row r="153" spans="1:25" s="114" customFormat="1" ht="4.5" customHeight="1">
      <c r="A153" s="411"/>
      <c r="B153" s="412"/>
      <c r="C153" s="413"/>
      <c r="D153" s="413"/>
      <c r="E153" s="413"/>
      <c r="F153" s="413"/>
      <c r="G153" s="413"/>
      <c r="H153" s="413"/>
      <c r="I153" s="413"/>
      <c r="J153" s="413"/>
      <c r="K153" s="413"/>
      <c r="L153" s="413"/>
      <c r="M153" s="413"/>
      <c r="N153" s="413"/>
      <c r="O153" s="413"/>
      <c r="P153" s="413"/>
      <c r="Q153" s="413"/>
      <c r="R153" s="413"/>
      <c r="S153" s="426"/>
      <c r="V153" s="113"/>
    </row>
    <row r="154" spans="1:25" s="114" customFormat="1" ht="12.75" customHeight="1">
      <c r="A154" s="418" t="s">
        <v>202</v>
      </c>
      <c r="B154" s="419"/>
      <c r="C154" s="420"/>
      <c r="D154" s="420"/>
      <c r="E154" s="420"/>
      <c r="F154" s="420"/>
      <c r="G154" s="420"/>
      <c r="H154" s="420"/>
      <c r="I154" s="420"/>
      <c r="J154" s="420"/>
      <c r="K154" s="420"/>
      <c r="L154" s="420"/>
      <c r="M154" s="420"/>
      <c r="N154" s="420"/>
      <c r="O154" s="420"/>
      <c r="P154" s="420"/>
      <c r="Q154" s="420"/>
      <c r="R154" s="420"/>
      <c r="S154" s="421"/>
      <c r="V154" s="113"/>
    </row>
    <row r="155" spans="1:25" s="114" customFormat="1" ht="12.75" customHeight="1">
      <c r="A155" s="422" t="s">
        <v>203</v>
      </c>
      <c r="B155" s="423"/>
      <c r="C155" s="424"/>
      <c r="D155" s="424"/>
      <c r="E155" s="424"/>
      <c r="F155" s="424"/>
      <c r="G155" s="424"/>
      <c r="H155" s="424"/>
      <c r="I155" s="424"/>
      <c r="J155" s="424"/>
      <c r="K155" s="424"/>
      <c r="L155" s="424"/>
      <c r="M155" s="424"/>
      <c r="N155" s="424"/>
      <c r="O155" s="424"/>
      <c r="P155" s="424"/>
      <c r="Q155" s="424"/>
      <c r="R155" s="424"/>
      <c r="S155" s="425"/>
      <c r="V155" s="113"/>
    </row>
    <row r="156" spans="1:25" s="114" customFormat="1" ht="12" customHeight="1">
      <c r="A156" s="396">
        <v>126</v>
      </c>
      <c r="B156" s="372" t="s">
        <v>131</v>
      </c>
      <c r="C156" s="373" t="s">
        <v>23</v>
      </c>
      <c r="D156" s="320">
        <v>3523014717.3200002</v>
      </c>
      <c r="E156" s="337">
        <f>(D156/$D$167)</f>
        <v>0.13930626240615013</v>
      </c>
      <c r="F156" s="321">
        <v>1.73</v>
      </c>
      <c r="G156" s="321">
        <v>1.75</v>
      </c>
      <c r="H156" s="324">
        <v>4.0000000000000002E-4</v>
      </c>
      <c r="I156" s="324">
        <v>7.6700000000000004E-2</v>
      </c>
      <c r="J156" s="320">
        <v>3493586160.0500002</v>
      </c>
      <c r="K156" s="337">
        <f>(J156/$J$167)</f>
        <v>0.13695095777488725</v>
      </c>
      <c r="L156" s="321">
        <v>1.72</v>
      </c>
      <c r="M156" s="321">
        <v>1.74</v>
      </c>
      <c r="N156" s="324">
        <v>-7.7000000000000002E-3</v>
      </c>
      <c r="O156" s="324">
        <v>6.8400000000000002E-2</v>
      </c>
      <c r="P156" s="111">
        <f>((J156-D156)/D156)</f>
        <v>-8.3532314313993668E-3</v>
      </c>
      <c r="Q156" s="111">
        <f>((M156-G156)/G156)</f>
        <v>-5.7142857142857195E-3</v>
      </c>
      <c r="R156" s="333">
        <f>N156-H156</f>
        <v>-8.0999999999999996E-3</v>
      </c>
      <c r="S156" s="368">
        <f t="shared" ref="S156:S157" si="55">O156-I156</f>
        <v>-8.3000000000000018E-3</v>
      </c>
      <c r="V156" s="113"/>
    </row>
    <row r="157" spans="1:25" s="114" customFormat="1" ht="12.75" customHeight="1">
      <c r="A157" s="401">
        <v>127</v>
      </c>
      <c r="B157" s="372" t="s">
        <v>66</v>
      </c>
      <c r="C157" s="373" t="s">
        <v>5</v>
      </c>
      <c r="D157" s="320">
        <v>324172929.52999997</v>
      </c>
      <c r="E157" s="337">
        <f>(D157/$D$167)</f>
        <v>1.281837369684048E-2</v>
      </c>
      <c r="F157" s="321">
        <v>279.14999999999998</v>
      </c>
      <c r="G157" s="321">
        <v>282.44</v>
      </c>
      <c r="H157" s="324">
        <v>-1.6999999999999999E-3</v>
      </c>
      <c r="I157" s="324">
        <v>6.3799999999999996E-2</v>
      </c>
      <c r="J157" s="320">
        <v>327594257.86000001</v>
      </c>
      <c r="K157" s="337">
        <f>(J157/$J$167)</f>
        <v>1.2841918109395729E-2</v>
      </c>
      <c r="L157" s="321">
        <v>281.60000000000002</v>
      </c>
      <c r="M157" s="321">
        <v>284.87</v>
      </c>
      <c r="N157" s="324">
        <v>8.6E-3</v>
      </c>
      <c r="O157" s="324">
        <v>7.2999999999999995E-2</v>
      </c>
      <c r="P157" s="333">
        <f>((J157-D157)/D157)</f>
        <v>1.0554022308279823E-2</v>
      </c>
      <c r="Q157" s="333">
        <f>((M157-G157)/G157)</f>
        <v>8.6035972241892324E-3</v>
      </c>
      <c r="R157" s="333">
        <f>N157-H157</f>
        <v>1.03E-2</v>
      </c>
      <c r="S157" s="368">
        <f t="shared" si="55"/>
        <v>9.1999999999999998E-3</v>
      </c>
      <c r="T157" s="191"/>
    </row>
    <row r="158" spans="1:25" s="114" customFormat="1" ht="6" customHeight="1">
      <c r="A158" s="411"/>
      <c r="B158" s="412"/>
      <c r="C158" s="413"/>
      <c r="D158" s="413"/>
      <c r="E158" s="413"/>
      <c r="F158" s="413"/>
      <c r="G158" s="413"/>
      <c r="H158" s="413"/>
      <c r="I158" s="413"/>
      <c r="J158" s="413"/>
      <c r="K158" s="413"/>
      <c r="L158" s="413"/>
      <c r="M158" s="413"/>
      <c r="N158" s="413"/>
      <c r="O158" s="413"/>
      <c r="P158" s="413"/>
      <c r="Q158" s="413"/>
      <c r="R158" s="413"/>
      <c r="S158" s="426"/>
      <c r="T158" s="191"/>
    </row>
    <row r="159" spans="1:25" s="114" customFormat="1" ht="12" customHeight="1">
      <c r="A159" s="422" t="s">
        <v>204</v>
      </c>
      <c r="B159" s="423"/>
      <c r="C159" s="424"/>
      <c r="D159" s="424"/>
      <c r="E159" s="424"/>
      <c r="F159" s="424"/>
      <c r="G159" s="424"/>
      <c r="H159" s="424"/>
      <c r="I159" s="424"/>
      <c r="J159" s="424"/>
      <c r="K159" s="424"/>
      <c r="L159" s="424"/>
      <c r="M159" s="424"/>
      <c r="N159" s="424"/>
      <c r="O159" s="424"/>
      <c r="P159" s="424"/>
      <c r="Q159" s="424"/>
      <c r="R159" s="424"/>
      <c r="S159" s="425"/>
      <c r="T159" s="191"/>
    </row>
    <row r="160" spans="1:25" s="114" customFormat="1" ht="12" customHeight="1">
      <c r="A160" s="402">
        <v>128</v>
      </c>
      <c r="B160" s="372" t="s">
        <v>233</v>
      </c>
      <c r="C160" s="373" t="s">
        <v>234</v>
      </c>
      <c r="D160" s="330">
        <v>505422763.86000001</v>
      </c>
      <c r="E160" s="337">
        <f t="shared" ref="E160:E166" si="56">(D160/$D$167)</f>
        <v>1.9985314231637231E-2</v>
      </c>
      <c r="F160" s="330">
        <v>1040.8399999999999</v>
      </c>
      <c r="G160" s="330">
        <v>1040.8399999999999</v>
      </c>
      <c r="H160" s="338">
        <v>9.1999999999999998E-3</v>
      </c>
      <c r="I160" s="338">
        <v>4.0800000000000003E-2</v>
      </c>
      <c r="J160" s="330">
        <v>506418656.02999997</v>
      </c>
      <c r="K160" s="337">
        <f t="shared" ref="K160:K166" si="57">(J160/$J$167)</f>
        <v>1.9851956356899202E-2</v>
      </c>
      <c r="L160" s="330">
        <v>1042.8900000000001</v>
      </c>
      <c r="M160" s="330">
        <v>1042.8900000000001</v>
      </c>
      <c r="N160" s="338">
        <v>2.0999999999999999E-3</v>
      </c>
      <c r="O160" s="338">
        <v>4.2900000000000001E-2</v>
      </c>
      <c r="P160" s="333">
        <f t="shared" ref="P160:P166" si="58">((J160-D160)/D160)</f>
        <v>1.9704141586226911E-3</v>
      </c>
      <c r="Q160" s="333">
        <f t="shared" ref="Q160:Q166" si="59">((M160-G160)/G160)</f>
        <v>1.9695630452328714E-3</v>
      </c>
      <c r="R160" s="333">
        <f t="shared" ref="R160:S166" si="60">N160-H160</f>
        <v>-7.1000000000000004E-3</v>
      </c>
      <c r="S160" s="368">
        <f t="shared" si="60"/>
        <v>2.0999999999999977E-3</v>
      </c>
      <c r="T160" s="191"/>
    </row>
    <row r="161" spans="1:20" s="114" customFormat="1" ht="12" customHeight="1">
      <c r="A161" s="397">
        <v>129</v>
      </c>
      <c r="B161" s="372" t="s">
        <v>236</v>
      </c>
      <c r="C161" s="373" t="s">
        <v>89</v>
      </c>
      <c r="D161" s="330">
        <v>62140757.649999999</v>
      </c>
      <c r="E161" s="337">
        <f t="shared" si="56"/>
        <v>2.4571559831271608E-3</v>
      </c>
      <c r="F161" s="330">
        <v>104.7</v>
      </c>
      <c r="G161" s="330">
        <v>104.7</v>
      </c>
      <c r="H161" s="338">
        <v>1.1000000000000001E-3</v>
      </c>
      <c r="I161" s="338">
        <v>6.3899999999999998E-2</v>
      </c>
      <c r="J161" s="330">
        <v>62170128.969999999</v>
      </c>
      <c r="K161" s="337">
        <f t="shared" si="57"/>
        <v>2.4371114142803644E-3</v>
      </c>
      <c r="L161" s="330">
        <v>103.28</v>
      </c>
      <c r="M161" s="330">
        <v>103.28</v>
      </c>
      <c r="N161" s="338">
        <v>1E-3</v>
      </c>
      <c r="O161" s="338">
        <v>6.2399999999999997E-2</v>
      </c>
      <c r="P161" s="333">
        <f t="shared" si="58"/>
        <v>4.7265789975446654E-4</v>
      </c>
      <c r="Q161" s="333">
        <f t="shared" si="59"/>
        <v>-1.3562559694364868E-2</v>
      </c>
      <c r="R161" s="333">
        <f t="shared" si="60"/>
        <v>-1.0000000000000005E-4</v>
      </c>
      <c r="S161" s="368">
        <f t="shared" si="60"/>
        <v>-1.5000000000000013E-3</v>
      </c>
      <c r="T161" s="191"/>
    </row>
    <row r="162" spans="1:20" s="114" customFormat="1" ht="12" customHeight="1">
      <c r="A162" s="401">
        <v>130</v>
      </c>
      <c r="B162" s="403" t="s">
        <v>240</v>
      </c>
      <c r="C162" s="373" t="s">
        <v>100</v>
      </c>
      <c r="D162" s="325">
        <v>52092258.890000001</v>
      </c>
      <c r="E162" s="337">
        <f t="shared" si="56"/>
        <v>2.0598204857287016E-3</v>
      </c>
      <c r="F162" s="326">
        <v>100.13</v>
      </c>
      <c r="G162" s="326">
        <v>104.04</v>
      </c>
      <c r="H162" s="338">
        <v>1.9E-3</v>
      </c>
      <c r="I162" s="338">
        <v>2.98E-2</v>
      </c>
      <c r="J162" s="325">
        <v>52092258.890000001</v>
      </c>
      <c r="K162" s="337">
        <f t="shared" si="57"/>
        <v>2.0420520407433665E-3</v>
      </c>
      <c r="L162" s="326">
        <v>100.26</v>
      </c>
      <c r="M162" s="326">
        <v>104.29</v>
      </c>
      <c r="N162" s="338">
        <v>3.8E-3</v>
      </c>
      <c r="O162" s="338">
        <v>3.1699999999999999E-2</v>
      </c>
      <c r="P162" s="333">
        <f t="shared" si="58"/>
        <v>0</v>
      </c>
      <c r="Q162" s="333">
        <f t="shared" si="59"/>
        <v>2.4029219530949633E-3</v>
      </c>
      <c r="R162" s="333">
        <f t="shared" si="60"/>
        <v>1.9E-3</v>
      </c>
      <c r="S162" s="368">
        <f t="shared" si="60"/>
        <v>1.8999999999999989E-3</v>
      </c>
      <c r="T162" s="191"/>
    </row>
    <row r="163" spans="1:20" s="114" customFormat="1" ht="12" customHeight="1">
      <c r="A163" s="398">
        <v>131</v>
      </c>
      <c r="B163" s="372" t="s">
        <v>190</v>
      </c>
      <c r="C163" s="373" t="s">
        <v>189</v>
      </c>
      <c r="D163" s="330">
        <v>9350818818.1200008</v>
      </c>
      <c r="E163" s="337">
        <f t="shared" si="56"/>
        <v>0.36974799270220365</v>
      </c>
      <c r="F163" s="330">
        <v>128.31</v>
      </c>
      <c r="G163" s="330">
        <v>128.31</v>
      </c>
      <c r="H163" s="338">
        <v>2.2000000000000001E-3</v>
      </c>
      <c r="I163" s="338">
        <v>0.1268</v>
      </c>
      <c r="J163" s="330">
        <v>9440015780.9500008</v>
      </c>
      <c r="K163" s="337">
        <f t="shared" si="57"/>
        <v>0.37005505042207115</v>
      </c>
      <c r="L163" s="330">
        <v>128.59</v>
      </c>
      <c r="M163" s="330">
        <v>128.59</v>
      </c>
      <c r="N163" s="338">
        <v>2.2000000000000001E-3</v>
      </c>
      <c r="O163" s="338">
        <v>0.12559999999999999</v>
      </c>
      <c r="P163" s="333">
        <f t="shared" si="58"/>
        <v>9.5389467558877512E-3</v>
      </c>
      <c r="Q163" s="333">
        <f t="shared" si="59"/>
        <v>2.1822149481724039E-3</v>
      </c>
      <c r="R163" s="333">
        <f t="shared" si="60"/>
        <v>0</v>
      </c>
      <c r="S163" s="368">
        <f t="shared" si="60"/>
        <v>-1.2000000000000066E-3</v>
      </c>
      <c r="T163" s="191"/>
    </row>
    <row r="164" spans="1:20" s="114" customFormat="1" ht="12" customHeight="1">
      <c r="A164" s="395">
        <v>132</v>
      </c>
      <c r="B164" s="372" t="s">
        <v>177</v>
      </c>
      <c r="C164" s="373" t="s">
        <v>176</v>
      </c>
      <c r="D164" s="330">
        <v>451241812.82999998</v>
      </c>
      <c r="E164" s="337">
        <f t="shared" si="56"/>
        <v>1.7842903147035911E-2</v>
      </c>
      <c r="F164" s="331">
        <v>102.1</v>
      </c>
      <c r="G164" s="331">
        <v>102.1</v>
      </c>
      <c r="H164" s="338">
        <v>1.1999999999999999E-3</v>
      </c>
      <c r="I164" s="338">
        <v>3.4000000000000002E-2</v>
      </c>
      <c r="J164" s="330">
        <v>451166384.73000002</v>
      </c>
      <c r="K164" s="337">
        <f t="shared" si="57"/>
        <v>1.7686029676658228E-2</v>
      </c>
      <c r="L164" s="331">
        <v>102.31</v>
      </c>
      <c r="M164" s="331">
        <v>102.31</v>
      </c>
      <c r="N164" s="338">
        <v>2.0999999999999999E-3</v>
      </c>
      <c r="O164" s="338">
        <v>3.61E-2</v>
      </c>
      <c r="P164" s="333">
        <f t="shared" si="58"/>
        <v>-1.6715671698708666E-4</v>
      </c>
      <c r="Q164" s="333">
        <f t="shared" si="59"/>
        <v>2.0568070519099702E-3</v>
      </c>
      <c r="R164" s="333">
        <f t="shared" si="60"/>
        <v>8.9999999999999998E-4</v>
      </c>
      <c r="S164" s="368">
        <f t="shared" si="60"/>
        <v>2.0999999999999977E-3</v>
      </c>
      <c r="T164" s="191"/>
    </row>
    <row r="165" spans="1:20" s="322" customFormat="1" ht="12" customHeight="1">
      <c r="A165" s="401">
        <v>133</v>
      </c>
      <c r="B165" s="372" t="s">
        <v>133</v>
      </c>
      <c r="C165" s="373" t="s">
        <v>5</v>
      </c>
      <c r="D165" s="330">
        <v>8315320941.3800001</v>
      </c>
      <c r="E165" s="337">
        <f t="shared" si="56"/>
        <v>0.32880256655085122</v>
      </c>
      <c r="F165" s="331">
        <v>123.67</v>
      </c>
      <c r="G165" s="331">
        <v>123.67</v>
      </c>
      <c r="H165" s="338">
        <v>8.0000000000000004E-4</v>
      </c>
      <c r="I165" s="338">
        <v>2.1899999999999999E-2</v>
      </c>
      <c r="J165" s="330">
        <v>8420680757.3199997</v>
      </c>
      <c r="K165" s="337">
        <f t="shared" si="57"/>
        <v>0.33009642298761338</v>
      </c>
      <c r="L165" s="331">
        <v>123.77</v>
      </c>
      <c r="M165" s="331">
        <v>123.77</v>
      </c>
      <c r="N165" s="338">
        <v>8.0000000000000004E-4</v>
      </c>
      <c r="O165" s="338">
        <v>2.2499999999999999E-2</v>
      </c>
      <c r="P165" s="333">
        <f t="shared" si="58"/>
        <v>1.2670565175144545E-2</v>
      </c>
      <c r="Q165" s="333">
        <f t="shared" si="59"/>
        <v>8.0860354168346661E-4</v>
      </c>
      <c r="R165" s="333">
        <f t="shared" si="60"/>
        <v>0</v>
      </c>
      <c r="S165" s="368">
        <f t="shared" si="60"/>
        <v>5.9999999999999984E-4</v>
      </c>
      <c r="T165" s="323"/>
    </row>
    <row r="166" spans="1:20" s="114" customFormat="1" ht="12" customHeight="1">
      <c r="A166" s="401">
        <v>134</v>
      </c>
      <c r="B166" s="372" t="s">
        <v>167</v>
      </c>
      <c r="C166" s="373" t="s">
        <v>41</v>
      </c>
      <c r="D166" s="330">
        <v>2705483133.1999998</v>
      </c>
      <c r="E166" s="337">
        <f t="shared" si="56"/>
        <v>0.10697961079642544</v>
      </c>
      <c r="F166" s="331">
        <v>1.1536</v>
      </c>
      <c r="G166" s="331">
        <v>1.1536</v>
      </c>
      <c r="H166" s="338">
        <v>0.1351</v>
      </c>
      <c r="I166" s="338">
        <v>0.1293</v>
      </c>
      <c r="J166" s="330">
        <v>2756036312.1100001</v>
      </c>
      <c r="K166" s="337">
        <f t="shared" si="57"/>
        <v>0.10803850121745119</v>
      </c>
      <c r="L166" s="331">
        <v>1.1564000000000001</v>
      </c>
      <c r="M166" s="331">
        <v>1.1564000000000001</v>
      </c>
      <c r="N166" s="338">
        <v>0.13469999999999999</v>
      </c>
      <c r="O166" s="338">
        <v>0.12959999999999999</v>
      </c>
      <c r="P166" s="333">
        <f t="shared" si="58"/>
        <v>1.8685453363077108E-2</v>
      </c>
      <c r="Q166" s="333">
        <f t="shared" si="59"/>
        <v>2.4271844660195352E-3</v>
      </c>
      <c r="R166" s="333">
        <f t="shared" si="60"/>
        <v>-4.0000000000001146E-4</v>
      </c>
      <c r="S166" s="368">
        <f t="shared" si="60"/>
        <v>2.9999999999999472E-4</v>
      </c>
      <c r="T166" s="191"/>
    </row>
    <row r="167" spans="1:20" s="114" customFormat="1" ht="12" customHeight="1">
      <c r="A167" s="265"/>
      <c r="C167" s="290" t="s">
        <v>42</v>
      </c>
      <c r="D167" s="76">
        <f>SUM(D156:D166)</f>
        <v>25289708132.780003</v>
      </c>
      <c r="E167" s="266">
        <f>(D167/$D$168)</f>
        <v>1.5393584411265796E-2</v>
      </c>
      <c r="F167" s="267"/>
      <c r="G167" s="72"/>
      <c r="H167" s="249"/>
      <c r="I167" s="249"/>
      <c r="J167" s="76">
        <f>SUM(J156:J166)</f>
        <v>25509760696.910004</v>
      </c>
      <c r="K167" s="266">
        <f>(J167/$J$168)</f>
        <v>1.561120825584535E-2</v>
      </c>
      <c r="L167" s="268"/>
      <c r="M167" s="72"/>
      <c r="N167" s="269"/>
      <c r="O167" s="269"/>
      <c r="P167" s="270">
        <f t="shared" ref="P167:P168" si="61">((J167-D167)/D167)</f>
        <v>8.7012694244886692E-3</v>
      </c>
      <c r="Q167" s="270"/>
      <c r="R167" s="270">
        <f t="shared" ref="R167:S167" si="62">N167-H167</f>
        <v>0</v>
      </c>
      <c r="S167" s="368">
        <f t="shared" si="62"/>
        <v>0</v>
      </c>
      <c r="T167" s="139" t="s">
        <v>269</v>
      </c>
    </row>
    <row r="168" spans="1:20" s="114" customFormat="1" ht="12" customHeight="1">
      <c r="A168" s="271"/>
      <c r="B168" s="272"/>
      <c r="C168" s="272" t="s">
        <v>28</v>
      </c>
      <c r="D168" s="273">
        <f>SUM(D22,D54,D87,D112,D119,D146,D152,D167)</f>
        <v>1642873255320.0364</v>
      </c>
      <c r="E168" s="274"/>
      <c r="F168" s="274"/>
      <c r="G168" s="275"/>
      <c r="H168" s="276"/>
      <c r="I168" s="276"/>
      <c r="J168" s="273">
        <f>SUM(J22,J54,J87,J112,J119,J146,J152,J167)</f>
        <v>1634067029203.7332</v>
      </c>
      <c r="K168" s="274"/>
      <c r="L168" s="274"/>
      <c r="M168" s="275"/>
      <c r="N168" s="277"/>
      <c r="O168" s="277"/>
      <c r="P168" s="278">
        <f t="shared" si="61"/>
        <v>-5.3602589778526432E-3</v>
      </c>
      <c r="Q168" s="278"/>
      <c r="R168" s="278"/>
      <c r="S168" s="279"/>
      <c r="T168" s="140">
        <f>((J168-D168)/D168)</f>
        <v>-5.3602589778526432E-3</v>
      </c>
    </row>
    <row r="169" spans="1:20" s="114" customFormat="1" ht="6.75" customHeight="1">
      <c r="A169" s="411"/>
      <c r="B169" s="412"/>
      <c r="C169" s="413"/>
      <c r="D169" s="413"/>
      <c r="E169" s="413"/>
      <c r="F169" s="413"/>
      <c r="G169" s="413"/>
      <c r="H169" s="413"/>
      <c r="I169" s="413"/>
      <c r="J169" s="413"/>
      <c r="K169" s="413"/>
      <c r="L169" s="413"/>
      <c r="M169" s="413"/>
      <c r="N169" s="413"/>
      <c r="O169" s="413"/>
      <c r="P169" s="413"/>
      <c r="Q169" s="413"/>
      <c r="R169" s="413"/>
      <c r="S169" s="369"/>
      <c r="T169" s="191"/>
    </row>
    <row r="170" spans="1:20" s="114" customFormat="1" ht="12" customHeight="1">
      <c r="A170" s="449" t="s">
        <v>205</v>
      </c>
      <c r="B170" s="450"/>
      <c r="C170" s="451"/>
      <c r="D170" s="451"/>
      <c r="E170" s="451"/>
      <c r="F170" s="451"/>
      <c r="G170" s="451"/>
      <c r="H170" s="451"/>
      <c r="I170" s="451"/>
      <c r="J170" s="451"/>
      <c r="K170" s="451"/>
      <c r="L170" s="451"/>
      <c r="M170" s="451"/>
      <c r="N170" s="451"/>
      <c r="O170" s="451"/>
      <c r="P170" s="451"/>
      <c r="Q170" s="451"/>
      <c r="R170" s="451"/>
      <c r="S170" s="452"/>
      <c r="T170" s="191"/>
    </row>
    <row r="171" spans="1:20" s="114" customFormat="1" ht="25.5" customHeight="1">
      <c r="A171" s="246"/>
      <c r="B171" s="247"/>
      <c r="C171" s="247"/>
      <c r="D171" s="261" t="s">
        <v>209</v>
      </c>
      <c r="E171" s="262"/>
      <c r="F171" s="262"/>
      <c r="G171" s="366" t="s">
        <v>210</v>
      </c>
      <c r="H171" s="263"/>
      <c r="I171" s="263"/>
      <c r="J171" s="264" t="s">
        <v>209</v>
      </c>
      <c r="K171" s="262"/>
      <c r="L171" s="260" t="s">
        <v>218</v>
      </c>
      <c r="M171" s="260" t="s">
        <v>219</v>
      </c>
      <c r="N171" s="366"/>
      <c r="O171" s="366"/>
      <c r="P171" s="410" t="s">
        <v>63</v>
      </c>
      <c r="Q171" s="410"/>
      <c r="R171" s="410"/>
      <c r="S171" s="367"/>
      <c r="T171" s="191"/>
    </row>
    <row r="172" spans="1:20" s="114" customFormat="1" ht="12" customHeight="1">
      <c r="A172" s="286" t="s">
        <v>1</v>
      </c>
      <c r="B172" s="288" t="s">
        <v>2</v>
      </c>
      <c r="C172" s="287" t="s">
        <v>198</v>
      </c>
      <c r="D172" s="202"/>
      <c r="E172" s="202"/>
      <c r="F172" s="202"/>
      <c r="G172" s="202"/>
      <c r="H172" s="202"/>
      <c r="I172" s="202"/>
      <c r="J172" s="229"/>
      <c r="K172" s="230"/>
      <c r="L172" s="230"/>
      <c r="M172" s="231"/>
      <c r="N172" s="231"/>
      <c r="O172" s="231"/>
      <c r="P172" s="303" t="s">
        <v>208</v>
      </c>
      <c r="Q172" s="301" t="s">
        <v>211</v>
      </c>
      <c r="R172" s="301" t="s">
        <v>220</v>
      </c>
      <c r="S172" s="370"/>
      <c r="T172" s="191"/>
    </row>
    <row r="173" spans="1:20" s="114" customFormat="1" ht="12" customHeight="1">
      <c r="A173" s="401">
        <v>1</v>
      </c>
      <c r="B173" s="372" t="s">
        <v>224</v>
      </c>
      <c r="C173" s="373" t="s">
        <v>119</v>
      </c>
      <c r="D173" s="330">
        <v>91842597312</v>
      </c>
      <c r="E173" s="337">
        <f>(D173/$D$175)</f>
        <v>0.97620275390714273</v>
      </c>
      <c r="F173" s="331">
        <v>107.58</v>
      </c>
      <c r="G173" s="331">
        <v>107.58</v>
      </c>
      <c r="H173" s="327">
        <v>0</v>
      </c>
      <c r="I173" s="327">
        <v>0.13800000000000001</v>
      </c>
      <c r="J173" s="330">
        <v>91842597312</v>
      </c>
      <c r="K173" s="337">
        <f>(J173/$J$175)</f>
        <v>0.97614099099098917</v>
      </c>
      <c r="L173" s="331">
        <v>107.58</v>
      </c>
      <c r="M173" s="331">
        <v>107.58</v>
      </c>
      <c r="N173" s="327">
        <v>0</v>
      </c>
      <c r="O173" s="327">
        <v>0.13800000000000001</v>
      </c>
      <c r="P173" s="333">
        <f>((J173-D173)/D173)</f>
        <v>0</v>
      </c>
      <c r="Q173" s="333">
        <f>((M173-G173)/G173)</f>
        <v>0</v>
      </c>
      <c r="R173" s="333">
        <f>N173-H173</f>
        <v>0</v>
      </c>
      <c r="S173" s="368">
        <f t="shared" ref="S173:S175" si="63">O173-I173</f>
        <v>0</v>
      </c>
      <c r="T173" s="191"/>
    </row>
    <row r="174" spans="1:20" s="114" customFormat="1" ht="12" customHeight="1">
      <c r="A174" s="401">
        <v>2</v>
      </c>
      <c r="B174" s="372" t="s">
        <v>249</v>
      </c>
      <c r="C174" s="373" t="s">
        <v>41</v>
      </c>
      <c r="D174" s="330">
        <v>2238880070.04</v>
      </c>
      <c r="E174" s="337">
        <f>(D174/$D$175)</f>
        <v>2.3797246092857365E-2</v>
      </c>
      <c r="F174" s="332">
        <v>1000000</v>
      </c>
      <c r="G174" s="332">
        <v>1000000</v>
      </c>
      <c r="H174" s="327">
        <v>2.7000000000000001E-3</v>
      </c>
      <c r="I174" s="327">
        <v>0.16200000000000001</v>
      </c>
      <c r="J174" s="330">
        <v>2244832843.7199998</v>
      </c>
      <c r="K174" s="337">
        <f>(J174/$J$175)</f>
        <v>2.385900900901082E-2</v>
      </c>
      <c r="L174" s="332">
        <v>1000000</v>
      </c>
      <c r="M174" s="332">
        <v>1000000</v>
      </c>
      <c r="N174" s="327">
        <v>2.7000000000000001E-3</v>
      </c>
      <c r="O174" s="327">
        <v>0.1615</v>
      </c>
      <c r="P174" s="333">
        <f>((J174-D174)/D174)</f>
        <v>2.6588175756522216E-3</v>
      </c>
      <c r="Q174" s="333">
        <f>((M174-G174)/G174)</f>
        <v>0</v>
      </c>
      <c r="R174" s="333">
        <f>N174-H174</f>
        <v>0</v>
      </c>
      <c r="S174" s="368">
        <f t="shared" si="63"/>
        <v>-5.0000000000000044E-4</v>
      </c>
      <c r="T174" s="139" t="s">
        <v>213</v>
      </c>
    </row>
    <row r="175" spans="1:20" s="114" customFormat="1" ht="12" customHeight="1">
      <c r="A175" s="272"/>
      <c r="B175" s="272"/>
      <c r="C175" s="272" t="s">
        <v>206</v>
      </c>
      <c r="D175" s="377">
        <f>SUM(D173:D174)</f>
        <v>94081477382.039993</v>
      </c>
      <c r="E175" s="377"/>
      <c r="F175" s="378"/>
      <c r="G175" s="378"/>
      <c r="H175" s="379"/>
      <c r="I175" s="379"/>
      <c r="J175" s="377">
        <f>SUM(J173:J174)</f>
        <v>94087430155.720001</v>
      </c>
      <c r="K175" s="380"/>
      <c r="L175" s="378"/>
      <c r="M175" s="378"/>
      <c r="N175" s="379"/>
      <c r="O175" s="379"/>
      <c r="P175" s="381">
        <f>((J175-D175)/D175)</f>
        <v>6.3272536163896484E-5</v>
      </c>
      <c r="Q175" s="382"/>
      <c r="R175" s="381">
        <f>N175-H175</f>
        <v>0</v>
      </c>
      <c r="S175" s="383">
        <f t="shared" si="63"/>
        <v>0</v>
      </c>
      <c r="T175" s="140">
        <f>((J175-D175)/D175)</f>
        <v>6.3272536163896484E-5</v>
      </c>
    </row>
    <row r="176" spans="1:20" s="114" customFormat="1" ht="7.5" customHeight="1">
      <c r="A176" s="453"/>
      <c r="B176" s="454"/>
      <c r="C176" s="455"/>
      <c r="D176" s="455"/>
      <c r="E176" s="455"/>
      <c r="F176" s="455"/>
      <c r="G176" s="455"/>
      <c r="H176" s="455"/>
      <c r="I176" s="455"/>
      <c r="J176" s="455"/>
      <c r="K176" s="455"/>
      <c r="L176" s="455"/>
      <c r="M176" s="455"/>
      <c r="N176" s="455"/>
      <c r="O176" s="455"/>
      <c r="P176" s="455"/>
      <c r="Q176" s="455"/>
      <c r="R176" s="455"/>
      <c r="S176" s="456"/>
      <c r="T176" s="191"/>
    </row>
    <row r="177" spans="1:20" s="114" customFormat="1" ht="12" customHeight="1">
      <c r="A177" s="449" t="s">
        <v>46</v>
      </c>
      <c r="B177" s="450"/>
      <c r="C177" s="451"/>
      <c r="D177" s="451"/>
      <c r="E177" s="451"/>
      <c r="F177" s="451"/>
      <c r="G177" s="451"/>
      <c r="H177" s="451"/>
      <c r="I177" s="451"/>
      <c r="J177" s="451"/>
      <c r="K177" s="451"/>
      <c r="L177" s="451"/>
      <c r="M177" s="451"/>
      <c r="N177" s="451"/>
      <c r="O177" s="451"/>
      <c r="P177" s="451"/>
      <c r="Q177" s="451"/>
      <c r="R177" s="451"/>
      <c r="S177" s="452"/>
      <c r="T177" s="191"/>
    </row>
    <row r="178" spans="1:20" s="114" customFormat="1" ht="25.5" customHeight="1">
      <c r="A178" s="255"/>
      <c r="B178" s="257" t="s">
        <v>46</v>
      </c>
      <c r="C178" s="256" t="s">
        <v>198</v>
      </c>
      <c r="D178" s="257" t="s">
        <v>73</v>
      </c>
      <c r="E178" s="258" t="s">
        <v>62</v>
      </c>
      <c r="F178" s="258"/>
      <c r="G178" s="258" t="s">
        <v>74</v>
      </c>
      <c r="H178" s="259"/>
      <c r="I178" s="259"/>
      <c r="J178" s="260" t="s">
        <v>73</v>
      </c>
      <c r="K178" s="258" t="s">
        <v>62</v>
      </c>
      <c r="L178" s="260" t="s">
        <v>218</v>
      </c>
      <c r="M178" s="260" t="s">
        <v>219</v>
      </c>
      <c r="N178" s="258"/>
      <c r="O178" s="258"/>
      <c r="P178" s="410" t="s">
        <v>63</v>
      </c>
      <c r="Q178" s="410"/>
      <c r="R178" s="410"/>
      <c r="S178" s="371"/>
      <c r="T178" s="191"/>
    </row>
    <row r="179" spans="1:20" s="114" customFormat="1" ht="12" customHeight="1">
      <c r="A179" s="192"/>
      <c r="B179" s="68"/>
      <c r="C179" s="68"/>
      <c r="D179" s="202"/>
      <c r="E179" s="202"/>
      <c r="F179" s="202"/>
      <c r="G179" s="202"/>
      <c r="H179" s="225"/>
      <c r="I179" s="225"/>
      <c r="J179" s="221"/>
      <c r="K179" s="202"/>
      <c r="L179" s="202"/>
      <c r="M179" s="202"/>
      <c r="N179" s="224"/>
      <c r="O179" s="224"/>
      <c r="P179" s="301" t="s">
        <v>208</v>
      </c>
      <c r="Q179" s="304" t="s">
        <v>121</v>
      </c>
      <c r="R179" s="301" t="s">
        <v>220</v>
      </c>
      <c r="S179" s="368">
        <f t="shared" ref="S179:S192" si="64">O179-I179</f>
        <v>0</v>
      </c>
      <c r="T179" s="191"/>
    </row>
    <row r="180" spans="1:20" s="114" customFormat="1" ht="12" customHeight="1">
      <c r="A180" s="405">
        <v>1</v>
      </c>
      <c r="B180" s="372" t="s">
        <v>228</v>
      </c>
      <c r="C180" s="373" t="s">
        <v>88</v>
      </c>
      <c r="D180" s="328">
        <v>532510880.30853528</v>
      </c>
      <c r="E180" s="196">
        <f t="shared" ref="E180:E191" si="65">(D180/$D$192)</f>
        <v>6.7402750627886351E-2</v>
      </c>
      <c r="F180" s="332">
        <v>122.57</v>
      </c>
      <c r="G180" s="332">
        <v>122.6</v>
      </c>
      <c r="H180" s="339">
        <v>2E-3</v>
      </c>
      <c r="I180" s="339">
        <v>4.0000000000000001E-3</v>
      </c>
      <c r="J180" s="328">
        <v>544522719.61999989</v>
      </c>
      <c r="K180" s="196">
        <f t="shared" ref="K180:K190" si="66">(J180/$J$192)</f>
        <v>7.2818067726799593E-2</v>
      </c>
      <c r="L180" s="332">
        <v>122.4</v>
      </c>
      <c r="M180" s="332">
        <v>125.36</v>
      </c>
      <c r="N180" s="339">
        <v>3.8999999999999998E-3</v>
      </c>
      <c r="O180" s="339">
        <v>5.4000000000000003E-3</v>
      </c>
      <c r="P180" s="333">
        <f t="shared" ref="P180:P191" si="67">((J180-D180)/D180)</f>
        <v>2.2556983820696739E-2</v>
      </c>
      <c r="Q180" s="333">
        <f t="shared" ref="Q180:Q191" si="68">((M180-G180)/G180)</f>
        <v>2.2512234910277366E-2</v>
      </c>
      <c r="R180" s="333">
        <f t="shared" ref="R180:R191" si="69">N180-H180</f>
        <v>1.8999999999999998E-3</v>
      </c>
      <c r="S180" s="368">
        <f t="shared" si="64"/>
        <v>1.4000000000000002E-3</v>
      </c>
      <c r="T180" s="191"/>
    </row>
    <row r="181" spans="1:20" s="114" customFormat="1" ht="12" customHeight="1">
      <c r="A181" s="396">
        <v>2</v>
      </c>
      <c r="B181" s="372" t="s">
        <v>97</v>
      </c>
      <c r="C181" s="373" t="s">
        <v>23</v>
      </c>
      <c r="D181" s="328">
        <v>567033998.29999995</v>
      </c>
      <c r="E181" s="196">
        <f t="shared" si="65"/>
        <v>7.1772526343130999E-2</v>
      </c>
      <c r="F181" s="332">
        <v>16.98</v>
      </c>
      <c r="G181" s="332">
        <v>16.98</v>
      </c>
      <c r="H181" s="339">
        <v>1.6899999999999998E-2</v>
      </c>
      <c r="I181" s="339">
        <v>9.3600000000000003E-2</v>
      </c>
      <c r="J181" s="328">
        <v>563554352.36000001</v>
      </c>
      <c r="K181" s="196">
        <f t="shared" si="66"/>
        <v>7.5363134575029606E-2</v>
      </c>
      <c r="L181" s="332">
        <v>16.87</v>
      </c>
      <c r="M181" s="332">
        <v>16.87</v>
      </c>
      <c r="N181" s="339">
        <v>-6.1000000000000004E-3</v>
      </c>
      <c r="O181" s="339">
        <v>8.6900000000000005E-2</v>
      </c>
      <c r="P181" s="333">
        <f t="shared" si="67"/>
        <v>-6.136573733554097E-3</v>
      </c>
      <c r="Q181" s="333">
        <f t="shared" si="68"/>
        <v>-6.4782096584216388E-3</v>
      </c>
      <c r="R181" s="333">
        <f t="shared" si="69"/>
        <v>-2.3E-2</v>
      </c>
      <c r="S181" s="368">
        <f t="shared" si="64"/>
        <v>-6.6999999999999976E-3</v>
      </c>
      <c r="T181" s="191"/>
    </row>
    <row r="182" spans="1:20" s="114" customFormat="1" ht="12" customHeight="1">
      <c r="A182" s="398">
        <v>3</v>
      </c>
      <c r="B182" s="372" t="s">
        <v>188</v>
      </c>
      <c r="C182" s="373" t="s">
        <v>55</v>
      </c>
      <c r="D182" s="328">
        <v>186707605.55000001</v>
      </c>
      <c r="E182" s="196">
        <f t="shared" si="65"/>
        <v>2.3632580370799062E-2</v>
      </c>
      <c r="F182" s="332">
        <v>17.399999999999999</v>
      </c>
      <c r="G182" s="332">
        <v>17.5</v>
      </c>
      <c r="H182" s="339">
        <v>3.3787522254798086E-2</v>
      </c>
      <c r="I182" s="339">
        <v>-1.6061331398466883E-2</v>
      </c>
      <c r="J182" s="328">
        <v>195954258.77000001</v>
      </c>
      <c r="K182" s="196">
        <f t="shared" si="66"/>
        <v>2.6204619150558918E-2</v>
      </c>
      <c r="L182" s="332">
        <v>17.399999999999999</v>
      </c>
      <c r="M182" s="332">
        <v>17.5</v>
      </c>
      <c r="N182" s="339">
        <v>4.9524780700611393E-2</v>
      </c>
      <c r="O182" s="339">
        <v>3.2668015386875693E-2</v>
      </c>
      <c r="P182" s="333">
        <f t="shared" si="67"/>
        <v>4.9524780700611358E-2</v>
      </c>
      <c r="Q182" s="333">
        <f t="shared" si="68"/>
        <v>0</v>
      </c>
      <c r="R182" s="333">
        <f t="shared" si="69"/>
        <v>1.5737258445813307E-2</v>
      </c>
      <c r="S182" s="368">
        <f t="shared" si="64"/>
        <v>4.8729346785342575E-2</v>
      </c>
      <c r="T182" s="191"/>
    </row>
    <row r="183" spans="1:20" s="114" customFormat="1" ht="12" customHeight="1">
      <c r="A183" s="398">
        <v>4</v>
      </c>
      <c r="B183" s="372" t="s">
        <v>187</v>
      </c>
      <c r="C183" s="373" t="s">
        <v>55</v>
      </c>
      <c r="D183" s="328">
        <v>262104061.47</v>
      </c>
      <c r="E183" s="196">
        <f t="shared" si="65"/>
        <v>3.3175913107320293E-2</v>
      </c>
      <c r="F183" s="332">
        <v>16.399999999999999</v>
      </c>
      <c r="G183" s="332">
        <v>16.5</v>
      </c>
      <c r="H183" s="339">
        <v>-8.9926848060755127E-3</v>
      </c>
      <c r="I183" s="339">
        <v>0.12787825264869013</v>
      </c>
      <c r="J183" s="328">
        <v>266393963.72</v>
      </c>
      <c r="K183" s="196">
        <f t="shared" si="66"/>
        <v>3.5624397280816546E-2</v>
      </c>
      <c r="L183" s="332">
        <v>16.399999999999999</v>
      </c>
      <c r="M183" s="332">
        <v>16.5</v>
      </c>
      <c r="N183" s="339">
        <v>1.6367171977192063E-2</v>
      </c>
      <c r="O183" s="339">
        <v>0.14633842997912616</v>
      </c>
      <c r="P183" s="333">
        <f t="shared" si="67"/>
        <v>1.6367171977192025E-2</v>
      </c>
      <c r="Q183" s="333">
        <f t="shared" si="68"/>
        <v>0</v>
      </c>
      <c r="R183" s="333">
        <f t="shared" si="69"/>
        <v>2.5359856783267576E-2</v>
      </c>
      <c r="S183" s="368">
        <f t="shared" si="64"/>
        <v>1.8460177330436034E-2</v>
      </c>
      <c r="T183" s="191"/>
    </row>
    <row r="184" spans="1:20" s="114" customFormat="1" ht="12" customHeight="1">
      <c r="A184" s="402">
        <v>5</v>
      </c>
      <c r="B184" s="372" t="s">
        <v>32</v>
      </c>
      <c r="C184" s="373" t="s">
        <v>31</v>
      </c>
      <c r="D184" s="328">
        <v>1067959466.02</v>
      </c>
      <c r="E184" s="196">
        <f t="shared" si="65"/>
        <v>0.13517734234299542</v>
      </c>
      <c r="F184" s="332">
        <v>19999.990000000002</v>
      </c>
      <c r="G184" s="332">
        <v>19999.990000000002</v>
      </c>
      <c r="H184" s="339">
        <v>0</v>
      </c>
      <c r="I184" s="339">
        <v>0</v>
      </c>
      <c r="J184" s="328">
        <v>656838118.39999998</v>
      </c>
      <c r="K184" s="196">
        <f t="shared" si="66"/>
        <v>8.783780890643679E-2</v>
      </c>
      <c r="L184" s="332">
        <v>12300.8</v>
      </c>
      <c r="M184" s="332">
        <v>12300.8</v>
      </c>
      <c r="N184" s="339">
        <v>0</v>
      </c>
      <c r="O184" s="339">
        <v>0</v>
      </c>
      <c r="P184" s="333">
        <f t="shared" si="67"/>
        <v>-0.38495969247984624</v>
      </c>
      <c r="Q184" s="333">
        <f t="shared" si="68"/>
        <v>-0.38495969247984635</v>
      </c>
      <c r="R184" s="333">
        <f t="shared" si="69"/>
        <v>0</v>
      </c>
      <c r="S184" s="368">
        <f t="shared" si="64"/>
        <v>0</v>
      </c>
      <c r="T184" s="191"/>
    </row>
    <row r="185" spans="1:20" s="114" customFormat="1" ht="12" customHeight="1">
      <c r="A185" s="401">
        <v>6</v>
      </c>
      <c r="B185" s="372" t="s">
        <v>95</v>
      </c>
      <c r="C185" s="373" t="s">
        <v>39</v>
      </c>
      <c r="D185" s="328">
        <v>645296184.25</v>
      </c>
      <c r="E185" s="196">
        <f t="shared" si="65"/>
        <v>8.1678589858912604E-2</v>
      </c>
      <c r="F185" s="332">
        <v>73</v>
      </c>
      <c r="G185" s="332">
        <v>73</v>
      </c>
      <c r="H185" s="339">
        <v>2.0999999999999999E-3</v>
      </c>
      <c r="I185" s="339">
        <v>5.1900000000000002E-2</v>
      </c>
      <c r="J185" s="328">
        <v>666980870.99000001</v>
      </c>
      <c r="K185" s="196">
        <f t="shared" si="66"/>
        <v>8.9194181411059212E-2</v>
      </c>
      <c r="L185" s="332">
        <v>73</v>
      </c>
      <c r="M185" s="332">
        <v>73</v>
      </c>
      <c r="N185" s="339">
        <v>3.3500000000000002E-2</v>
      </c>
      <c r="O185" s="339">
        <v>8.72E-2</v>
      </c>
      <c r="P185" s="333">
        <f t="shared" si="67"/>
        <v>3.3604238285095685E-2</v>
      </c>
      <c r="Q185" s="333">
        <f t="shared" si="68"/>
        <v>0</v>
      </c>
      <c r="R185" s="333">
        <f t="shared" si="69"/>
        <v>3.1400000000000004E-2</v>
      </c>
      <c r="S185" s="368">
        <f t="shared" si="64"/>
        <v>3.5299999999999998E-2</v>
      </c>
      <c r="T185" s="191"/>
    </row>
    <row r="186" spans="1:20" s="114" customFormat="1" ht="12" customHeight="1">
      <c r="A186" s="401">
        <v>7</v>
      </c>
      <c r="B186" s="372" t="s">
        <v>40</v>
      </c>
      <c r="C186" s="373" t="s">
        <v>39</v>
      </c>
      <c r="D186" s="328">
        <v>476224471</v>
      </c>
      <c r="E186" s="196">
        <f t="shared" si="65"/>
        <v>6.0278278714440761E-2</v>
      </c>
      <c r="F186" s="332">
        <v>240</v>
      </c>
      <c r="G186" s="332">
        <v>240</v>
      </c>
      <c r="H186" s="339">
        <v>-1E-3</v>
      </c>
      <c r="I186" s="339">
        <v>6.5500000000000003E-2</v>
      </c>
      <c r="J186" s="328">
        <v>476751713.42000002</v>
      </c>
      <c r="K186" s="196">
        <f t="shared" si="66"/>
        <v>6.3755169997153263E-2</v>
      </c>
      <c r="L186" s="332">
        <v>247.5</v>
      </c>
      <c r="M186" s="332">
        <v>247.5</v>
      </c>
      <c r="N186" s="339">
        <v>1.1000000000000001E-3</v>
      </c>
      <c r="O186" s="339">
        <v>6.6600000000000006E-2</v>
      </c>
      <c r="P186" s="333">
        <f t="shared" si="67"/>
        <v>1.1071300449825407E-3</v>
      </c>
      <c r="Q186" s="333">
        <f t="shared" si="68"/>
        <v>3.125E-2</v>
      </c>
      <c r="R186" s="333">
        <f t="shared" si="69"/>
        <v>2.1000000000000003E-3</v>
      </c>
      <c r="S186" s="368">
        <f t="shared" si="64"/>
        <v>1.1000000000000038E-3</v>
      </c>
      <c r="T186" s="191"/>
    </row>
    <row r="187" spans="1:20" s="114" customFormat="1" ht="12" customHeight="1">
      <c r="A187" s="401">
        <v>8</v>
      </c>
      <c r="B187" s="372" t="s">
        <v>50</v>
      </c>
      <c r="C187" s="373" t="s">
        <v>29</v>
      </c>
      <c r="D187" s="328">
        <v>165091749.72999999</v>
      </c>
      <c r="E187" s="196">
        <f t="shared" si="65"/>
        <v>2.0896545872124323E-2</v>
      </c>
      <c r="F187" s="332">
        <v>7.38</v>
      </c>
      <c r="G187" s="332">
        <v>7.48</v>
      </c>
      <c r="H187" s="339">
        <v>0</v>
      </c>
      <c r="I187" s="339">
        <v>0</v>
      </c>
      <c r="J187" s="328">
        <v>168578605.78</v>
      </c>
      <c r="K187" s="196">
        <f t="shared" si="66"/>
        <v>2.2543721116988664E-2</v>
      </c>
      <c r="L187" s="332">
        <v>7.52</v>
      </c>
      <c r="M187" s="332">
        <v>7.62</v>
      </c>
      <c r="N187" s="339">
        <v>0</v>
      </c>
      <c r="O187" s="339">
        <v>0</v>
      </c>
      <c r="P187" s="333">
        <f t="shared" si="67"/>
        <v>2.112071654520959E-2</v>
      </c>
      <c r="Q187" s="333">
        <f t="shared" si="68"/>
        <v>1.8716577540106909E-2</v>
      </c>
      <c r="R187" s="333">
        <f t="shared" si="69"/>
        <v>0</v>
      </c>
      <c r="S187" s="368">
        <f t="shared" si="64"/>
        <v>0</v>
      </c>
      <c r="T187" s="191"/>
    </row>
    <row r="188" spans="1:20" s="114" customFormat="1" ht="12" customHeight="1">
      <c r="A188" s="401">
        <v>9</v>
      </c>
      <c r="B188" s="372" t="s">
        <v>60</v>
      </c>
      <c r="C188" s="373" t="s">
        <v>29</v>
      </c>
      <c r="D188" s="75">
        <v>375890551.91000003</v>
      </c>
      <c r="E188" s="196">
        <f t="shared" si="65"/>
        <v>4.7578477869013043E-2</v>
      </c>
      <c r="F188" s="332">
        <v>4.51</v>
      </c>
      <c r="G188" s="332">
        <v>4.6100000000000003</v>
      </c>
      <c r="H188" s="339">
        <v>0</v>
      </c>
      <c r="I188" s="339">
        <v>0</v>
      </c>
      <c r="J188" s="75">
        <v>385369042.60000002</v>
      </c>
      <c r="K188" s="196">
        <f t="shared" si="66"/>
        <v>5.1534725793336816E-2</v>
      </c>
      <c r="L188" s="332">
        <v>4.6500000000000004</v>
      </c>
      <c r="M188" s="332">
        <v>4.75</v>
      </c>
      <c r="N188" s="339">
        <v>0</v>
      </c>
      <c r="O188" s="339">
        <v>0</v>
      </c>
      <c r="P188" s="333">
        <f t="shared" si="67"/>
        <v>2.5216091869926661E-2</v>
      </c>
      <c r="Q188" s="333">
        <f t="shared" si="68"/>
        <v>3.036876355748366E-2</v>
      </c>
      <c r="R188" s="333">
        <f t="shared" si="69"/>
        <v>0</v>
      </c>
      <c r="S188" s="368">
        <f t="shared" si="64"/>
        <v>0</v>
      </c>
      <c r="T188" s="191"/>
    </row>
    <row r="189" spans="1:20" s="114" customFormat="1" ht="12" customHeight="1">
      <c r="A189" s="401">
        <v>10</v>
      </c>
      <c r="B189" s="372" t="s">
        <v>93</v>
      </c>
      <c r="C189" s="373" t="s">
        <v>29</v>
      </c>
      <c r="D189" s="328">
        <v>504608337.55000001</v>
      </c>
      <c r="E189" s="196">
        <f t="shared" si="65"/>
        <v>6.3870976534655025E-2</v>
      </c>
      <c r="F189" s="332">
        <v>142.34</v>
      </c>
      <c r="G189" s="332">
        <v>144.34</v>
      </c>
      <c r="H189" s="339">
        <v>0</v>
      </c>
      <c r="I189" s="339">
        <v>0</v>
      </c>
      <c r="J189" s="328">
        <v>480681707.23000002</v>
      </c>
      <c r="K189" s="196">
        <f t="shared" si="66"/>
        <v>6.4280721172726235E-2</v>
      </c>
      <c r="L189" s="332">
        <v>135.54</v>
      </c>
      <c r="M189" s="332">
        <v>137.54</v>
      </c>
      <c r="N189" s="339">
        <v>0</v>
      </c>
      <c r="O189" s="339">
        <v>0</v>
      </c>
      <c r="P189" s="333">
        <f t="shared" si="67"/>
        <v>-4.7416240556328856E-2</v>
      </c>
      <c r="Q189" s="333">
        <f t="shared" si="68"/>
        <v>-4.7110987945129634E-2</v>
      </c>
      <c r="R189" s="333">
        <f t="shared" si="69"/>
        <v>0</v>
      </c>
      <c r="S189" s="368">
        <f t="shared" si="64"/>
        <v>0</v>
      </c>
      <c r="T189" s="191"/>
    </row>
    <row r="190" spans="1:20" s="114" customFormat="1" ht="12" customHeight="1">
      <c r="A190" s="401">
        <v>11</v>
      </c>
      <c r="B190" s="372" t="s">
        <v>30</v>
      </c>
      <c r="C190" s="373" t="s">
        <v>29</v>
      </c>
      <c r="D190" s="328">
        <v>2867092206.77</v>
      </c>
      <c r="E190" s="196">
        <f t="shared" si="65"/>
        <v>0.36290319726069492</v>
      </c>
      <c r="F190" s="332">
        <v>19.07</v>
      </c>
      <c r="G190" s="332">
        <v>19.27</v>
      </c>
      <c r="H190" s="339">
        <v>0</v>
      </c>
      <c r="I190" s="339">
        <v>0</v>
      </c>
      <c r="J190" s="328">
        <v>2821817037.1100001</v>
      </c>
      <c r="K190" s="196">
        <f t="shared" si="66"/>
        <v>0.37735664044341166</v>
      </c>
      <c r="L190" s="332">
        <v>19.05</v>
      </c>
      <c r="M190" s="332">
        <v>19.25</v>
      </c>
      <c r="N190" s="339">
        <v>0</v>
      </c>
      <c r="O190" s="339">
        <v>0</v>
      </c>
      <c r="P190" s="333">
        <f t="shared" si="67"/>
        <v>-1.5791319704714278E-2</v>
      </c>
      <c r="Q190" s="333">
        <f t="shared" si="68"/>
        <v>-1.0378827192527023E-3</v>
      </c>
      <c r="R190" s="333">
        <f t="shared" si="69"/>
        <v>0</v>
      </c>
      <c r="S190" s="368">
        <f t="shared" si="64"/>
        <v>0</v>
      </c>
      <c r="T190" s="191"/>
    </row>
    <row r="191" spans="1:20" s="114" customFormat="1" ht="12" customHeight="1">
      <c r="A191" s="401">
        <v>12</v>
      </c>
      <c r="B191" s="372" t="s">
        <v>51</v>
      </c>
      <c r="C191" s="373" t="s">
        <v>29</v>
      </c>
      <c r="D191" s="75">
        <v>249912967.24000001</v>
      </c>
      <c r="E191" s="196">
        <f t="shared" si="65"/>
        <v>3.1632821098027161E-2</v>
      </c>
      <c r="F191" s="332">
        <v>23.57</v>
      </c>
      <c r="G191" s="332">
        <v>23.77</v>
      </c>
      <c r="H191" s="339">
        <v>0</v>
      </c>
      <c r="I191" s="339">
        <v>0</v>
      </c>
      <c r="J191" s="75">
        <v>250409420.94</v>
      </c>
      <c r="K191" s="196">
        <v>0.24610000000000001</v>
      </c>
      <c r="L191" s="332">
        <v>23.56</v>
      </c>
      <c r="M191" s="332">
        <v>23.76</v>
      </c>
      <c r="N191" s="339">
        <v>0</v>
      </c>
      <c r="O191" s="339">
        <v>0</v>
      </c>
      <c r="P191" s="333">
        <f t="shared" si="67"/>
        <v>1.9865063645266015E-3</v>
      </c>
      <c r="Q191" s="333">
        <f t="shared" si="68"/>
        <v>-4.2069835927631514E-4</v>
      </c>
      <c r="R191" s="333">
        <f t="shared" si="69"/>
        <v>0</v>
      </c>
      <c r="S191" s="368">
        <f t="shared" si="64"/>
        <v>0</v>
      </c>
      <c r="T191" s="193"/>
    </row>
    <row r="192" spans="1:20" s="114" customFormat="1" ht="12" customHeight="1">
      <c r="A192" s="384"/>
      <c r="B192" s="385"/>
      <c r="C192" s="385" t="s">
        <v>33</v>
      </c>
      <c r="D192" s="377">
        <f>SUM(D180:D191)</f>
        <v>7900432480.0985355</v>
      </c>
      <c r="E192" s="377"/>
      <c r="F192" s="380"/>
      <c r="G192" s="378"/>
      <c r="H192" s="379"/>
      <c r="I192" s="379"/>
      <c r="J192" s="377">
        <f>SUM(J180:J191)</f>
        <v>7477851810.9399996</v>
      </c>
      <c r="K192" s="380"/>
      <c r="L192" s="380"/>
      <c r="M192" s="378"/>
      <c r="N192" s="379"/>
      <c r="O192" s="379"/>
      <c r="P192" s="381">
        <f t="shared" ref="P192" si="70">((J192-D192)/D192)</f>
        <v>-5.3488295763938411E-2</v>
      </c>
      <c r="Q192" s="382"/>
      <c r="R192" s="381">
        <f t="shared" ref="R192" si="71">N192-H192</f>
        <v>0</v>
      </c>
      <c r="S192" s="383">
        <f t="shared" si="64"/>
        <v>0</v>
      </c>
      <c r="T192" s="139" t="s">
        <v>268</v>
      </c>
    </row>
    <row r="193" spans="1:20" s="114" customFormat="1" ht="12" customHeight="1" thickBot="1">
      <c r="A193" s="250"/>
      <c r="B193" s="251"/>
      <c r="C193" s="251" t="s">
        <v>43</v>
      </c>
      <c r="D193" s="252">
        <f>SUM(D168,D175,D192)</f>
        <v>1744855165182.175</v>
      </c>
      <c r="E193" s="252"/>
      <c r="F193" s="252"/>
      <c r="G193" s="253"/>
      <c r="H193" s="254"/>
      <c r="I193" s="254"/>
      <c r="J193" s="252">
        <f>SUM(J168,J175,J192)</f>
        <v>1735632311170.3931</v>
      </c>
      <c r="K193" s="232"/>
      <c r="L193" s="232"/>
      <c r="M193" s="233"/>
      <c r="N193" s="234"/>
      <c r="O193" s="234"/>
      <c r="P193" s="215"/>
      <c r="Q193" s="219"/>
      <c r="R193" s="219"/>
      <c r="S193" s="216"/>
      <c r="T193" s="140">
        <f>((J192-D192)/D192)</f>
        <v>-5.3488295763938411E-2</v>
      </c>
    </row>
    <row r="194" spans="1:20" ht="12" customHeight="1">
      <c r="A194" s="235"/>
      <c r="B194" s="94"/>
      <c r="C194" s="236"/>
      <c r="D194" s="66"/>
      <c r="E194" s="66"/>
      <c r="F194" s="66"/>
      <c r="G194" s="237"/>
      <c r="H194" s="238"/>
      <c r="I194" s="238"/>
      <c r="J194" s="7"/>
      <c r="K194" s="66"/>
      <c r="L194" s="66"/>
      <c r="M194" s="239"/>
      <c r="N194" s="240"/>
      <c r="O194" s="240"/>
    </row>
    <row r="195" spans="1:20" ht="12" customHeight="1">
      <c r="A195" s="240"/>
      <c r="B195" s="239"/>
      <c r="C195" s="242"/>
      <c r="D195" s="239"/>
      <c r="E195" s="239"/>
      <c r="F195" s="239"/>
      <c r="G195" s="239"/>
      <c r="H195" s="241"/>
      <c r="I195" s="241"/>
      <c r="J195" s="243"/>
      <c r="K195" s="239"/>
      <c r="L195" s="239"/>
      <c r="M195" s="239"/>
      <c r="N195" s="240"/>
      <c r="O195" s="240"/>
    </row>
    <row r="196" spans="1:20" ht="12" customHeight="1">
      <c r="A196" s="240"/>
      <c r="B196" s="242"/>
      <c r="C196" s="239"/>
      <c r="D196" s="239"/>
      <c r="E196" s="239"/>
      <c r="F196" s="239"/>
      <c r="G196" s="239"/>
      <c r="H196" s="241"/>
      <c r="I196" s="241"/>
      <c r="J196" s="243"/>
      <c r="K196" s="239"/>
      <c r="L196" s="239"/>
      <c r="M196" s="239"/>
      <c r="N196" s="240"/>
      <c r="O196" s="240"/>
    </row>
    <row r="197" spans="1:20" ht="12" customHeight="1">
      <c r="A197" s="240"/>
      <c r="B197" s="245"/>
      <c r="C197" s="244"/>
      <c r="D197" s="239"/>
      <c r="E197" s="239"/>
      <c r="F197" s="239"/>
      <c r="G197" s="239"/>
      <c r="H197" s="241"/>
      <c r="I197" s="241"/>
      <c r="J197" s="243"/>
      <c r="K197" s="239"/>
      <c r="L197" s="239"/>
      <c r="M197" s="239"/>
      <c r="N197" s="240"/>
      <c r="O197" s="240"/>
    </row>
    <row r="198" spans="1:20" ht="12" customHeight="1">
      <c r="A198" s="240"/>
      <c r="B198" s="244"/>
      <c r="C198" s="244"/>
      <c r="D198" s="239"/>
      <c r="E198" s="239"/>
      <c r="F198" s="239"/>
      <c r="G198" s="239"/>
      <c r="H198" s="241"/>
      <c r="I198" s="241"/>
      <c r="J198" s="243"/>
      <c r="K198" s="239"/>
      <c r="L198" s="239"/>
      <c r="M198" s="239"/>
      <c r="N198" s="240"/>
      <c r="O198" s="240"/>
    </row>
    <row r="199" spans="1:20" ht="12" customHeight="1">
      <c r="A199" s="240"/>
      <c r="B199" s="244"/>
      <c r="C199" s="244"/>
      <c r="D199" s="239"/>
      <c r="E199" s="239"/>
      <c r="F199" s="239"/>
      <c r="G199" s="239"/>
      <c r="H199" s="241"/>
      <c r="I199" s="241"/>
      <c r="J199" s="243"/>
      <c r="K199" s="239"/>
      <c r="L199" s="239"/>
      <c r="M199" s="239"/>
      <c r="N199" s="240"/>
      <c r="O199" s="240"/>
    </row>
    <row r="200" spans="1:20" ht="12" customHeight="1">
      <c r="A200" s="240"/>
      <c r="B200" s="244"/>
      <c r="C200" s="244"/>
      <c r="D200" s="239"/>
      <c r="E200" s="239"/>
      <c r="F200" s="239"/>
      <c r="G200" s="239"/>
      <c r="H200" s="241"/>
      <c r="I200" s="241"/>
      <c r="J200" s="243"/>
      <c r="K200" s="239"/>
      <c r="L200" s="239"/>
      <c r="M200" s="239"/>
      <c r="N200" s="240"/>
      <c r="O200" s="240"/>
    </row>
    <row r="201" spans="1:20" ht="12" customHeight="1">
      <c r="A201" s="240"/>
      <c r="B201" s="245"/>
      <c r="C201" s="244"/>
      <c r="D201" s="239"/>
      <c r="E201" s="239"/>
      <c r="F201" s="239"/>
      <c r="G201" s="239"/>
      <c r="H201" s="241"/>
      <c r="I201" s="241"/>
      <c r="J201" s="243"/>
      <c r="K201" s="239"/>
      <c r="L201" s="239"/>
      <c r="M201" s="239"/>
      <c r="N201" s="240"/>
      <c r="O201" s="240"/>
    </row>
    <row r="202" spans="1:20" ht="12" customHeight="1">
      <c r="B202" s="244"/>
      <c r="C202" s="244"/>
      <c r="D202" s="239"/>
      <c r="E202" s="239"/>
      <c r="F202" s="239"/>
      <c r="G202" s="239"/>
      <c r="H202" s="241"/>
      <c r="I202" s="241"/>
      <c r="J202" s="243"/>
      <c r="K202" s="239"/>
      <c r="L202" s="239"/>
      <c r="M202" s="239"/>
      <c r="N202" s="240"/>
      <c r="O202" s="240"/>
    </row>
    <row r="203" spans="1:20" ht="12" customHeight="1">
      <c r="B203" s="4"/>
      <c r="C203" s="4"/>
    </row>
    <row r="204" spans="1:20" ht="12" customHeight="1">
      <c r="B204" s="4"/>
      <c r="C204" s="4"/>
    </row>
    <row r="205" spans="1:20" ht="12" customHeight="1">
      <c r="B205" s="6"/>
      <c r="C205" s="4"/>
    </row>
    <row r="206" spans="1:20" ht="12" customHeight="1">
      <c r="B206" s="4"/>
      <c r="C206" s="4"/>
    </row>
    <row r="207" spans="1:20" ht="12" customHeight="1">
      <c r="B207" s="4"/>
      <c r="C207" s="4"/>
    </row>
    <row r="208" spans="1:20" ht="12" customHeight="1">
      <c r="B208" s="4"/>
      <c r="C208" s="4"/>
    </row>
    <row r="209" spans="2:3" ht="12" customHeight="1">
      <c r="B209" s="4"/>
      <c r="C209" s="4"/>
    </row>
    <row r="210" spans="2:3" ht="12" customHeight="1">
      <c r="B210" s="4"/>
      <c r="C210" s="4"/>
    </row>
    <row r="211" spans="2:3" ht="12" customHeight="1">
      <c r="B211" s="4"/>
      <c r="C211" s="4"/>
    </row>
    <row r="212" spans="2:3" ht="12" customHeight="1">
      <c r="B212" s="4"/>
      <c r="C212" s="4"/>
    </row>
    <row r="213" spans="2:3" ht="12" customHeight="1">
      <c r="B213" s="4"/>
      <c r="C213" s="4"/>
    </row>
    <row r="214" spans="2:3" ht="12" customHeight="1">
      <c r="B214" s="4"/>
      <c r="C214" s="4"/>
    </row>
    <row r="215" spans="2:3" ht="12" customHeight="1">
      <c r="B215" s="4"/>
      <c r="C215" s="4"/>
    </row>
    <row r="216" spans="2:3" ht="12" customHeight="1">
      <c r="B216" s="4"/>
      <c r="C216" s="4"/>
    </row>
    <row r="217" spans="2:3" ht="12" customHeight="1">
      <c r="B217" s="4"/>
      <c r="C217" s="4"/>
    </row>
    <row r="218" spans="2:3" ht="12" customHeight="1">
      <c r="B218" s="4"/>
      <c r="C218" s="4"/>
    </row>
    <row r="219" spans="2:3" ht="12" customHeight="1">
      <c r="B219" s="4"/>
      <c r="C219" s="4"/>
    </row>
    <row r="220" spans="2:3" ht="12" customHeight="1">
      <c r="B220" s="4"/>
      <c r="C220" s="4"/>
    </row>
    <row r="221" spans="2:3" ht="12" customHeight="1">
      <c r="B221" s="4"/>
      <c r="C221" s="4"/>
    </row>
    <row r="222" spans="2:3" ht="12" customHeight="1">
      <c r="B222" s="4"/>
      <c r="C222" s="4"/>
    </row>
    <row r="223" spans="2:3" ht="12" customHeight="1">
      <c r="B223" s="4"/>
      <c r="C223" s="4"/>
    </row>
    <row r="224" spans="2:3" ht="12" customHeight="1">
      <c r="B224" s="4"/>
      <c r="C224" s="4"/>
    </row>
    <row r="225" spans="2:3" ht="12" customHeight="1">
      <c r="B225" s="4"/>
      <c r="C225" s="4"/>
    </row>
    <row r="226" spans="2:3" ht="12" customHeight="1">
      <c r="B226" s="4"/>
      <c r="C226" s="4"/>
    </row>
    <row r="227" spans="2:3" ht="12" customHeight="1">
      <c r="B227" s="4"/>
      <c r="C227" s="4"/>
    </row>
    <row r="228" spans="2:3" ht="12" customHeight="1">
      <c r="B228" s="4"/>
      <c r="C228" s="4"/>
    </row>
    <row r="229" spans="2:3" ht="12" customHeight="1">
      <c r="B229" s="4"/>
      <c r="C229" s="4"/>
    </row>
    <row r="230" spans="2:3" ht="12" customHeight="1">
      <c r="B230" s="4"/>
      <c r="C230" s="4"/>
    </row>
    <row r="231" spans="2:3" ht="12" customHeight="1">
      <c r="B231" s="4"/>
      <c r="C231" s="4"/>
    </row>
    <row r="232" spans="2:3" ht="12" customHeight="1">
      <c r="B232" s="4"/>
      <c r="C232" s="4"/>
    </row>
    <row r="233" spans="2:3" ht="12" customHeight="1">
      <c r="B233" s="4"/>
      <c r="C233" s="4"/>
    </row>
    <row r="234" spans="2:3" ht="12" customHeight="1">
      <c r="B234" s="4"/>
      <c r="C234" s="4"/>
    </row>
    <row r="235" spans="2:3" ht="12" customHeight="1">
      <c r="B235" s="4"/>
      <c r="C235" s="4"/>
    </row>
    <row r="236" spans="2:3" ht="12" customHeight="1">
      <c r="B236" s="4"/>
      <c r="C236" s="4"/>
    </row>
    <row r="237" spans="2:3" ht="12" customHeight="1">
      <c r="B237" s="4"/>
      <c r="C237" s="4"/>
    </row>
    <row r="238" spans="2:3" ht="12" customHeight="1">
      <c r="B238" s="5"/>
      <c r="C238" s="5"/>
    </row>
    <row r="239" spans="2:3" ht="12" customHeight="1">
      <c r="B239" s="5"/>
      <c r="C239" s="5"/>
    </row>
    <row r="240" spans="2:3" ht="12" customHeight="1">
      <c r="B240" s="5"/>
      <c r="C240" s="5"/>
    </row>
  </sheetData>
  <protectedRanges>
    <protectedRange password="CADF" sqref="E47" name="Yield_1_1_2_1_1_1"/>
    <protectedRange password="CADF" sqref="E52" name="Yield_1_1_1_1"/>
    <protectedRange password="CADF" sqref="J19 D19" name="Fund Name_1_1_1_3_1_1"/>
    <protectedRange password="CADF" sqref="N19:O19 H19:I19" name="Yield_1_1_2_1_3"/>
    <protectedRange password="CADF" sqref="L19:M19 F19:G19" name="Fund Name_1_1_1_1_1_1"/>
    <protectedRange password="CADF" sqref="J47 D47" name="Yield_2_1_2_3_1"/>
    <protectedRange password="CADF" sqref="J52 D52" name="Yield_2_1_2_4_1"/>
    <protectedRange password="CADF" sqref="N52:O52 H52:I52" name="Yield_1_1_1_1_1"/>
    <protectedRange password="CADF" sqref="J77 D77" name="Yield_2_1_2_1_1"/>
    <protectedRange password="CADF" sqref="N77:O77 H77:I77" name="Yield_1_1_2_1_2_1"/>
    <protectedRange password="CADF" sqref="L77:M77 F77:G77" name="Fund Name_2_2_1_1"/>
    <protectedRange password="CADF" sqref="M76 G76" name="BidOffer Prices_2_1_1_1_1_1_1_1_1_1"/>
    <protectedRange password="CADF" sqref="J143:J145 D143:D145" name="Fund Name_1_1_1_2"/>
    <protectedRange password="CADF" sqref="N143:O145 H143:I145" name="Yield_1_1_2_2"/>
    <protectedRange password="CADF" sqref="L143:M145 F143:G145" name="Fund Name_1_1_1_1_2"/>
    <protectedRange password="CADF" sqref="N47:O47 H47:I47" name="Yield_1_1_2_1_1_1_1_1"/>
    <protectedRange password="CADF" sqref="J94:J95 D94:D95" name="Yield_2_1_2_6_3"/>
  </protectedRanges>
  <mergeCells count="43">
    <mergeCell ref="A148:S148"/>
    <mergeCell ref="A147:S147"/>
    <mergeCell ref="A177:S177"/>
    <mergeCell ref="A159:S159"/>
    <mergeCell ref="A158:S158"/>
    <mergeCell ref="A170:S170"/>
    <mergeCell ref="A176:S176"/>
    <mergeCell ref="A1:S1"/>
    <mergeCell ref="A56:S56"/>
    <mergeCell ref="A55:S55"/>
    <mergeCell ref="A89:S89"/>
    <mergeCell ref="A90:S90"/>
    <mergeCell ref="A88:S88"/>
    <mergeCell ref="D2:I2"/>
    <mergeCell ref="J2:O2"/>
    <mergeCell ref="U70:V70"/>
    <mergeCell ref="V30:W30"/>
    <mergeCell ref="P2:Q2"/>
    <mergeCell ref="R2:S2"/>
    <mergeCell ref="V31:W31"/>
    <mergeCell ref="V32:W32"/>
    <mergeCell ref="V35:W35"/>
    <mergeCell ref="U40:U41"/>
    <mergeCell ref="A4:S4"/>
    <mergeCell ref="A5:S5"/>
    <mergeCell ref="A24:S24"/>
    <mergeCell ref="A23:S23"/>
    <mergeCell ref="W119:W121"/>
    <mergeCell ref="V71:V83"/>
    <mergeCell ref="T122:T123"/>
    <mergeCell ref="P178:R178"/>
    <mergeCell ref="P171:R171"/>
    <mergeCell ref="A169:R169"/>
    <mergeCell ref="A114:S114"/>
    <mergeCell ref="A154:S154"/>
    <mergeCell ref="A155:S155"/>
    <mergeCell ref="A153:S153"/>
    <mergeCell ref="U103:U104"/>
    <mergeCell ref="A102:S102"/>
    <mergeCell ref="A101:S101"/>
    <mergeCell ref="A113:S113"/>
    <mergeCell ref="A121:S121"/>
    <mergeCell ref="A120:S120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100" max="16383" man="1"/>
    <brk id="139" max="16383" man="1"/>
  </rowBreaks>
  <colBreaks count="1" manualBreakCount="1">
    <brk id="10" max="19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Normal="10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04"/>
      <c r="F3" s="104"/>
      <c r="G3" s="104"/>
    </row>
    <row r="4" spans="1:7">
      <c r="E4" s="104"/>
      <c r="F4" s="104"/>
      <c r="G4" s="104"/>
    </row>
    <row r="5" spans="1:7">
      <c r="E5" s="104"/>
      <c r="F5" s="104"/>
      <c r="G5" s="104"/>
    </row>
    <row r="6" spans="1:7">
      <c r="E6" s="101" t="s">
        <v>65</v>
      </c>
      <c r="F6" s="102" t="s">
        <v>155</v>
      </c>
      <c r="G6" s="104"/>
    </row>
    <row r="7" spans="1:7">
      <c r="E7" s="197" t="s">
        <v>0</v>
      </c>
      <c r="F7" s="103">
        <f>'NAV Trend'!J2</f>
        <v>16966112297.950001</v>
      </c>
      <c r="G7" s="104"/>
    </row>
    <row r="8" spans="1:7">
      <c r="E8" s="197" t="s">
        <v>44</v>
      </c>
      <c r="F8" s="103">
        <f>'NAV Trend'!J3</f>
        <v>813613346034.13635</v>
      </c>
      <c r="G8" s="104"/>
    </row>
    <row r="9" spans="1:7">
      <c r="A9" s="104"/>
      <c r="B9" s="104"/>
      <c r="E9" s="197" t="s">
        <v>197</v>
      </c>
      <c r="F9" s="103">
        <f>'NAV Trend'!J4</f>
        <v>326621734089.72247</v>
      </c>
      <c r="G9" s="104"/>
    </row>
    <row r="10" spans="1:7">
      <c r="A10" s="457"/>
      <c r="B10" s="457"/>
      <c r="E10" s="197" t="s">
        <v>199</v>
      </c>
      <c r="F10" s="103">
        <f>'NAV Trend'!J5</f>
        <v>331372584980.02832</v>
      </c>
      <c r="G10" s="104"/>
    </row>
    <row r="11" spans="1:7">
      <c r="A11" s="97"/>
      <c r="B11" s="97"/>
      <c r="E11" s="197" t="s">
        <v>216</v>
      </c>
      <c r="F11" s="103">
        <f>'NAV Trend'!J6</f>
        <v>94193238006.570007</v>
      </c>
      <c r="G11" s="104"/>
    </row>
    <row r="12" spans="1:7">
      <c r="A12" s="98"/>
      <c r="B12" s="99"/>
      <c r="E12" s="197" t="s">
        <v>61</v>
      </c>
      <c r="F12" s="103">
        <f>'NAV Trend'!J7</f>
        <v>31764157613.919247</v>
      </c>
      <c r="G12" s="104"/>
    </row>
    <row r="13" spans="1:7">
      <c r="A13" s="98"/>
      <c r="B13" s="99"/>
      <c r="E13" s="197" t="s">
        <v>67</v>
      </c>
      <c r="F13" s="103">
        <f>'NAV Trend'!J8</f>
        <v>3052374164.9300003</v>
      </c>
      <c r="G13" s="104"/>
    </row>
    <row r="14" spans="1:7">
      <c r="A14" s="98"/>
      <c r="B14" s="99"/>
      <c r="E14" s="197" t="s">
        <v>212</v>
      </c>
      <c r="F14" s="198">
        <f>'NAV Trend'!J9</f>
        <v>25289708132.780003</v>
      </c>
      <c r="G14" s="104"/>
    </row>
    <row r="15" spans="1:7">
      <c r="A15" s="98"/>
      <c r="B15" s="99"/>
      <c r="E15" s="104"/>
      <c r="F15" s="104"/>
      <c r="G15" s="104"/>
    </row>
    <row r="16" spans="1:7">
      <c r="A16" s="98"/>
      <c r="B16" s="99"/>
      <c r="E16" s="104"/>
      <c r="F16" s="104"/>
      <c r="G16" s="104"/>
    </row>
    <row r="17" spans="1:13">
      <c r="A17" s="98"/>
      <c r="B17" s="99"/>
      <c r="E17" s="104"/>
      <c r="F17" s="104"/>
      <c r="G17" s="104"/>
    </row>
    <row r="18" spans="1:13">
      <c r="A18" s="98"/>
      <c r="B18" s="99"/>
      <c r="E18" s="104"/>
      <c r="F18" s="104"/>
      <c r="G18" s="104"/>
    </row>
    <row r="19" spans="1:13">
      <c r="A19" s="98"/>
      <c r="B19" s="99"/>
      <c r="E19" s="104"/>
      <c r="F19" s="104"/>
      <c r="G19" s="104"/>
    </row>
    <row r="24" spans="1:13" s="95" customFormat="1" ht="21.75" customHeight="1"/>
    <row r="25" spans="1:13" ht="30.75" customHeight="1">
      <c r="B25" s="392" t="s">
        <v>157</v>
      </c>
      <c r="M25" s="96"/>
    </row>
    <row r="26" spans="1:13" ht="43.5" customHeight="1">
      <c r="B26" s="458" t="s">
        <v>285</v>
      </c>
      <c r="C26" s="458"/>
      <c r="D26" s="458"/>
      <c r="E26" s="458"/>
      <c r="F26" s="458"/>
      <c r="G26" s="458"/>
      <c r="H26" s="458"/>
      <c r="I26" s="458"/>
      <c r="J26" s="458"/>
      <c r="K26" s="458"/>
      <c r="L26" s="458"/>
      <c r="M26" s="100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B1" zoomScale="120" zoomScaleNormal="120" workbookViewId="0">
      <pane xSplit="1" topLeftCell="H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350" t="s">
        <v>65</v>
      </c>
      <c r="C1" s="344">
        <v>45009</v>
      </c>
      <c r="D1" s="344">
        <v>45016</v>
      </c>
      <c r="E1" s="344">
        <v>45022</v>
      </c>
      <c r="F1" s="344">
        <v>45030</v>
      </c>
      <c r="G1" s="344">
        <v>45036</v>
      </c>
      <c r="H1" s="344">
        <v>45044</v>
      </c>
      <c r="I1" s="344">
        <v>45051</v>
      </c>
      <c r="J1" s="344">
        <v>45058</v>
      </c>
      <c r="K1" s="344">
        <v>45065</v>
      </c>
      <c r="L1" s="308"/>
    </row>
    <row r="2" spans="2:24" s="110" customFormat="1" ht="16.5">
      <c r="B2" s="351" t="s">
        <v>0</v>
      </c>
      <c r="C2" s="345">
        <v>17022340090.360001</v>
      </c>
      <c r="D2" s="345">
        <v>16999391000.99</v>
      </c>
      <c r="E2" s="345">
        <v>16887170786.960003</v>
      </c>
      <c r="F2" s="345">
        <v>16546902385.180002</v>
      </c>
      <c r="G2" s="345">
        <v>16580432011.360001</v>
      </c>
      <c r="H2" s="345">
        <v>16794813036.269999</v>
      </c>
      <c r="I2" s="345">
        <v>16995023834.229998</v>
      </c>
      <c r="J2" s="345">
        <v>16966112297.950001</v>
      </c>
      <c r="K2" s="345">
        <v>17079628906.379999</v>
      </c>
    </row>
    <row r="3" spans="2:24" s="110" customFormat="1" ht="16.5">
      <c r="B3" s="351" t="s">
        <v>44</v>
      </c>
      <c r="C3" s="346">
        <v>808555564328.63843</v>
      </c>
      <c r="D3" s="346">
        <v>806141589764.57471</v>
      </c>
      <c r="E3" s="346">
        <v>809389465815.42651</v>
      </c>
      <c r="F3" s="346">
        <v>813597370074.91248</v>
      </c>
      <c r="G3" s="346">
        <v>806059217034.32275</v>
      </c>
      <c r="H3" s="346">
        <v>792540018978.42993</v>
      </c>
      <c r="I3" s="346">
        <v>806100368208.14038</v>
      </c>
      <c r="J3" s="346">
        <v>813613346034.13635</v>
      </c>
      <c r="K3" s="346">
        <v>806087341383.99084</v>
      </c>
    </row>
    <row r="4" spans="2:24" s="110" customFormat="1" ht="16.5">
      <c r="B4" s="351" t="s">
        <v>197</v>
      </c>
      <c r="C4" s="345">
        <v>329560582532.39893</v>
      </c>
      <c r="D4" s="345">
        <v>325274738811.00598</v>
      </c>
      <c r="E4" s="345">
        <v>324645636399.64471</v>
      </c>
      <c r="F4" s="345">
        <v>325325671083.40485</v>
      </c>
      <c r="G4" s="345">
        <v>325304566651.13672</v>
      </c>
      <c r="H4" s="345">
        <v>324966477016.1626</v>
      </c>
      <c r="I4" s="345">
        <v>326343931654.87665</v>
      </c>
      <c r="J4" s="345">
        <v>326621734089.72247</v>
      </c>
      <c r="K4" s="345">
        <v>326437563760.66541</v>
      </c>
    </row>
    <row r="5" spans="2:24" s="110" customFormat="1" ht="16.5">
      <c r="B5" s="351" t="s">
        <v>199</v>
      </c>
      <c r="C5" s="346">
        <v>313889534077.08875</v>
      </c>
      <c r="D5" s="346">
        <v>315799107802.45465</v>
      </c>
      <c r="E5" s="346">
        <v>328369020682.2923</v>
      </c>
      <c r="F5" s="346">
        <v>329288437990.39252</v>
      </c>
      <c r="G5" s="346">
        <v>333300918749.29321</v>
      </c>
      <c r="H5" s="346">
        <v>332681726568.12634</v>
      </c>
      <c r="I5" s="346">
        <v>334539052167.92297</v>
      </c>
      <c r="J5" s="346">
        <v>331372584980.02832</v>
      </c>
      <c r="K5" s="346">
        <v>329647629846.67249</v>
      </c>
    </row>
    <row r="6" spans="2:24" s="110" customFormat="1" ht="16.5">
      <c r="B6" s="351" t="s">
        <v>217</v>
      </c>
      <c r="C6" s="345">
        <v>46448137747.110001</v>
      </c>
      <c r="D6" s="345">
        <v>46504435280.830002</v>
      </c>
      <c r="E6" s="345">
        <v>46547556602.110001</v>
      </c>
      <c r="F6" s="345">
        <v>46562248546.230003</v>
      </c>
      <c r="G6" s="345">
        <v>47203225292.739998</v>
      </c>
      <c r="H6" s="345">
        <v>47216549017.909996</v>
      </c>
      <c r="I6" s="345">
        <v>94163780372.309998</v>
      </c>
      <c r="J6" s="345">
        <v>94193238006.570007</v>
      </c>
      <c r="K6" s="345">
        <v>94202498345.429993</v>
      </c>
    </row>
    <row r="7" spans="2:24" s="110" customFormat="1" ht="16.5">
      <c r="B7" s="351" t="s">
        <v>226</v>
      </c>
      <c r="C7" s="347">
        <v>31270923143.617718</v>
      </c>
      <c r="D7" s="347">
        <v>31357580652.94627</v>
      </c>
      <c r="E7" s="347">
        <v>31214054403.725143</v>
      </c>
      <c r="F7" s="347">
        <v>31040700634.661449</v>
      </c>
      <c r="G7" s="347">
        <v>31064229357.892361</v>
      </c>
      <c r="H7" s="347">
        <v>31321324637.973106</v>
      </c>
      <c r="I7" s="347">
        <v>31685014995.591473</v>
      </c>
      <c r="J7" s="347">
        <v>31764157613.919247</v>
      </c>
      <c r="K7" s="347">
        <v>32017254793.66489</v>
      </c>
    </row>
    <row r="8" spans="2:24" s="289" customFormat="1" ht="16.5">
      <c r="B8" s="351" t="s">
        <v>67</v>
      </c>
      <c r="C8" s="345">
        <v>3062737011.3699999</v>
      </c>
      <c r="D8" s="345">
        <v>3065619906.6200004</v>
      </c>
      <c r="E8" s="345">
        <v>3044973052.6900001</v>
      </c>
      <c r="F8" s="345">
        <v>2397610345.79</v>
      </c>
      <c r="G8" s="345">
        <v>3016712191.5299997</v>
      </c>
      <c r="H8" s="345">
        <v>3019546321.4400001</v>
      </c>
      <c r="I8" s="345">
        <v>3058498106.9700003</v>
      </c>
      <c r="J8" s="345">
        <v>3052374164.9300003</v>
      </c>
      <c r="K8" s="345">
        <v>3085351470.0200005</v>
      </c>
    </row>
    <row r="9" spans="2:24" ht="16.5">
      <c r="B9" s="351" t="s">
        <v>212</v>
      </c>
      <c r="C9" s="345">
        <v>25123628784.880001</v>
      </c>
      <c r="D9" s="345">
        <v>25237093944.099998</v>
      </c>
      <c r="E9" s="345">
        <v>25308511589.740002</v>
      </c>
      <c r="F9" s="345">
        <v>25115154237.279999</v>
      </c>
      <c r="G9" s="345">
        <v>25259823709.369999</v>
      </c>
      <c r="H9" s="345">
        <v>25078820531.75</v>
      </c>
      <c r="I9" s="345">
        <v>25223397111.16</v>
      </c>
      <c r="J9" s="345">
        <v>25289708132.780003</v>
      </c>
      <c r="K9" s="345">
        <v>25509760696.910004</v>
      </c>
    </row>
    <row r="10" spans="2:24" s="1" customFormat="1" ht="15.75">
      <c r="B10" s="352" t="s">
        <v>254</v>
      </c>
      <c r="C10" s="353">
        <f t="shared" ref="C10:D10" si="0">SUM(C2:C9)</f>
        <v>1574933447715.4641</v>
      </c>
      <c r="D10" s="353">
        <f t="shared" ref="D10:I10" si="1">SUM(D2:D9)</f>
        <v>1570379557163.522</v>
      </c>
      <c r="E10" s="353">
        <f t="shared" si="1"/>
        <v>1585406389332.5886</v>
      </c>
      <c r="F10" s="353">
        <f t="shared" si="1"/>
        <v>1589874095297.8513</v>
      </c>
      <c r="G10" s="353">
        <f t="shared" si="1"/>
        <v>1587789124997.645</v>
      </c>
      <c r="H10" s="353">
        <f t="shared" si="1"/>
        <v>1573619276108.0618</v>
      </c>
      <c r="I10" s="353">
        <f t="shared" si="1"/>
        <v>1638109066451.2014</v>
      </c>
      <c r="J10" s="353">
        <f t="shared" ref="J10:K10" si="2">SUM(J2:J9)</f>
        <v>1642873255320.0364</v>
      </c>
      <c r="K10" s="353">
        <f t="shared" si="2"/>
        <v>1634067029203.7332</v>
      </c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</row>
    <row r="11" spans="2:24" ht="6.75" customHeight="1">
      <c r="B11" s="348"/>
      <c r="C11" s="349"/>
      <c r="D11" s="349"/>
      <c r="E11" s="349"/>
      <c r="F11" s="349"/>
      <c r="G11" s="349"/>
      <c r="H11" s="349"/>
      <c r="I11" s="349"/>
      <c r="J11" s="348"/>
      <c r="K11" s="348"/>
    </row>
    <row r="12" spans="2:24" ht="15.75">
      <c r="B12" s="354" t="s">
        <v>116</v>
      </c>
      <c r="C12" s="355" t="s">
        <v>115</v>
      </c>
      <c r="D12" s="356">
        <f>(C10+D10)/2</f>
        <v>1572656502439.4932</v>
      </c>
      <c r="E12" s="357">
        <f t="shared" ref="E12:K12" si="3">(D10+E10)/2</f>
        <v>1577892973248.0552</v>
      </c>
      <c r="F12" s="357">
        <f t="shared" si="3"/>
        <v>1587640242315.22</v>
      </c>
      <c r="G12" s="357">
        <f t="shared" si="3"/>
        <v>1588831610147.748</v>
      </c>
      <c r="H12" s="357">
        <f>(G10+H10)/2</f>
        <v>1580704200552.8535</v>
      </c>
      <c r="I12" s="357">
        <f t="shared" si="3"/>
        <v>1605864171279.6316</v>
      </c>
      <c r="J12" s="357">
        <f t="shared" si="3"/>
        <v>1640491160885.6189</v>
      </c>
      <c r="K12" s="357">
        <f t="shared" si="3"/>
        <v>1638470142261.8848</v>
      </c>
    </row>
    <row r="13" spans="2:24">
      <c r="B13" s="8"/>
      <c r="C13" s="10"/>
      <c r="D13" s="10"/>
      <c r="E13" s="10"/>
      <c r="F13" s="10"/>
      <c r="G13" s="10"/>
      <c r="H13" s="10"/>
      <c r="I13" s="10"/>
    </row>
    <row r="14" spans="2:24">
      <c r="B14" s="8"/>
      <c r="C14" s="10"/>
      <c r="D14" s="10"/>
      <c r="E14" s="10"/>
      <c r="F14" s="10"/>
      <c r="G14" s="10"/>
      <c r="H14" s="291"/>
      <c r="I14" s="92"/>
      <c r="J14" s="91"/>
    </row>
    <row r="15" spans="2:24" ht="16.5">
      <c r="B15" s="350" t="s">
        <v>65</v>
      </c>
      <c r="C15" s="344">
        <v>45058</v>
      </c>
      <c r="D15" s="344">
        <v>45065</v>
      </c>
      <c r="E15" s="10"/>
      <c r="F15" s="10"/>
      <c r="G15" s="10"/>
      <c r="H15" s="361"/>
      <c r="I15" s="361"/>
    </row>
    <row r="16" spans="2:24" ht="16.5">
      <c r="B16" s="351" t="s">
        <v>0</v>
      </c>
      <c r="C16" s="345">
        <v>16966112297.950001</v>
      </c>
      <c r="D16" s="345">
        <v>17079628906.379999</v>
      </c>
      <c r="E16" s="10"/>
      <c r="F16" s="10"/>
      <c r="G16" s="10"/>
      <c r="H16" s="363"/>
      <c r="I16" s="363"/>
      <c r="J16" s="92"/>
    </row>
    <row r="17" spans="2:10" ht="16.5">
      <c r="B17" s="351" t="s">
        <v>44</v>
      </c>
      <c r="C17" s="346">
        <v>813613346034.13635</v>
      </c>
      <c r="D17" s="346">
        <v>806087341383.99084</v>
      </c>
      <c r="E17" s="10"/>
      <c r="F17" s="10"/>
      <c r="G17" s="10"/>
      <c r="H17" s="364"/>
      <c r="I17" s="364"/>
    </row>
    <row r="18" spans="2:10" ht="16.5">
      <c r="B18" s="351" t="s">
        <v>197</v>
      </c>
      <c r="C18" s="345">
        <v>326621734089.72247</v>
      </c>
      <c r="D18" s="345">
        <v>326437563760.66541</v>
      </c>
      <c r="E18" s="9"/>
      <c r="F18" s="9"/>
      <c r="G18" s="9"/>
      <c r="H18" s="363"/>
      <c r="I18" s="363"/>
    </row>
    <row r="19" spans="2:10" ht="16.5">
      <c r="B19" s="351" t="s">
        <v>199</v>
      </c>
      <c r="C19" s="346">
        <v>331372584980.02832</v>
      </c>
      <c r="D19" s="346">
        <v>329647629846.67249</v>
      </c>
      <c r="E19" s="8"/>
      <c r="F19" s="8"/>
      <c r="G19" s="8"/>
      <c r="H19" s="364"/>
      <c r="I19" s="364"/>
    </row>
    <row r="20" spans="2:10" ht="16.5">
      <c r="B20" s="351" t="s">
        <v>217</v>
      </c>
      <c r="C20" s="345">
        <v>94193238006.570007</v>
      </c>
      <c r="D20" s="345">
        <v>94202498345.429993</v>
      </c>
      <c r="E20" s="8"/>
      <c r="F20" s="8"/>
      <c r="G20" s="8"/>
      <c r="H20" s="363"/>
      <c r="I20" s="363"/>
      <c r="J20" s="93"/>
    </row>
    <row r="21" spans="2:10" ht="16.5">
      <c r="B21" s="351" t="s">
        <v>226</v>
      </c>
      <c r="C21" s="347">
        <v>31764157613.919247</v>
      </c>
      <c r="D21" s="347">
        <v>32017254793.66489</v>
      </c>
      <c r="E21" s="8"/>
      <c r="F21" s="8"/>
      <c r="G21" s="8"/>
      <c r="H21" s="365"/>
      <c r="I21" s="365"/>
    </row>
    <row r="22" spans="2:10" ht="16.5">
      <c r="B22" s="351" t="s">
        <v>67</v>
      </c>
      <c r="C22" s="345">
        <v>3052374164.9300003</v>
      </c>
      <c r="D22" s="345">
        <v>3085351470.0200005</v>
      </c>
      <c r="E22" s="8"/>
      <c r="F22" s="8"/>
      <c r="G22" s="8"/>
      <c r="H22" s="363"/>
      <c r="I22" s="363"/>
    </row>
    <row r="23" spans="2:10" ht="16.5">
      <c r="B23" s="351" t="s">
        <v>212</v>
      </c>
      <c r="C23" s="345">
        <v>25289708132.780003</v>
      </c>
      <c r="D23" s="345">
        <v>25509760696.910004</v>
      </c>
      <c r="E23" s="8"/>
      <c r="F23" s="8"/>
      <c r="G23" s="8"/>
      <c r="H23" s="363"/>
      <c r="I23" s="363"/>
    </row>
    <row r="24" spans="2:10" ht="16.5">
      <c r="B24" s="362"/>
      <c r="C24" s="363"/>
      <c r="D24" s="8"/>
      <c r="E24" s="8"/>
      <c r="F24" s="8"/>
      <c r="G24" s="8"/>
      <c r="H24" s="363"/>
    </row>
    <row r="25" spans="2:10" ht="16.5">
      <c r="B25" s="362"/>
      <c r="C25" s="363"/>
      <c r="D25" s="8"/>
      <c r="E25" s="8"/>
      <c r="F25" s="8"/>
      <c r="G25" s="8"/>
      <c r="H25" s="363"/>
    </row>
    <row r="26" spans="2:10">
      <c r="B26" s="8"/>
      <c r="C26" s="8"/>
      <c r="D26" s="8"/>
      <c r="E26" s="8"/>
      <c r="F26" s="8"/>
      <c r="G26" s="8"/>
      <c r="H26" s="8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9"/>
  <sheetViews>
    <sheetView zoomScaleNormal="100" workbookViewId="0">
      <pane xSplit="1" ySplit="8" topLeftCell="AC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8.85546875" style="360" customWidth="1"/>
    <col min="3" max="3" width="9.28515625" style="360" customWidth="1"/>
    <col min="4" max="4" width="18.5703125" style="374" customWidth="1"/>
    <col min="5" max="7" width="9.28515625" style="374" customWidth="1"/>
    <col min="8" max="8" width="17.28515625" style="374" customWidth="1"/>
    <col min="9" max="11" width="9.28515625" style="374" customWidth="1"/>
    <col min="12" max="12" width="19" style="374" customWidth="1"/>
    <col min="13" max="13" width="9.85546875" style="374" customWidth="1"/>
    <col min="14" max="15" width="9.28515625" style="374" customWidth="1"/>
    <col min="16" max="16" width="19.85546875" style="374" customWidth="1"/>
    <col min="17" max="19" width="9.28515625" style="374" customWidth="1"/>
    <col min="20" max="20" width="20.42578125" style="374" customWidth="1"/>
    <col min="21" max="23" width="9.28515625" style="374" customWidth="1"/>
    <col min="24" max="24" width="21.140625" style="374" customWidth="1"/>
    <col min="25" max="27" width="9.28515625" style="374" customWidth="1"/>
    <col min="28" max="28" width="23" style="374" customWidth="1"/>
    <col min="29" max="31" width="9.28515625" style="374" customWidth="1"/>
    <col min="32" max="32" width="21.7109375" style="374" customWidth="1"/>
    <col min="33" max="33" width="9.28515625" style="374" customWidth="1"/>
    <col min="34" max="34" width="10" style="374" customWidth="1"/>
    <col min="35" max="35" width="9.28515625" style="374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  <col min="48" max="48" width="15.7109375" bestFit="1" customWidth="1"/>
  </cols>
  <sheetData>
    <row r="1" spans="1:49" s="110" customFormat="1" ht="37.5" customHeight="1" thickBot="1">
      <c r="A1" s="463" t="s">
        <v>72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  <c r="AH1" s="464"/>
      <c r="AI1" s="464"/>
      <c r="AJ1" s="464"/>
      <c r="AK1" s="464"/>
      <c r="AL1" s="464"/>
      <c r="AM1" s="464"/>
      <c r="AN1" s="464"/>
      <c r="AO1" s="465"/>
    </row>
    <row r="2" spans="1:49" ht="30.75" customHeight="1">
      <c r="A2" s="203"/>
      <c r="B2" s="459" t="s">
        <v>262</v>
      </c>
      <c r="C2" s="459"/>
      <c r="D2" s="459" t="s">
        <v>266</v>
      </c>
      <c r="E2" s="459"/>
      <c r="F2" s="459" t="s">
        <v>63</v>
      </c>
      <c r="G2" s="459"/>
      <c r="H2" s="459" t="s">
        <v>267</v>
      </c>
      <c r="I2" s="459"/>
      <c r="J2" s="459" t="s">
        <v>63</v>
      </c>
      <c r="K2" s="459"/>
      <c r="L2" s="459" t="s">
        <v>272</v>
      </c>
      <c r="M2" s="459"/>
      <c r="N2" s="459" t="s">
        <v>63</v>
      </c>
      <c r="O2" s="459"/>
      <c r="P2" s="459" t="s">
        <v>277</v>
      </c>
      <c r="Q2" s="459"/>
      <c r="R2" s="459" t="s">
        <v>63</v>
      </c>
      <c r="S2" s="459"/>
      <c r="T2" s="459" t="s">
        <v>278</v>
      </c>
      <c r="U2" s="459"/>
      <c r="V2" s="459" t="s">
        <v>63</v>
      </c>
      <c r="W2" s="459"/>
      <c r="X2" s="459" t="s">
        <v>279</v>
      </c>
      <c r="Y2" s="459"/>
      <c r="Z2" s="459" t="s">
        <v>63</v>
      </c>
      <c r="AA2" s="459"/>
      <c r="AB2" s="459" t="s">
        <v>281</v>
      </c>
      <c r="AC2" s="459"/>
      <c r="AD2" s="459" t="s">
        <v>63</v>
      </c>
      <c r="AE2" s="459"/>
      <c r="AF2" s="459" t="s">
        <v>284</v>
      </c>
      <c r="AG2" s="459"/>
      <c r="AH2" s="459" t="s">
        <v>63</v>
      </c>
      <c r="AI2" s="459"/>
      <c r="AJ2" s="459" t="s">
        <v>79</v>
      </c>
      <c r="AK2" s="459"/>
      <c r="AL2" s="459" t="s">
        <v>80</v>
      </c>
      <c r="AM2" s="459"/>
      <c r="AN2" s="459" t="s">
        <v>71</v>
      </c>
      <c r="AO2" s="466"/>
      <c r="AP2" s="14"/>
      <c r="AQ2" s="460" t="s">
        <v>84</v>
      </c>
      <c r="AR2" s="461"/>
      <c r="AS2" s="14"/>
      <c r="AT2" s="14"/>
    </row>
    <row r="3" spans="1:49" ht="14.25" customHeight="1">
      <c r="A3" s="204" t="s">
        <v>2</v>
      </c>
      <c r="B3" s="194" t="s">
        <v>59</v>
      </c>
      <c r="C3" s="195" t="s">
        <v>3</v>
      </c>
      <c r="D3" s="194" t="s">
        <v>59</v>
      </c>
      <c r="E3" s="195" t="s">
        <v>3</v>
      </c>
      <c r="F3" s="199" t="s">
        <v>59</v>
      </c>
      <c r="G3" s="200" t="s">
        <v>3</v>
      </c>
      <c r="H3" s="194" t="s">
        <v>59</v>
      </c>
      <c r="I3" s="195" t="s">
        <v>3</v>
      </c>
      <c r="J3" s="199" t="s">
        <v>59</v>
      </c>
      <c r="K3" s="200" t="s">
        <v>3</v>
      </c>
      <c r="L3" s="194" t="s">
        <v>59</v>
      </c>
      <c r="M3" s="195" t="s">
        <v>3</v>
      </c>
      <c r="N3" s="199" t="s">
        <v>59</v>
      </c>
      <c r="O3" s="200" t="s">
        <v>3</v>
      </c>
      <c r="P3" s="194" t="s">
        <v>59</v>
      </c>
      <c r="Q3" s="195" t="s">
        <v>3</v>
      </c>
      <c r="R3" s="199" t="s">
        <v>59</v>
      </c>
      <c r="S3" s="200" t="s">
        <v>3</v>
      </c>
      <c r="T3" s="194" t="s">
        <v>59</v>
      </c>
      <c r="U3" s="195" t="s">
        <v>3</v>
      </c>
      <c r="V3" s="199" t="s">
        <v>59</v>
      </c>
      <c r="W3" s="200" t="s">
        <v>3</v>
      </c>
      <c r="X3" s="194" t="s">
        <v>59</v>
      </c>
      <c r="Y3" s="195" t="s">
        <v>3</v>
      </c>
      <c r="Z3" s="199" t="s">
        <v>59</v>
      </c>
      <c r="AA3" s="200" t="s">
        <v>3</v>
      </c>
      <c r="AB3" s="194" t="s">
        <v>59</v>
      </c>
      <c r="AC3" s="195" t="s">
        <v>3</v>
      </c>
      <c r="AD3" s="199" t="s">
        <v>59</v>
      </c>
      <c r="AE3" s="200" t="s">
        <v>3</v>
      </c>
      <c r="AF3" s="194" t="s">
        <v>59</v>
      </c>
      <c r="AG3" s="195" t="s">
        <v>3</v>
      </c>
      <c r="AH3" s="199" t="s">
        <v>59</v>
      </c>
      <c r="AI3" s="200" t="s">
        <v>3</v>
      </c>
      <c r="AJ3" s="199" t="s">
        <v>59</v>
      </c>
      <c r="AK3" s="200" t="s">
        <v>3</v>
      </c>
      <c r="AL3" s="199" t="s">
        <v>59</v>
      </c>
      <c r="AM3" s="200" t="s">
        <v>3</v>
      </c>
      <c r="AN3" s="199" t="s">
        <v>59</v>
      </c>
      <c r="AO3" s="201" t="s">
        <v>3</v>
      </c>
      <c r="AP3" s="14"/>
      <c r="AQ3" s="17" t="s">
        <v>59</v>
      </c>
      <c r="AR3" s="18" t="s">
        <v>3</v>
      </c>
      <c r="AS3" s="14"/>
      <c r="AT3" s="14"/>
    </row>
    <row r="4" spans="1:49">
      <c r="A4" s="205" t="s">
        <v>0</v>
      </c>
      <c r="B4" s="67" t="s">
        <v>4</v>
      </c>
      <c r="C4" s="67" t="s">
        <v>4</v>
      </c>
      <c r="D4" s="67" t="s">
        <v>4</v>
      </c>
      <c r="E4" s="67" t="s">
        <v>4</v>
      </c>
      <c r="F4" s="19" t="s">
        <v>78</v>
      </c>
      <c r="G4" s="19" t="s">
        <v>78</v>
      </c>
      <c r="H4" s="67" t="s">
        <v>4</v>
      </c>
      <c r="I4" s="67" t="s">
        <v>4</v>
      </c>
      <c r="J4" s="19" t="s">
        <v>78</v>
      </c>
      <c r="K4" s="19" t="s">
        <v>78</v>
      </c>
      <c r="L4" s="67" t="s">
        <v>4</v>
      </c>
      <c r="M4" s="67" t="s">
        <v>4</v>
      </c>
      <c r="N4" s="19" t="s">
        <v>78</v>
      </c>
      <c r="O4" s="19" t="s">
        <v>78</v>
      </c>
      <c r="P4" s="67" t="s">
        <v>4</v>
      </c>
      <c r="Q4" s="67" t="s">
        <v>4</v>
      </c>
      <c r="R4" s="19" t="s">
        <v>78</v>
      </c>
      <c r="S4" s="19" t="s">
        <v>78</v>
      </c>
      <c r="T4" s="67" t="s">
        <v>4</v>
      </c>
      <c r="U4" s="67" t="s">
        <v>4</v>
      </c>
      <c r="V4" s="19" t="s">
        <v>78</v>
      </c>
      <c r="W4" s="19" t="s">
        <v>78</v>
      </c>
      <c r="X4" s="67" t="s">
        <v>4</v>
      </c>
      <c r="Y4" s="67" t="s">
        <v>4</v>
      </c>
      <c r="Z4" s="19" t="s">
        <v>78</v>
      </c>
      <c r="AA4" s="19" t="s">
        <v>78</v>
      </c>
      <c r="AB4" s="67" t="s">
        <v>4</v>
      </c>
      <c r="AC4" s="67" t="s">
        <v>4</v>
      </c>
      <c r="AD4" s="19" t="s">
        <v>78</v>
      </c>
      <c r="AE4" s="19" t="s">
        <v>78</v>
      </c>
      <c r="AF4" s="67" t="s">
        <v>4</v>
      </c>
      <c r="AG4" s="67" t="s">
        <v>4</v>
      </c>
      <c r="AH4" s="19" t="s">
        <v>78</v>
      </c>
      <c r="AI4" s="19" t="s">
        <v>78</v>
      </c>
      <c r="AJ4" s="20" t="s">
        <v>78</v>
      </c>
      <c r="AK4" s="20" t="s">
        <v>78</v>
      </c>
      <c r="AL4" s="21" t="s">
        <v>78</v>
      </c>
      <c r="AM4" s="21" t="s">
        <v>78</v>
      </c>
      <c r="AN4" s="15" t="s">
        <v>78</v>
      </c>
      <c r="AO4" s="16" t="s">
        <v>78</v>
      </c>
      <c r="AP4" s="14"/>
      <c r="AQ4" s="22" t="s">
        <v>4</v>
      </c>
      <c r="AR4" s="22" t="s">
        <v>4</v>
      </c>
      <c r="AS4" s="14"/>
      <c r="AT4" s="14"/>
    </row>
    <row r="5" spans="1:49">
      <c r="A5" s="206" t="s">
        <v>13</v>
      </c>
      <c r="B5" s="330">
        <v>428538467.31999999</v>
      </c>
      <c r="C5" s="329">
        <v>203.11279999999999</v>
      </c>
      <c r="D5" s="330">
        <v>426531501.76999998</v>
      </c>
      <c r="E5" s="329">
        <v>202.834</v>
      </c>
      <c r="F5" s="23">
        <f>((D5-B5)/B5)</f>
        <v>-4.6832798057808017E-3</v>
      </c>
      <c r="G5" s="23">
        <f>((E5-C5)/C5)</f>
        <v>-1.372636288801049E-3</v>
      </c>
      <c r="H5" s="330">
        <v>419865459.12</v>
      </c>
      <c r="I5" s="329">
        <v>199.80719999999999</v>
      </c>
      <c r="J5" s="23">
        <f t="shared" ref="J5:J20" si="0">((H5-D5)/D5)</f>
        <v>-1.5628488452406334E-2</v>
      </c>
      <c r="K5" s="23">
        <f t="shared" ref="K5:K20" si="1">((I5-E5)/E5)</f>
        <v>-1.4922547501898146E-2</v>
      </c>
      <c r="L5" s="330">
        <v>413703612.5</v>
      </c>
      <c r="M5" s="329">
        <v>196.5668</v>
      </c>
      <c r="N5" s="23">
        <f t="shared" ref="N5:N20" si="2">((L5-H5)/H5)</f>
        <v>-1.4675764548278578E-2</v>
      </c>
      <c r="O5" s="23">
        <f t="shared" ref="O5:O20" si="3">((M5-I5)/I5)</f>
        <v>-1.6217633798982188E-2</v>
      </c>
      <c r="P5" s="330">
        <v>413555769.92000002</v>
      </c>
      <c r="Q5" s="329">
        <v>196.5264</v>
      </c>
      <c r="R5" s="23">
        <f t="shared" ref="R5:R20" si="4">((P5-L5)/L5)</f>
        <v>-3.5736352193439769E-4</v>
      </c>
      <c r="S5" s="23">
        <f t="shared" ref="S5:S20" si="5">((Q5-M5)/M5)</f>
        <v>-2.0552809528366601E-4</v>
      </c>
      <c r="T5" s="330">
        <v>426683527.77999997</v>
      </c>
      <c r="U5" s="329">
        <v>202.7312</v>
      </c>
      <c r="V5" s="23">
        <f t="shared" ref="V5:V20" si="6">((T5-P5)/P5)</f>
        <v>3.1743621573795101E-2</v>
      </c>
      <c r="W5" s="23">
        <f t="shared" ref="W5:W20" si="7">((U5-Q5)/Q5)</f>
        <v>3.157234854960965E-2</v>
      </c>
      <c r="X5" s="330">
        <v>431434117.44999999</v>
      </c>
      <c r="Y5" s="329">
        <v>204.9342</v>
      </c>
      <c r="Z5" s="23">
        <f t="shared" ref="Z5:Z20" si="8">((X5-T5)/T5)</f>
        <v>1.1133754552740651E-2</v>
      </c>
      <c r="AA5" s="23">
        <f t="shared" ref="AA5:AA20" si="9">((Y5-U5)/U5)</f>
        <v>1.0866605633469356E-2</v>
      </c>
      <c r="AB5" s="330">
        <v>433286355.20999998</v>
      </c>
      <c r="AC5" s="329">
        <v>205.8792</v>
      </c>
      <c r="AD5" s="23">
        <f t="shared" ref="AD5:AD20" si="10">((AB5-X5)/X5)</f>
        <v>4.2932111418254983E-3</v>
      </c>
      <c r="AE5" s="23">
        <f t="shared" ref="AE5:AE20" si="11">((AC5-Y5)/Y5)</f>
        <v>4.6112361919093698E-3</v>
      </c>
      <c r="AF5" s="330">
        <v>436714292.20999998</v>
      </c>
      <c r="AG5" s="329">
        <v>207.58750000000001</v>
      </c>
      <c r="AH5" s="23">
        <f t="shared" ref="AH5:AH20" si="12">((AF5-AB5)/AB5)</f>
        <v>7.9114815382048884E-3</v>
      </c>
      <c r="AI5" s="23">
        <f t="shared" ref="AI5:AI20" si="13">((AG5-AC5)/AC5)</f>
        <v>8.2975842144325813E-3</v>
      </c>
      <c r="AJ5" s="24">
        <f>AVERAGE(F5,J5,N5,R5,V5,Z5,AD5,AH5)</f>
        <v>2.4671465597707531E-3</v>
      </c>
      <c r="AK5" s="24">
        <f>AVERAGE(G5,K5,O5,S5,W5,AA5,AE5,AI5)</f>
        <v>2.8286786130569883E-3</v>
      </c>
      <c r="AL5" s="25">
        <f>((AF5-D5)/D5)</f>
        <v>2.3873478037950167E-2</v>
      </c>
      <c r="AM5" s="25">
        <f>((AG5-E5)/E5)</f>
        <v>2.3435420097222371E-2</v>
      </c>
      <c r="AN5" s="26">
        <f>STDEV(F5,J5,N5,R5,V5,Z5,AD5,AH5)</f>
        <v>1.5332669326493104E-2</v>
      </c>
      <c r="AO5" s="78">
        <f>STDEV(G5,K5,O5,S5,W5,AA5,AE5,AI5)</f>
        <v>1.5253190647675816E-2</v>
      </c>
      <c r="AP5" s="27"/>
      <c r="AQ5" s="28">
        <v>7877662528.1199999</v>
      </c>
      <c r="AR5" s="28">
        <v>7704.04</v>
      </c>
      <c r="AS5" s="29" t="e">
        <f>(#REF!/AQ5)-1</f>
        <v>#REF!</v>
      </c>
      <c r="AT5" s="29" t="e">
        <f>(#REF!/AR5)-1</f>
        <v>#REF!</v>
      </c>
    </row>
    <row r="6" spans="1:49">
      <c r="A6" s="206" t="s">
        <v>139</v>
      </c>
      <c r="B6" s="329">
        <v>461966312.47000003</v>
      </c>
      <c r="C6" s="329">
        <v>156.00899999999999</v>
      </c>
      <c r="D6" s="329">
        <v>464674941.26999998</v>
      </c>
      <c r="E6" s="329">
        <v>156.94110000000001</v>
      </c>
      <c r="F6" s="23">
        <f>((D6-B6)/B6)</f>
        <v>5.8632604302198982E-3</v>
      </c>
      <c r="G6" s="23">
        <f>((E6-C6)/C6)</f>
        <v>5.9746553083477221E-3</v>
      </c>
      <c r="H6" s="329">
        <v>460001180.99000001</v>
      </c>
      <c r="I6" s="329">
        <v>155.28960000000001</v>
      </c>
      <c r="J6" s="23">
        <f t="shared" si="0"/>
        <v>-1.0058128521469542E-2</v>
      </c>
      <c r="K6" s="23">
        <f t="shared" si="1"/>
        <v>-1.0523056101938872E-2</v>
      </c>
      <c r="L6" s="329">
        <v>457015174.61000001</v>
      </c>
      <c r="M6" s="329">
        <v>154.28749999999999</v>
      </c>
      <c r="N6" s="23">
        <f t="shared" si="2"/>
        <v>-6.4913015518212507E-3</v>
      </c>
      <c r="O6" s="23">
        <f t="shared" si="3"/>
        <v>-6.4531043933400102E-3</v>
      </c>
      <c r="P6" s="329">
        <v>450867293.81</v>
      </c>
      <c r="Q6" s="329">
        <v>152.21360000000001</v>
      </c>
      <c r="R6" s="23">
        <f t="shared" si="4"/>
        <v>-1.3452246536991661E-2</v>
      </c>
      <c r="S6" s="23">
        <f t="shared" si="5"/>
        <v>-1.3441788868184271E-2</v>
      </c>
      <c r="T6" s="329">
        <v>458403469.83999997</v>
      </c>
      <c r="U6" s="329">
        <v>154.75110000000001</v>
      </c>
      <c r="V6" s="23">
        <f t="shared" si="6"/>
        <v>1.6714843000290438E-2</v>
      </c>
      <c r="W6" s="23">
        <f t="shared" si="7"/>
        <v>1.6670652293881715E-2</v>
      </c>
      <c r="X6" s="329">
        <v>470621417.10000002</v>
      </c>
      <c r="Y6" s="329">
        <v>158.98480000000001</v>
      </c>
      <c r="Z6" s="23">
        <f t="shared" si="8"/>
        <v>2.6653260858310195E-2</v>
      </c>
      <c r="AA6" s="23">
        <f t="shared" si="9"/>
        <v>2.735812540266272E-2</v>
      </c>
      <c r="AB6" s="329">
        <v>475053455.74000001</v>
      </c>
      <c r="AC6" s="329">
        <v>160.4314</v>
      </c>
      <c r="AD6" s="23">
        <f t="shared" si="10"/>
        <v>9.4174180752556857E-3</v>
      </c>
      <c r="AE6" s="23">
        <f t="shared" si="11"/>
        <v>9.0989830474359143E-3</v>
      </c>
      <c r="AF6" s="329">
        <v>483720953.86000001</v>
      </c>
      <c r="AG6" s="329">
        <v>163.3826</v>
      </c>
      <c r="AH6" s="23">
        <f t="shared" si="12"/>
        <v>1.8245311165031891E-2</v>
      </c>
      <c r="AI6" s="23">
        <f t="shared" si="13"/>
        <v>1.8395401398978006E-2</v>
      </c>
      <c r="AJ6" s="24">
        <f t="shared" ref="AJ6:AJ69" si="14">AVERAGE(F6,J6,N6,R6,V6,Z6,AD6,AH6)</f>
        <v>5.8615521148532067E-3</v>
      </c>
      <c r="AK6" s="24">
        <f t="shared" ref="AK6:AK69" si="15">AVERAGE(G6,K6,O6,S6,W6,AA6,AE6,AI6)</f>
        <v>5.8849835109803655E-3</v>
      </c>
      <c r="AL6" s="25">
        <f t="shared" ref="AL6:AL69" si="16">((AF6-D6)/D6)</f>
        <v>4.0987819437703063E-2</v>
      </c>
      <c r="AM6" s="25">
        <f t="shared" ref="AM6:AM69" si="17">((AG6-E6)/E6)</f>
        <v>4.1044060478740055E-2</v>
      </c>
      <c r="AN6" s="26">
        <f t="shared" ref="AN6:AN69" si="18">STDEV(F6,J6,N6,R6,V6,Z6,AD6,AH6)</f>
        <v>1.4614781133266712E-2</v>
      </c>
      <c r="AO6" s="78">
        <f t="shared" ref="AO6:AO69" si="19">STDEV(G6,K6,O6,S6,W6,AA6,AE6,AI6)</f>
        <v>1.4828790391130511E-2</v>
      </c>
      <c r="AP6" s="30"/>
      <c r="AQ6" s="31">
        <v>486981928.81999999</v>
      </c>
      <c r="AR6" s="32">
        <v>0.95</v>
      </c>
      <c r="AS6" s="29" t="e">
        <f>(#REF!/AQ6)-1</f>
        <v>#REF!</v>
      </c>
      <c r="AT6" s="29" t="e">
        <f>(#REF!/AR6)-1</f>
        <v>#REF!</v>
      </c>
    </row>
    <row r="7" spans="1:49">
      <c r="A7" s="206" t="s">
        <v>11</v>
      </c>
      <c r="B7" s="329">
        <v>2440871964</v>
      </c>
      <c r="C7" s="329">
        <v>24.042300000000001</v>
      </c>
      <c r="D7" s="329">
        <v>2450114056.6500001</v>
      </c>
      <c r="E7" s="329">
        <v>24.135400000000001</v>
      </c>
      <c r="F7" s="23">
        <f>((D7-B7)/B7)</f>
        <v>3.7863897764037311E-3</v>
      </c>
      <c r="G7" s="23">
        <f>((E7-C7)/C7)</f>
        <v>3.8723416644830043E-3</v>
      </c>
      <c r="H7" s="329">
        <v>2407790657.52</v>
      </c>
      <c r="I7" s="329">
        <v>23.709800000000001</v>
      </c>
      <c r="J7" s="23">
        <f t="shared" si="0"/>
        <v>-1.7274052616092571E-2</v>
      </c>
      <c r="K7" s="23">
        <f t="shared" si="1"/>
        <v>-1.763384903502736E-2</v>
      </c>
      <c r="L7" s="329">
        <v>2380937587.1799998</v>
      </c>
      <c r="M7" s="329">
        <v>23.444800000000001</v>
      </c>
      <c r="N7" s="23">
        <f t="shared" si="2"/>
        <v>-1.1152576847215838E-2</v>
      </c>
      <c r="O7" s="23">
        <f t="shared" si="3"/>
        <v>-1.1176812963415994E-2</v>
      </c>
      <c r="P7" s="329">
        <v>2368659531.9499998</v>
      </c>
      <c r="Q7" s="329">
        <v>23.3535</v>
      </c>
      <c r="R7" s="23">
        <f t="shared" si="4"/>
        <v>-5.1568152378753613E-3</v>
      </c>
      <c r="S7" s="23">
        <f t="shared" si="5"/>
        <v>-3.8942537364362408E-3</v>
      </c>
      <c r="T7" s="329">
        <v>2399333308.2600002</v>
      </c>
      <c r="U7" s="329">
        <v>23.644100000000002</v>
      </c>
      <c r="V7" s="23">
        <f t="shared" si="6"/>
        <v>1.2949846061138311E-2</v>
      </c>
      <c r="W7" s="23">
        <f t="shared" si="7"/>
        <v>1.2443530948251924E-2</v>
      </c>
      <c r="X7" s="329">
        <v>2414176649.5999999</v>
      </c>
      <c r="Y7" s="329">
        <v>23.817799999999998</v>
      </c>
      <c r="Z7" s="23">
        <f t="shared" si="8"/>
        <v>6.1864440796531462E-3</v>
      </c>
      <c r="AA7" s="23">
        <f t="shared" si="9"/>
        <v>7.3464416069969514E-3</v>
      </c>
      <c r="AB7" s="329">
        <v>2403131631.46</v>
      </c>
      <c r="AC7" s="329">
        <v>23.721499999999999</v>
      </c>
      <c r="AD7" s="23">
        <f t="shared" si="10"/>
        <v>-4.575066261961358E-3</v>
      </c>
      <c r="AE7" s="23">
        <f t="shared" si="11"/>
        <v>-4.0431945855620328E-3</v>
      </c>
      <c r="AF7" s="329">
        <v>2402855602.7199998</v>
      </c>
      <c r="AG7" s="329">
        <v>23.7805</v>
      </c>
      <c r="AH7" s="23">
        <f t="shared" si="12"/>
        <v>-1.1486209760076658E-4</v>
      </c>
      <c r="AI7" s="23">
        <f t="shared" si="13"/>
        <v>2.487195160508444E-3</v>
      </c>
      <c r="AJ7" s="24">
        <f t="shared" si="14"/>
        <v>-1.9188366429438385E-3</v>
      </c>
      <c r="AK7" s="24">
        <f t="shared" si="15"/>
        <v>-1.3248251175251632E-3</v>
      </c>
      <c r="AL7" s="25">
        <f t="shared" si="16"/>
        <v>-1.9288266928526584E-2</v>
      </c>
      <c r="AM7" s="25">
        <f t="shared" si="17"/>
        <v>-1.4704541876248194E-2</v>
      </c>
      <c r="AN7" s="26">
        <f t="shared" si="18"/>
        <v>9.7186265234434754E-3</v>
      </c>
      <c r="AO7" s="78">
        <f t="shared" si="19"/>
        <v>9.8802686355298729E-3</v>
      </c>
      <c r="AP7" s="30"/>
      <c r="AQ7" s="28">
        <v>204065067.03999999</v>
      </c>
      <c r="AR7" s="32">
        <v>105.02</v>
      </c>
      <c r="AS7" s="29" t="e">
        <f>(#REF!/AQ7)-1</f>
        <v>#REF!</v>
      </c>
      <c r="AT7" s="29" t="e">
        <f>(#REF!/AR7)-1</f>
        <v>#REF!</v>
      </c>
    </row>
    <row r="8" spans="1:49">
      <c r="A8" s="206" t="s">
        <v>82</v>
      </c>
      <c r="B8" s="330">
        <v>270013216.83999997</v>
      </c>
      <c r="C8" s="329">
        <v>139.41999999999999</v>
      </c>
      <c r="D8" s="330">
        <v>265055857.36000001</v>
      </c>
      <c r="E8" s="329">
        <v>140.81</v>
      </c>
      <c r="F8" s="23">
        <f>((D8-B8)/B8)</f>
        <v>-1.8359691936626607E-2</v>
      </c>
      <c r="G8" s="23">
        <f>((E8-C8)/C8)</f>
        <v>9.969875197245839E-3</v>
      </c>
      <c r="H8" s="330">
        <v>262752285.47999999</v>
      </c>
      <c r="I8" s="329">
        <v>139.56</v>
      </c>
      <c r="J8" s="23">
        <f t="shared" si="0"/>
        <v>-8.6908921875712541E-3</v>
      </c>
      <c r="K8" s="23">
        <f t="shared" si="1"/>
        <v>-8.8772104253959233E-3</v>
      </c>
      <c r="L8" s="330">
        <v>257911619.90000001</v>
      </c>
      <c r="M8" s="329">
        <v>136.97</v>
      </c>
      <c r="N8" s="23">
        <f t="shared" si="2"/>
        <v>-1.8422924737484126E-2</v>
      </c>
      <c r="O8" s="23">
        <f t="shared" si="3"/>
        <v>-1.8558326167956458E-2</v>
      </c>
      <c r="P8" s="330">
        <v>239874505.08000001</v>
      </c>
      <c r="Q8" s="329">
        <v>127.34</v>
      </c>
      <c r="R8" s="23">
        <f t="shared" si="4"/>
        <v>-6.9935254669772212E-2</v>
      </c>
      <c r="S8" s="23">
        <f t="shared" si="5"/>
        <v>-7.0307366576622579E-2</v>
      </c>
      <c r="T8" s="330">
        <v>253303753.62</v>
      </c>
      <c r="U8" s="329">
        <v>134.46</v>
      </c>
      <c r="V8" s="23">
        <f t="shared" si="6"/>
        <v>5.5984476280717003E-2</v>
      </c>
      <c r="W8" s="23">
        <f t="shared" si="7"/>
        <v>5.5913302968431007E-2</v>
      </c>
      <c r="X8" s="330">
        <v>253303753.62</v>
      </c>
      <c r="Y8" s="329">
        <v>134.46</v>
      </c>
      <c r="Z8" s="23">
        <f t="shared" si="8"/>
        <v>0</v>
      </c>
      <c r="AA8" s="23">
        <f t="shared" si="9"/>
        <v>0</v>
      </c>
      <c r="AB8" s="329">
        <v>260177922.62</v>
      </c>
      <c r="AC8" s="329">
        <v>139.27000000000001</v>
      </c>
      <c r="AD8" s="23">
        <f t="shared" si="10"/>
        <v>2.7138046324858087E-2</v>
      </c>
      <c r="AE8" s="23">
        <f t="shared" si="11"/>
        <v>3.5772720511676348E-2</v>
      </c>
      <c r="AF8" s="329">
        <v>254064284.93000001</v>
      </c>
      <c r="AG8" s="329">
        <v>136.21</v>
      </c>
      <c r="AH8" s="23">
        <f t="shared" si="12"/>
        <v>-2.3497911077294608E-2</v>
      </c>
      <c r="AI8" s="23">
        <f t="shared" si="13"/>
        <v>-2.1971709628778646E-2</v>
      </c>
      <c r="AJ8" s="24">
        <f t="shared" si="14"/>
        <v>-6.9730190003967144E-3</v>
      </c>
      <c r="AK8" s="24">
        <f t="shared" si="15"/>
        <v>-2.2573392651750518E-3</v>
      </c>
      <c r="AL8" s="25">
        <f t="shared" si="16"/>
        <v>-4.1468890895216874E-2</v>
      </c>
      <c r="AM8" s="25">
        <f t="shared" si="17"/>
        <v>-3.2668134365456958E-2</v>
      </c>
      <c r="AN8" s="26">
        <f t="shared" si="18"/>
        <v>3.7180749459414623E-2</v>
      </c>
      <c r="AO8" s="78">
        <f t="shared" si="19"/>
        <v>3.8384738229580405E-2</v>
      </c>
      <c r="AP8" s="30"/>
      <c r="AQ8" s="33">
        <v>166618649</v>
      </c>
      <c r="AR8" s="34">
        <v>9.4</v>
      </c>
      <c r="AS8" s="29" t="e">
        <f>(#REF!/AQ8)-1</f>
        <v>#REF!</v>
      </c>
      <c r="AT8" s="29" t="e">
        <f>(#REF!/AR8)-1</f>
        <v>#REF!</v>
      </c>
      <c r="AU8" s="93"/>
    </row>
    <row r="9" spans="1:49" s="88" customFormat="1">
      <c r="A9" s="206" t="s">
        <v>53</v>
      </c>
      <c r="B9" s="329">
        <v>379469811.12</v>
      </c>
      <c r="C9" s="329">
        <v>176.95</v>
      </c>
      <c r="D9" s="329">
        <v>382853259.39999998</v>
      </c>
      <c r="E9" s="329">
        <v>178.5</v>
      </c>
      <c r="F9" s="23">
        <f>((D9-B9)/B9)</f>
        <v>8.9162515194918125E-3</v>
      </c>
      <c r="G9" s="23">
        <f>((E9-C9)/C9)</f>
        <v>8.7595365922577655E-3</v>
      </c>
      <c r="H9" s="329">
        <v>380537889.02999997</v>
      </c>
      <c r="I9" s="329">
        <v>178.5</v>
      </c>
      <c r="J9" s="23">
        <f t="shared" si="0"/>
        <v>-6.0476705190615513E-3</v>
      </c>
      <c r="K9" s="23">
        <f t="shared" si="1"/>
        <v>0</v>
      </c>
      <c r="L9" s="329">
        <v>378423731.22000003</v>
      </c>
      <c r="M9" s="329">
        <v>176.47</v>
      </c>
      <c r="N9" s="23">
        <f t="shared" si="2"/>
        <v>-5.5557090921720849E-3</v>
      </c>
      <c r="O9" s="23">
        <f t="shared" si="3"/>
        <v>-1.1372549019607849E-2</v>
      </c>
      <c r="P9" s="329">
        <v>385710588.06999999</v>
      </c>
      <c r="Q9" s="329">
        <v>179.83</v>
      </c>
      <c r="R9" s="23">
        <f t="shared" si="4"/>
        <v>1.9255813652351746E-2</v>
      </c>
      <c r="S9" s="23">
        <f t="shared" si="5"/>
        <v>1.9040063466878299E-2</v>
      </c>
      <c r="T9" s="329">
        <v>391185242.54000002</v>
      </c>
      <c r="U9" s="329">
        <v>182.4</v>
      </c>
      <c r="V9" s="23">
        <f t="shared" si="6"/>
        <v>1.4193684693474037E-2</v>
      </c>
      <c r="W9" s="23">
        <f t="shared" si="7"/>
        <v>1.4291275093143485E-2</v>
      </c>
      <c r="X9" s="329">
        <v>397400267.23000002</v>
      </c>
      <c r="Y9" s="329">
        <v>185.22</v>
      </c>
      <c r="Z9" s="23">
        <f t="shared" si="8"/>
        <v>1.5887676768288339E-2</v>
      </c>
      <c r="AA9" s="23">
        <f t="shared" si="9"/>
        <v>1.5460526315789435E-2</v>
      </c>
      <c r="AB9" s="329">
        <v>403711139.06</v>
      </c>
      <c r="AC9" s="329">
        <v>186.56</v>
      </c>
      <c r="AD9" s="23">
        <f t="shared" si="10"/>
        <v>1.5880391510525817E-2</v>
      </c>
      <c r="AE9" s="23">
        <f t="shared" si="11"/>
        <v>7.2346398877011307E-3</v>
      </c>
      <c r="AF9" s="329">
        <v>415271697.45999998</v>
      </c>
      <c r="AG9" s="329">
        <v>191.46</v>
      </c>
      <c r="AH9" s="23">
        <f t="shared" si="12"/>
        <v>2.8635718169475213E-2</v>
      </c>
      <c r="AI9" s="23">
        <f t="shared" si="13"/>
        <v>2.6265008576329362E-2</v>
      </c>
      <c r="AJ9" s="24">
        <f t="shared" si="14"/>
        <v>1.1395769587796666E-2</v>
      </c>
      <c r="AK9" s="24">
        <f t="shared" si="15"/>
        <v>9.9598126140614529E-3</v>
      </c>
      <c r="AL9" s="25">
        <f t="shared" si="16"/>
        <v>8.4675883681401942E-2</v>
      </c>
      <c r="AM9" s="25">
        <f t="shared" si="17"/>
        <v>7.2605042016806773E-2</v>
      </c>
      <c r="AN9" s="26">
        <f t="shared" si="18"/>
        <v>1.1981460408792626E-2</v>
      </c>
      <c r="AO9" s="78">
        <f t="shared" si="19"/>
        <v>1.1713633927107524E-2</v>
      </c>
      <c r="AP9" s="30"/>
      <c r="AQ9" s="33"/>
      <c r="AR9" s="34"/>
      <c r="AS9" s="29"/>
      <c r="AT9" s="29"/>
    </row>
    <row r="10" spans="1:49">
      <c r="A10" s="206" t="s">
        <v>8</v>
      </c>
      <c r="B10" s="330">
        <v>261189734.56</v>
      </c>
      <c r="C10" s="329">
        <v>134.36000000000001</v>
      </c>
      <c r="D10" s="330">
        <v>263121268.24000001</v>
      </c>
      <c r="E10" s="329">
        <v>135.38</v>
      </c>
      <c r="F10" s="23">
        <f>((D10-B10)/B10)</f>
        <v>7.3951362723112648E-3</v>
      </c>
      <c r="G10" s="23">
        <f>((E10-C10)/C10)</f>
        <v>7.5915451027090035E-3</v>
      </c>
      <c r="H10" s="330">
        <v>260761523.71000001</v>
      </c>
      <c r="I10" s="329">
        <v>134.13999999999999</v>
      </c>
      <c r="J10" s="23">
        <f t="shared" si="0"/>
        <v>-8.968277425022193E-3</v>
      </c>
      <c r="K10" s="23">
        <f t="shared" si="1"/>
        <v>-9.159403161471482E-3</v>
      </c>
      <c r="L10" s="330">
        <v>261028734.77000001</v>
      </c>
      <c r="M10" s="329">
        <v>134.28</v>
      </c>
      <c r="N10" s="23">
        <f t="shared" si="2"/>
        <v>1.0247334660353307E-3</v>
      </c>
      <c r="O10" s="23">
        <f t="shared" si="3"/>
        <v>1.0436857015059997E-3</v>
      </c>
      <c r="P10" s="330">
        <v>263123783.63</v>
      </c>
      <c r="Q10" s="329">
        <v>135.38</v>
      </c>
      <c r="R10" s="23">
        <f t="shared" si="4"/>
        <v>8.02612349113975E-3</v>
      </c>
      <c r="S10" s="23">
        <f t="shared" si="5"/>
        <v>8.1918379505510446E-3</v>
      </c>
      <c r="T10" s="330">
        <v>266937356.22999999</v>
      </c>
      <c r="U10" s="329">
        <v>137.35</v>
      </c>
      <c r="V10" s="23">
        <f t="shared" si="6"/>
        <v>1.449345455355177E-2</v>
      </c>
      <c r="W10" s="23">
        <f t="shared" si="7"/>
        <v>1.455163244201506E-2</v>
      </c>
      <c r="X10" s="330">
        <v>268366586.72</v>
      </c>
      <c r="Y10" s="329">
        <v>137.27000000000001</v>
      </c>
      <c r="Z10" s="23">
        <f t="shared" si="8"/>
        <v>5.354179385700323E-3</v>
      </c>
      <c r="AA10" s="23">
        <f t="shared" si="9"/>
        <v>-5.8245358572977125E-4</v>
      </c>
      <c r="AB10" s="330">
        <v>271307203.51999998</v>
      </c>
      <c r="AC10" s="329">
        <v>139.47999999999999</v>
      </c>
      <c r="AD10" s="23">
        <f t="shared" si="10"/>
        <v>1.0957462461852868E-2</v>
      </c>
      <c r="AE10" s="23">
        <f t="shared" si="11"/>
        <v>1.609965760909142E-2</v>
      </c>
      <c r="AF10" s="330">
        <v>274084077.38999999</v>
      </c>
      <c r="AG10" s="329">
        <v>140.93</v>
      </c>
      <c r="AH10" s="23">
        <f t="shared" si="12"/>
        <v>1.0235164544001139E-2</v>
      </c>
      <c r="AI10" s="23">
        <f t="shared" si="13"/>
        <v>1.0395755663894588E-2</v>
      </c>
      <c r="AJ10" s="24">
        <f t="shared" si="14"/>
        <v>6.0647470936962813E-3</v>
      </c>
      <c r="AK10" s="24">
        <f t="shared" si="15"/>
        <v>6.0165322153207332E-3</v>
      </c>
      <c r="AL10" s="25">
        <f t="shared" si="16"/>
        <v>4.1664473660109079E-2</v>
      </c>
      <c r="AM10" s="25">
        <f t="shared" si="17"/>
        <v>4.0995715763037462E-2</v>
      </c>
      <c r="AN10" s="26">
        <f t="shared" si="18"/>
        <v>7.269206653327801E-3</v>
      </c>
      <c r="AO10" s="78">
        <f t="shared" si="19"/>
        <v>8.4472514790224079E-3</v>
      </c>
      <c r="AP10" s="30"/>
      <c r="AQ10" s="28">
        <v>1147996444.8800001</v>
      </c>
      <c r="AR10" s="32">
        <v>0.69840000000000002</v>
      </c>
      <c r="AS10" s="29" t="e">
        <f>(#REF!/AQ10)-1</f>
        <v>#REF!</v>
      </c>
      <c r="AT10" s="29" t="e">
        <f>(#REF!/AR10)-1</f>
        <v>#REF!</v>
      </c>
    </row>
    <row r="11" spans="1:49">
      <c r="A11" s="206" t="s">
        <v>222</v>
      </c>
      <c r="B11" s="74">
        <v>25667814.68</v>
      </c>
      <c r="C11" s="329">
        <v>103.2</v>
      </c>
      <c r="D11" s="74">
        <v>26274947.98</v>
      </c>
      <c r="E11" s="329">
        <v>105.74</v>
      </c>
      <c r="F11" s="23">
        <f>((D11-B11)/B11)</f>
        <v>2.3653486187628994E-2</v>
      </c>
      <c r="G11" s="23">
        <f>((E11-C11)/C11)</f>
        <v>2.4612403100775115E-2</v>
      </c>
      <c r="H11" s="74">
        <v>26260978.399999999</v>
      </c>
      <c r="I11" s="329">
        <v>105.68</v>
      </c>
      <c r="J11" s="23">
        <f t="shared" si="0"/>
        <v>-5.3166917820866172E-4</v>
      </c>
      <c r="K11" s="23">
        <f t="shared" si="1"/>
        <v>-5.6742954416482002E-4</v>
      </c>
      <c r="L11" s="74">
        <v>26047390.780000001</v>
      </c>
      <c r="M11" s="329">
        <v>104.81</v>
      </c>
      <c r="N11" s="23">
        <f t="shared" si="2"/>
        <v>-8.1332697033099626E-3</v>
      </c>
      <c r="O11" s="23">
        <f t="shared" si="3"/>
        <v>-8.2323996971991348E-3</v>
      </c>
      <c r="P11" s="74">
        <v>25302738.41</v>
      </c>
      <c r="Q11" s="329">
        <v>101.8</v>
      </c>
      <c r="R11" s="23">
        <f t="shared" si="4"/>
        <v>-2.8588367114750254E-2</v>
      </c>
      <c r="S11" s="23">
        <f t="shared" si="5"/>
        <v>-2.8718633718156712E-2</v>
      </c>
      <c r="T11" s="74">
        <v>25667146</v>
      </c>
      <c r="U11" s="329">
        <v>103.28</v>
      </c>
      <c r="V11" s="23">
        <f t="shared" si="6"/>
        <v>1.4401903228623697E-2</v>
      </c>
      <c r="W11" s="23">
        <f t="shared" si="7"/>
        <v>1.4538310412573714E-2</v>
      </c>
      <c r="X11" s="74">
        <v>26679738</v>
      </c>
      <c r="Y11" s="329">
        <v>107.37</v>
      </c>
      <c r="Z11" s="23">
        <f t="shared" si="8"/>
        <v>3.9450899605277499E-2</v>
      </c>
      <c r="AA11" s="23">
        <f t="shared" si="9"/>
        <v>3.9601084430673929E-2</v>
      </c>
      <c r="AB11" s="74">
        <v>27447295.370000001</v>
      </c>
      <c r="AC11" s="329">
        <v>110.38</v>
      </c>
      <c r="AD11" s="23">
        <f t="shared" si="10"/>
        <v>2.8769299383674646E-2</v>
      </c>
      <c r="AE11" s="23">
        <f t="shared" si="11"/>
        <v>2.8033901462233314E-2</v>
      </c>
      <c r="AF11" s="74">
        <v>28355131.620000001</v>
      </c>
      <c r="AG11" s="329">
        <v>114.04</v>
      </c>
      <c r="AH11" s="23">
        <f t="shared" si="12"/>
        <v>3.3075617752569841E-2</v>
      </c>
      <c r="AI11" s="23">
        <f t="shared" si="13"/>
        <v>3.3158180829860578E-2</v>
      </c>
      <c r="AJ11" s="24">
        <f t="shared" si="14"/>
        <v>1.2762237520188225E-2</v>
      </c>
      <c r="AK11" s="24">
        <f t="shared" si="15"/>
        <v>1.2803177159574498E-2</v>
      </c>
      <c r="AL11" s="25">
        <f t="shared" si="16"/>
        <v>7.9169848084319622E-2</v>
      </c>
      <c r="AM11" s="25">
        <f t="shared" si="17"/>
        <v>7.8494420276149154E-2</v>
      </c>
      <c r="AN11" s="26">
        <f t="shared" si="18"/>
        <v>2.3377872969780229E-2</v>
      </c>
      <c r="AO11" s="78">
        <f t="shared" si="19"/>
        <v>2.3458860257105359E-2</v>
      </c>
      <c r="AP11" s="30"/>
      <c r="AQ11" s="28">
        <v>2845469436.1399999</v>
      </c>
      <c r="AR11" s="32">
        <v>13.0688</v>
      </c>
      <c r="AS11" s="29" t="e">
        <f>(#REF!/AQ11)-1</f>
        <v>#REF!</v>
      </c>
      <c r="AT11" s="29" t="e">
        <f>(#REF!/AR11)-1</f>
        <v>#REF!</v>
      </c>
    </row>
    <row r="12" spans="1:49" ht="12.75" customHeight="1">
      <c r="A12" s="206" t="s">
        <v>45</v>
      </c>
      <c r="B12" s="330">
        <v>1048349970.13</v>
      </c>
      <c r="C12" s="329">
        <v>2.14</v>
      </c>
      <c r="D12" s="330">
        <v>1039547469.9</v>
      </c>
      <c r="E12" s="329">
        <v>2.12</v>
      </c>
      <c r="F12" s="23">
        <f>((D12-B12)/B12)</f>
        <v>-8.396528335769848E-3</v>
      </c>
      <c r="G12" s="23">
        <f>((E12-C12)/C12)</f>
        <v>-9.3457943925233725E-3</v>
      </c>
      <c r="H12" s="330">
        <v>1064328708.47</v>
      </c>
      <c r="I12" s="329">
        <v>2.17</v>
      </c>
      <c r="J12" s="23">
        <f t="shared" si="0"/>
        <v>2.3838486733447489E-2</v>
      </c>
      <c r="K12" s="23">
        <f t="shared" si="1"/>
        <v>2.3584905660377273E-2</v>
      </c>
      <c r="L12" s="330">
        <v>1024827540.0700001</v>
      </c>
      <c r="M12" s="329">
        <v>2.09</v>
      </c>
      <c r="N12" s="23">
        <f t="shared" si="2"/>
        <v>-3.7113692495229153E-2</v>
      </c>
      <c r="O12" s="23">
        <f t="shared" si="3"/>
        <v>-3.6866359447004643E-2</v>
      </c>
      <c r="P12" s="330">
        <v>1005563680.53</v>
      </c>
      <c r="Q12" s="329">
        <v>2.0499999999999998</v>
      </c>
      <c r="R12" s="23">
        <f t="shared" si="4"/>
        <v>-1.8797171998992415E-2</v>
      </c>
      <c r="S12" s="23">
        <f t="shared" si="5"/>
        <v>-1.9138755980861261E-2</v>
      </c>
      <c r="T12" s="330">
        <v>1031899682.33</v>
      </c>
      <c r="U12" s="329">
        <v>2.1</v>
      </c>
      <c r="V12" s="23">
        <f t="shared" si="6"/>
        <v>2.6190287407873779E-2</v>
      </c>
      <c r="W12" s="23">
        <f t="shared" si="7"/>
        <v>2.4390243902439157E-2</v>
      </c>
      <c r="X12" s="330">
        <v>1039769742.6900001</v>
      </c>
      <c r="Y12" s="329">
        <v>2.12</v>
      </c>
      <c r="Z12" s="23">
        <f t="shared" si="8"/>
        <v>7.6267688562803339E-3</v>
      </c>
      <c r="AA12" s="23">
        <f t="shared" si="9"/>
        <v>9.5238095238095316E-3</v>
      </c>
      <c r="AB12" s="330">
        <v>1025642836.7</v>
      </c>
      <c r="AC12" s="329">
        <v>2.09</v>
      </c>
      <c r="AD12" s="23">
        <f t="shared" si="10"/>
        <v>-1.3586571535975004E-2</v>
      </c>
      <c r="AE12" s="23">
        <f t="shared" si="11"/>
        <v>-1.4150943396226532E-2</v>
      </c>
      <c r="AF12" s="330">
        <v>1041705147.45</v>
      </c>
      <c r="AG12" s="329">
        <v>2.12</v>
      </c>
      <c r="AH12" s="23">
        <f t="shared" si="12"/>
        <v>1.5660725327815279E-2</v>
      </c>
      <c r="AI12" s="23">
        <f t="shared" si="13"/>
        <v>1.4354066985646053E-2</v>
      </c>
      <c r="AJ12" s="24">
        <f t="shared" si="14"/>
        <v>-5.7221200506869232E-4</v>
      </c>
      <c r="AK12" s="24">
        <f t="shared" si="15"/>
        <v>-9.5610339304297342E-4</v>
      </c>
      <c r="AL12" s="25">
        <f t="shared" si="16"/>
        <v>2.0755930945679959E-3</v>
      </c>
      <c r="AM12" s="25">
        <f t="shared" si="17"/>
        <v>0</v>
      </c>
      <c r="AN12" s="26">
        <f t="shared" si="18"/>
        <v>2.2490847575288148E-2</v>
      </c>
      <c r="AO12" s="78">
        <f t="shared" si="19"/>
        <v>2.2211883566876374E-2</v>
      </c>
      <c r="AP12" s="30"/>
      <c r="AQ12" s="33">
        <v>155057555.75</v>
      </c>
      <c r="AR12" s="33">
        <v>111.51</v>
      </c>
      <c r="AS12" s="29" t="e">
        <f>(#REF!/AQ12)-1</f>
        <v>#REF!</v>
      </c>
      <c r="AT12" s="29" t="e">
        <f>(#REF!/AR12)-1</f>
        <v>#REF!</v>
      </c>
      <c r="AU12" s="83"/>
      <c r="AV12" s="84"/>
      <c r="AW12" s="89"/>
    </row>
    <row r="13" spans="1:49" ht="12.75" customHeight="1">
      <c r="A13" s="206" t="s">
        <v>54</v>
      </c>
      <c r="B13" s="329">
        <v>313263269.95999998</v>
      </c>
      <c r="C13" s="329">
        <v>13.016299999999999</v>
      </c>
      <c r="D13" s="329">
        <v>314249687.81999999</v>
      </c>
      <c r="E13" s="329">
        <v>13.0548</v>
      </c>
      <c r="F13" s="23">
        <f>((D13-B13)/B13)</f>
        <v>3.1488462088963324E-3</v>
      </c>
      <c r="G13" s="23">
        <f>((E13-C13)/C13)</f>
        <v>2.9578297980225464E-3</v>
      </c>
      <c r="H13" s="329">
        <v>315086006.37</v>
      </c>
      <c r="I13" s="329">
        <v>12.976599999999999</v>
      </c>
      <c r="J13" s="23">
        <f t="shared" si="0"/>
        <v>2.6613186342417283E-3</v>
      </c>
      <c r="K13" s="23">
        <f t="shared" si="1"/>
        <v>-5.9901338971106955E-3</v>
      </c>
      <c r="L13" s="329">
        <v>303964969.38999999</v>
      </c>
      <c r="M13" s="329">
        <v>12.6791</v>
      </c>
      <c r="N13" s="23">
        <f t="shared" si="2"/>
        <v>-3.5295242426414769E-2</v>
      </c>
      <c r="O13" s="23">
        <f t="shared" si="3"/>
        <v>-2.2925881972165239E-2</v>
      </c>
      <c r="P13" s="329">
        <v>311153691.87</v>
      </c>
      <c r="Q13" s="329">
        <v>13.002700000000001</v>
      </c>
      <c r="R13" s="23">
        <f t="shared" si="4"/>
        <v>2.3649838645638743E-2</v>
      </c>
      <c r="S13" s="23">
        <f t="shared" si="5"/>
        <v>2.5522316252730933E-2</v>
      </c>
      <c r="T13" s="329">
        <v>310381485.08999997</v>
      </c>
      <c r="U13" s="329">
        <v>12.965</v>
      </c>
      <c r="V13" s="23">
        <f t="shared" si="6"/>
        <v>-2.4817535519477589E-3</v>
      </c>
      <c r="W13" s="23">
        <f t="shared" si="7"/>
        <v>-2.8993978173764644E-3</v>
      </c>
      <c r="X13" s="329">
        <v>327568482.69999999</v>
      </c>
      <c r="Y13" s="329">
        <v>13.675599999999999</v>
      </c>
      <c r="Z13" s="23">
        <f t="shared" si="8"/>
        <v>5.5373784956974398E-2</v>
      </c>
      <c r="AA13" s="23">
        <f t="shared" si="9"/>
        <v>5.4809101426918583E-2</v>
      </c>
      <c r="AB13" s="329">
        <v>322464418.95999998</v>
      </c>
      <c r="AC13" s="329">
        <v>13.423679999999999</v>
      </c>
      <c r="AD13" s="23">
        <f t="shared" si="10"/>
        <v>-1.5581669206785411E-2</v>
      </c>
      <c r="AE13" s="23">
        <f t="shared" si="11"/>
        <v>-1.8421129603088723E-2</v>
      </c>
      <c r="AF13" s="329">
        <v>332248869.60000002</v>
      </c>
      <c r="AG13" s="329">
        <v>13.726271000000001</v>
      </c>
      <c r="AH13" s="23">
        <f t="shared" si="12"/>
        <v>3.0342729506580863E-2</v>
      </c>
      <c r="AI13" s="23">
        <f t="shared" si="13"/>
        <v>2.2541583232019938E-2</v>
      </c>
      <c r="AJ13" s="24">
        <f t="shared" si="14"/>
        <v>7.7272315958980143E-3</v>
      </c>
      <c r="AK13" s="24">
        <f t="shared" si="15"/>
        <v>6.949285927493859E-3</v>
      </c>
      <c r="AL13" s="25">
        <f t="shared" si="16"/>
        <v>5.7276689453100861E-2</v>
      </c>
      <c r="AM13" s="25">
        <f t="shared" si="17"/>
        <v>5.1434797928731221E-2</v>
      </c>
      <c r="AN13" s="26">
        <f t="shared" si="18"/>
        <v>2.8234403534048141E-2</v>
      </c>
      <c r="AO13" s="78">
        <f t="shared" si="19"/>
        <v>2.5898647649466359E-2</v>
      </c>
      <c r="AP13" s="30"/>
      <c r="AQ13" s="38">
        <v>212579164.06</v>
      </c>
      <c r="AR13" s="38">
        <v>9.9</v>
      </c>
      <c r="AS13" s="29" t="e">
        <f>(#REF!/AQ13)-1</f>
        <v>#REF!</v>
      </c>
      <c r="AT13" s="29" t="e">
        <f>(#REF!/AR13)-1</f>
        <v>#REF!</v>
      </c>
    </row>
    <row r="14" spans="1:49" ht="12.75" customHeight="1">
      <c r="A14" s="206" t="s">
        <v>128</v>
      </c>
      <c r="B14" s="329">
        <v>299478576.27999997</v>
      </c>
      <c r="C14" s="329">
        <v>1.54</v>
      </c>
      <c r="D14" s="329">
        <v>300929321.88999999</v>
      </c>
      <c r="E14" s="329">
        <v>-80.06</v>
      </c>
      <c r="F14" s="23">
        <f>((D14-B14)/B14)</f>
        <v>4.8442383693036786E-3</v>
      </c>
      <c r="G14" s="23">
        <f>((E14-C14)/C14)</f>
        <v>-52.987012987012989</v>
      </c>
      <c r="H14" s="329">
        <v>297835987.75999999</v>
      </c>
      <c r="I14" s="329">
        <v>1.54</v>
      </c>
      <c r="J14" s="23">
        <f t="shared" si="0"/>
        <v>-1.0279271260680657E-2</v>
      </c>
      <c r="K14" s="23">
        <f t="shared" si="1"/>
        <v>-1.01923557332001</v>
      </c>
      <c r="L14" s="329">
        <v>294779075.10000002</v>
      </c>
      <c r="M14" s="329">
        <v>1.5246459999999999</v>
      </c>
      <c r="N14" s="23">
        <f t="shared" si="2"/>
        <v>-1.0263745100082619E-2</v>
      </c>
      <c r="O14" s="23">
        <f t="shared" si="3"/>
        <v>-9.9701298701299276E-3</v>
      </c>
      <c r="P14" s="329">
        <v>286199169.50999999</v>
      </c>
      <c r="Q14" s="329">
        <v>1.4858210000000001</v>
      </c>
      <c r="R14" s="23">
        <f t="shared" si="4"/>
        <v>-2.9106223320259115E-2</v>
      </c>
      <c r="S14" s="23">
        <f t="shared" si="5"/>
        <v>-2.5464927596307529E-2</v>
      </c>
      <c r="T14" s="329">
        <v>295967065.02999997</v>
      </c>
      <c r="U14" s="329">
        <v>1.533102</v>
      </c>
      <c r="V14" s="23">
        <f t="shared" si="6"/>
        <v>3.4129713013226211E-2</v>
      </c>
      <c r="W14" s="23">
        <f t="shared" si="7"/>
        <v>3.1821464362127003E-2</v>
      </c>
      <c r="X14" s="329">
        <v>304563016.81999999</v>
      </c>
      <c r="Y14" s="329">
        <v>1.5771029999999999</v>
      </c>
      <c r="Z14" s="23">
        <f t="shared" si="8"/>
        <v>2.9043609258106857E-2</v>
      </c>
      <c r="AA14" s="23">
        <f t="shared" si="9"/>
        <v>2.870063440005946E-2</v>
      </c>
      <c r="AB14" s="329">
        <v>308529932.08999997</v>
      </c>
      <c r="AC14" s="329">
        <v>1.5971120000000001</v>
      </c>
      <c r="AD14" s="23">
        <f t="shared" si="10"/>
        <v>1.3024940819864779E-2</v>
      </c>
      <c r="AE14" s="23">
        <f t="shared" si="11"/>
        <v>1.268718656929837E-2</v>
      </c>
      <c r="AF14" s="329">
        <v>315819551.70999998</v>
      </c>
      <c r="AG14" s="329">
        <v>1.634835</v>
      </c>
      <c r="AH14" s="23">
        <f t="shared" si="12"/>
        <v>2.3626944622908031E-2</v>
      </c>
      <c r="AI14" s="23">
        <f t="shared" si="13"/>
        <v>2.3619508212323212E-2</v>
      </c>
      <c r="AJ14" s="24">
        <f t="shared" si="14"/>
        <v>6.8775258002983942E-3</v>
      </c>
      <c r="AK14" s="24">
        <f t="shared" si="15"/>
        <v>-6.7431068530319545</v>
      </c>
      <c r="AL14" s="25">
        <f t="shared" si="16"/>
        <v>4.9480820700625788E-2</v>
      </c>
      <c r="AM14" s="25">
        <f t="shared" si="17"/>
        <v>-1.0204201224081937</v>
      </c>
      <c r="AN14" s="26">
        <f t="shared" si="18"/>
        <v>2.2166557881138711E-2</v>
      </c>
      <c r="AO14" s="78">
        <f t="shared" si="19"/>
        <v>18.688842237443861</v>
      </c>
      <c r="AP14" s="30"/>
      <c r="AQ14" s="28">
        <v>305162610.31</v>
      </c>
      <c r="AR14" s="28">
        <v>1481.86</v>
      </c>
      <c r="AS14" s="29" t="e">
        <f>(#REF!/AQ14)-1</f>
        <v>#REF!</v>
      </c>
      <c r="AT14" s="29" t="e">
        <f>(#REF!/AR14)-1</f>
        <v>#REF!</v>
      </c>
    </row>
    <row r="15" spans="1:49" s="88" customFormat="1" ht="12.75" customHeight="1">
      <c r="A15" s="206" t="s">
        <v>10</v>
      </c>
      <c r="B15" s="330">
        <v>742740589.78999996</v>
      </c>
      <c r="C15" s="329">
        <v>20.38</v>
      </c>
      <c r="D15" s="330">
        <v>725060937.08000004</v>
      </c>
      <c r="E15" s="329">
        <v>20.38</v>
      </c>
      <c r="F15" s="23">
        <f>((D15-B15)/B15)</f>
        <v>-2.3803267187805916E-2</v>
      </c>
      <c r="G15" s="23">
        <f>((E15-C15)/C15)</f>
        <v>0</v>
      </c>
      <c r="H15" s="330">
        <v>749352694.53999996</v>
      </c>
      <c r="I15" s="329">
        <v>20.38</v>
      </c>
      <c r="J15" s="23">
        <f t="shared" si="0"/>
        <v>3.3503056388375911E-2</v>
      </c>
      <c r="K15" s="23">
        <f t="shared" si="1"/>
        <v>0</v>
      </c>
      <c r="L15" s="330">
        <v>661891481.22000003</v>
      </c>
      <c r="M15" s="329">
        <v>20.38</v>
      </c>
      <c r="N15" s="23">
        <f t="shared" si="2"/>
        <v>-0.11671568536053527</v>
      </c>
      <c r="O15" s="23">
        <f t="shared" si="3"/>
        <v>0</v>
      </c>
      <c r="P15" s="330">
        <v>708251814.41999996</v>
      </c>
      <c r="Q15" s="329">
        <v>20.38</v>
      </c>
      <c r="R15" s="23">
        <f t="shared" si="4"/>
        <v>7.0042196516184874E-2</v>
      </c>
      <c r="S15" s="23">
        <f t="shared" si="5"/>
        <v>0</v>
      </c>
      <c r="T15" s="330">
        <v>725857123.89999998</v>
      </c>
      <c r="U15" s="329">
        <v>18.989999999999998</v>
      </c>
      <c r="V15" s="23">
        <f t="shared" si="6"/>
        <v>2.4857415288681357E-2</v>
      </c>
      <c r="W15" s="23">
        <f t="shared" si="7"/>
        <v>-6.8204121687929373E-2</v>
      </c>
      <c r="X15" s="330">
        <v>733608279.30999994</v>
      </c>
      <c r="Y15" s="329">
        <v>18.79</v>
      </c>
      <c r="Z15" s="23">
        <f t="shared" si="8"/>
        <v>1.0678624146241525E-2</v>
      </c>
      <c r="AA15" s="23">
        <f t="shared" si="9"/>
        <v>-1.0531858873091065E-2</v>
      </c>
      <c r="AB15" s="330">
        <v>751036579.92999995</v>
      </c>
      <c r="AC15" s="329">
        <v>18.79</v>
      </c>
      <c r="AD15" s="23">
        <f t="shared" si="10"/>
        <v>2.3756957372935195E-2</v>
      </c>
      <c r="AE15" s="23">
        <f t="shared" si="11"/>
        <v>0</v>
      </c>
      <c r="AF15" s="330">
        <v>747894697.69000006</v>
      </c>
      <c r="AG15" s="329">
        <v>18.79</v>
      </c>
      <c r="AH15" s="23">
        <f t="shared" si="12"/>
        <v>-4.1833944230688846E-3</v>
      </c>
      <c r="AI15" s="23">
        <f t="shared" si="13"/>
        <v>0</v>
      </c>
      <c r="AJ15" s="24">
        <f t="shared" si="14"/>
        <v>2.2669878426260989E-3</v>
      </c>
      <c r="AK15" s="24">
        <f t="shared" si="15"/>
        <v>-9.8419975701275544E-3</v>
      </c>
      <c r="AL15" s="25">
        <f t="shared" si="16"/>
        <v>3.1492195265624461E-2</v>
      </c>
      <c r="AM15" s="25">
        <f t="shared" si="17"/>
        <v>-7.8017664376840032E-2</v>
      </c>
      <c r="AN15" s="26">
        <f t="shared" si="18"/>
        <v>5.5407857704929835E-2</v>
      </c>
      <c r="AO15" s="78">
        <f t="shared" si="19"/>
        <v>2.3868098665018517E-2</v>
      </c>
      <c r="AP15" s="30"/>
      <c r="AQ15" s="28"/>
      <c r="AR15" s="28"/>
      <c r="AS15" s="29"/>
      <c r="AT15" s="29"/>
    </row>
    <row r="16" spans="1:49" s="374" customFormat="1" ht="12.75" customHeight="1">
      <c r="A16" s="207" t="s">
        <v>68</v>
      </c>
      <c r="B16" s="330">
        <v>349493434.01999998</v>
      </c>
      <c r="C16" s="329">
        <v>3469.32</v>
      </c>
      <c r="D16" s="330">
        <v>352366013.08999997</v>
      </c>
      <c r="E16" s="329">
        <v>3497.56</v>
      </c>
      <c r="F16" s="23">
        <f>((D16-B16)/B16)</f>
        <v>8.2192647711819607E-3</v>
      </c>
      <c r="G16" s="23">
        <f>((E16-C16)/C16)</f>
        <v>8.1399236738034491E-3</v>
      </c>
      <c r="H16" s="330">
        <v>348432570.62</v>
      </c>
      <c r="I16" s="329">
        <v>3458.4</v>
      </c>
      <c r="J16" s="23">
        <f>((H16-D16)/D16)</f>
        <v>-1.1162945130565996E-2</v>
      </c>
      <c r="K16" s="23">
        <f>((I16-E16)/E16)</f>
        <v>-1.1196376902755023E-2</v>
      </c>
      <c r="L16" s="330">
        <v>342252402.37</v>
      </c>
      <c r="M16" s="329">
        <v>3416.91</v>
      </c>
      <c r="N16" s="23">
        <f t="shared" si="2"/>
        <v>-1.7737056667816744E-2</v>
      </c>
      <c r="O16" s="23">
        <f t="shared" si="3"/>
        <v>-1.1996877168632961E-2</v>
      </c>
      <c r="P16" s="330">
        <v>346673108.77999997</v>
      </c>
      <c r="Q16" s="329">
        <v>3461.04</v>
      </c>
      <c r="R16" s="23">
        <f t="shared" si="4"/>
        <v>1.2916509509905085E-2</v>
      </c>
      <c r="S16" s="23">
        <f t="shared" si="5"/>
        <v>1.2915177748316494E-2</v>
      </c>
      <c r="T16" s="330">
        <v>352597487.56</v>
      </c>
      <c r="U16" s="329">
        <v>3520.07</v>
      </c>
      <c r="V16" s="23">
        <f t="shared" si="6"/>
        <v>1.7089236603464574E-2</v>
      </c>
      <c r="W16" s="23">
        <f t="shared" si="7"/>
        <v>1.7055567112775408E-2</v>
      </c>
      <c r="X16" s="330">
        <v>360902095.77999997</v>
      </c>
      <c r="Y16" s="329">
        <v>3602.14</v>
      </c>
      <c r="Z16" s="23">
        <f t="shared" si="8"/>
        <v>2.3552658521387819E-2</v>
      </c>
      <c r="AA16" s="23">
        <f t="shared" si="9"/>
        <v>2.3314877260963478E-2</v>
      </c>
      <c r="AB16" s="330">
        <v>359827802.38</v>
      </c>
      <c r="AC16" s="329">
        <v>3591.3</v>
      </c>
      <c r="AD16" s="23">
        <f t="shared" si="10"/>
        <v>-2.9766892810033662E-3</v>
      </c>
      <c r="AE16" s="23">
        <f t="shared" si="11"/>
        <v>-3.0093222362261576E-3</v>
      </c>
      <c r="AF16" s="330">
        <v>362595207.16000003</v>
      </c>
      <c r="AG16" s="329">
        <v>3618.89</v>
      </c>
      <c r="AH16" s="23">
        <f t="shared" si="12"/>
        <v>7.6909142698136585E-3</v>
      </c>
      <c r="AI16" s="23">
        <f t="shared" si="13"/>
        <v>7.6824548213737893E-3</v>
      </c>
      <c r="AJ16" s="24">
        <f t="shared" si="14"/>
        <v>4.698986574545874E-3</v>
      </c>
      <c r="AK16" s="24">
        <f t="shared" si="15"/>
        <v>5.3631780387023093E-3</v>
      </c>
      <c r="AL16" s="25">
        <f t="shared" si="16"/>
        <v>2.9030024718608008E-2</v>
      </c>
      <c r="AM16" s="25">
        <f t="shared" si="17"/>
        <v>3.4689898100389964E-2</v>
      </c>
      <c r="AN16" s="26">
        <f t="shared" si="18"/>
        <v>1.4201327042604612E-2</v>
      </c>
      <c r="AO16" s="78">
        <f t="shared" si="19"/>
        <v>1.2954793186149236E-2</v>
      </c>
      <c r="AP16" s="30"/>
      <c r="AQ16" s="28"/>
      <c r="AR16" s="28"/>
      <c r="AS16" s="29"/>
      <c r="AT16" s="29"/>
    </row>
    <row r="17" spans="1:46" s="88" customFormat="1" ht="12.75" customHeight="1">
      <c r="A17" s="206" t="s">
        <v>230</v>
      </c>
      <c r="B17" s="330">
        <v>7532733781</v>
      </c>
      <c r="C17" s="329">
        <v>13075.22</v>
      </c>
      <c r="D17" s="330">
        <v>7558720483.8299999</v>
      </c>
      <c r="E17" s="329">
        <v>13130.14</v>
      </c>
      <c r="F17" s="23">
        <f>((D17-B17)/B17)</f>
        <v>3.4498368833300367E-3</v>
      </c>
      <c r="G17" s="23">
        <f>((E17-C17)/C17)</f>
        <v>4.200311734716515E-3</v>
      </c>
      <c r="H17" s="330">
        <v>7475572117.2399998</v>
      </c>
      <c r="I17" s="329">
        <v>13003.9</v>
      </c>
      <c r="J17" s="23">
        <f t="shared" si="0"/>
        <v>-1.100032297369315E-2</v>
      </c>
      <c r="K17" s="23">
        <f t="shared" si="1"/>
        <v>-9.6145204849300767E-3</v>
      </c>
      <c r="L17" s="330">
        <v>7333365642.3800001</v>
      </c>
      <c r="M17" s="329">
        <v>12784.96</v>
      </c>
      <c r="N17" s="23">
        <f t="shared" si="2"/>
        <v>-1.9022821615491639E-2</v>
      </c>
      <c r="O17" s="23">
        <f t="shared" si="3"/>
        <v>-1.6836487515283917E-2</v>
      </c>
      <c r="P17" s="330">
        <v>7376946748.9499998</v>
      </c>
      <c r="Q17" s="329">
        <v>12875.55</v>
      </c>
      <c r="R17" s="23">
        <f t="shared" si="4"/>
        <v>5.9428519857433028E-3</v>
      </c>
      <c r="S17" s="23">
        <f t="shared" si="5"/>
        <v>7.0856694115585929E-3</v>
      </c>
      <c r="T17" s="330">
        <v>7449446127.3000002</v>
      </c>
      <c r="U17" s="329">
        <v>12999.2</v>
      </c>
      <c r="V17" s="23">
        <f t="shared" si="6"/>
        <v>9.8278299704846871E-3</v>
      </c>
      <c r="W17" s="23">
        <f t="shared" si="7"/>
        <v>9.6034732496865349E-3</v>
      </c>
      <c r="X17" s="330">
        <v>7561137652.1700001</v>
      </c>
      <c r="Y17" s="329">
        <v>13195.08</v>
      </c>
      <c r="Z17" s="23">
        <f t="shared" si="8"/>
        <v>1.4993265668528528E-2</v>
      </c>
      <c r="AA17" s="23">
        <f t="shared" si="9"/>
        <v>1.5068619607360391E-2</v>
      </c>
      <c r="AB17" s="330">
        <v>7527063280.2200003</v>
      </c>
      <c r="AC17" s="329">
        <v>13157.36</v>
      </c>
      <c r="AD17" s="23">
        <f t="shared" si="10"/>
        <v>-4.5065139027353476E-3</v>
      </c>
      <c r="AE17" s="23">
        <f t="shared" si="11"/>
        <v>-2.8586412511329485E-3</v>
      </c>
      <c r="AF17" s="330">
        <v>7587944673.5</v>
      </c>
      <c r="AG17" s="329">
        <v>13267.36</v>
      </c>
      <c r="AH17" s="23">
        <f t="shared" si="12"/>
        <v>8.0883328615008396E-3</v>
      </c>
      <c r="AI17" s="23">
        <f t="shared" si="13"/>
        <v>8.3603397642080177E-3</v>
      </c>
      <c r="AJ17" s="24">
        <f t="shared" si="14"/>
        <v>9.715573597084069E-4</v>
      </c>
      <c r="AK17" s="24">
        <f t="shared" si="15"/>
        <v>1.8760955645228887E-3</v>
      </c>
      <c r="AL17" s="25">
        <f t="shared" si="16"/>
        <v>3.8662879163898112E-3</v>
      </c>
      <c r="AM17" s="25">
        <f t="shared" si="17"/>
        <v>1.0450764424446439E-2</v>
      </c>
      <c r="AN17" s="26">
        <f t="shared" si="18"/>
        <v>1.1524237661372665E-2</v>
      </c>
      <c r="AO17" s="78">
        <f t="shared" si="19"/>
        <v>1.0776660463724462E-2</v>
      </c>
      <c r="AP17" s="30"/>
      <c r="AQ17" s="28"/>
      <c r="AR17" s="28"/>
      <c r="AS17" s="29"/>
      <c r="AT17" s="29"/>
    </row>
    <row r="18" spans="1:46" s="110" customFormat="1" ht="12.75" customHeight="1">
      <c r="A18" s="206" t="s">
        <v>250</v>
      </c>
      <c r="B18" s="74">
        <v>57461236.189999998</v>
      </c>
      <c r="C18" s="329">
        <v>109.6285</v>
      </c>
      <c r="D18" s="74">
        <v>57641691.409999996</v>
      </c>
      <c r="E18" s="329">
        <v>109.7247</v>
      </c>
      <c r="F18" s="23">
        <f>((D18-B18)/B18)</f>
        <v>3.1404688093258164E-3</v>
      </c>
      <c r="G18" s="23">
        <f>((E18-C18)/C18)</f>
        <v>8.7750904190056478E-4</v>
      </c>
      <c r="H18" s="74">
        <v>57428707.299999997</v>
      </c>
      <c r="I18" s="329">
        <v>109.3078</v>
      </c>
      <c r="J18" s="23">
        <f t="shared" si="0"/>
        <v>-3.6949663479696184E-3</v>
      </c>
      <c r="K18" s="23">
        <f t="shared" si="1"/>
        <v>-3.7995091351354644E-3</v>
      </c>
      <c r="L18" s="74">
        <v>57356204.850000001</v>
      </c>
      <c r="M18" s="329">
        <v>109.1682</v>
      </c>
      <c r="N18" s="23">
        <f t="shared" si="2"/>
        <v>-1.2624774857155027E-3</v>
      </c>
      <c r="O18" s="23">
        <f t="shared" si="3"/>
        <v>-1.277127524293797E-3</v>
      </c>
      <c r="P18" s="74">
        <v>56645942.009999998</v>
      </c>
      <c r="Q18" s="329">
        <v>107.8116</v>
      </c>
      <c r="R18" s="23">
        <f t="shared" si="4"/>
        <v>-1.2383365354411233E-2</v>
      </c>
      <c r="S18" s="23">
        <f t="shared" si="5"/>
        <v>-1.2426695686106395E-2</v>
      </c>
      <c r="T18" s="74">
        <v>58043001.25</v>
      </c>
      <c r="U18" s="329">
        <v>110.4457</v>
      </c>
      <c r="V18" s="23">
        <f t="shared" si="6"/>
        <v>2.4663006570768514E-2</v>
      </c>
      <c r="W18" s="23">
        <f t="shared" si="7"/>
        <v>2.4432435841783295E-2</v>
      </c>
      <c r="X18" s="74">
        <v>58755040</v>
      </c>
      <c r="Y18" s="329">
        <v>111.5488</v>
      </c>
      <c r="Z18" s="23">
        <f t="shared" si="8"/>
        <v>1.2267435085466053E-2</v>
      </c>
      <c r="AA18" s="23">
        <f t="shared" si="9"/>
        <v>9.9877134193544683E-3</v>
      </c>
      <c r="AB18" s="74">
        <v>58830040.659999996</v>
      </c>
      <c r="AC18" s="329">
        <v>111.6998</v>
      </c>
      <c r="AD18" s="23">
        <f t="shared" si="10"/>
        <v>1.2764974715359981E-3</v>
      </c>
      <c r="AE18" s="23">
        <f t="shared" si="11"/>
        <v>1.3536676324621712E-3</v>
      </c>
      <c r="AF18" s="74">
        <v>59586982.670000002</v>
      </c>
      <c r="AG18" s="329">
        <v>113.1404</v>
      </c>
      <c r="AH18" s="23">
        <f t="shared" si="12"/>
        <v>1.2866589951461125E-2</v>
      </c>
      <c r="AI18" s="23">
        <f t="shared" si="13"/>
        <v>1.2897068750346944E-2</v>
      </c>
      <c r="AJ18" s="24">
        <f t="shared" si="14"/>
        <v>4.6091485875576436E-3</v>
      </c>
      <c r="AK18" s="24">
        <f t="shared" si="15"/>
        <v>4.0056327925389731E-3</v>
      </c>
      <c r="AL18" s="25">
        <f t="shared" si="16"/>
        <v>3.3747990602207165E-2</v>
      </c>
      <c r="AM18" s="25">
        <f t="shared" si="17"/>
        <v>3.1129727399573669E-2</v>
      </c>
      <c r="AN18" s="26">
        <f t="shared" si="18"/>
        <v>1.155382027976673E-2</v>
      </c>
      <c r="AO18" s="78">
        <f t="shared" si="19"/>
        <v>1.1387740893146281E-2</v>
      </c>
      <c r="AP18" s="30"/>
      <c r="AQ18" s="28"/>
      <c r="AR18" s="28"/>
      <c r="AS18" s="29"/>
      <c r="AT18" s="29"/>
    </row>
    <row r="19" spans="1:46" s="306" customFormat="1" ht="12.75" customHeight="1">
      <c r="A19" s="206" t="s">
        <v>76</v>
      </c>
      <c r="B19" s="329">
        <v>2057001149.2</v>
      </c>
      <c r="C19" s="314">
        <v>1.0833999999999999</v>
      </c>
      <c r="D19" s="329">
        <v>2017311576.4400001</v>
      </c>
      <c r="E19" s="314">
        <v>1.0631999999999999</v>
      </c>
      <c r="F19" s="23">
        <f>((D19-B19)/B19)</f>
        <v>-1.9294871456652266E-2</v>
      </c>
      <c r="G19" s="23">
        <f>((E19-C19)/C19)</f>
        <v>-1.864500646114085E-2</v>
      </c>
      <c r="H19" s="329">
        <v>2009640542.96</v>
      </c>
      <c r="I19" s="314">
        <v>1.0593999999999999</v>
      </c>
      <c r="J19" s="23">
        <f t="shared" si="0"/>
        <v>-3.8026022204945072E-3</v>
      </c>
      <c r="K19" s="23">
        <f t="shared" si="1"/>
        <v>-3.574115876598971E-3</v>
      </c>
      <c r="L19" s="329">
        <v>2003579694.8599999</v>
      </c>
      <c r="M19" s="314">
        <v>1.0548</v>
      </c>
      <c r="N19" s="23">
        <f t="shared" si="2"/>
        <v>-3.0158866575577333E-3</v>
      </c>
      <c r="O19" s="23">
        <f t="shared" si="3"/>
        <v>-4.3420804228808171E-3</v>
      </c>
      <c r="P19" s="329">
        <v>2002532110.3800001</v>
      </c>
      <c r="Q19" s="314">
        <v>1.0547</v>
      </c>
      <c r="R19" s="23">
        <f t="shared" si="4"/>
        <v>-5.2285640680391329E-4</v>
      </c>
      <c r="S19" s="23">
        <f t="shared" si="5"/>
        <v>-9.4804702313224296E-5</v>
      </c>
      <c r="T19" s="329">
        <v>2004917093.0599999</v>
      </c>
      <c r="U19" s="314">
        <v>1.0557000000000001</v>
      </c>
      <c r="V19" s="23">
        <f t="shared" si="6"/>
        <v>1.1909834891722434E-3</v>
      </c>
      <c r="W19" s="23">
        <f t="shared" si="7"/>
        <v>9.4813691097005018E-4</v>
      </c>
      <c r="X19" s="329">
        <v>1994889341.1199999</v>
      </c>
      <c r="Y19" s="314">
        <v>1.0508999999999999</v>
      </c>
      <c r="Z19" s="23">
        <f t="shared" si="8"/>
        <v>-5.0015793544336664E-3</v>
      </c>
      <c r="AA19" s="23">
        <f t="shared" si="9"/>
        <v>-4.5467462347259045E-3</v>
      </c>
      <c r="AB19" s="329">
        <v>1986065591.46</v>
      </c>
      <c r="AC19" s="314">
        <v>1.0337000000000001</v>
      </c>
      <c r="AD19" s="23">
        <f t="shared" si="10"/>
        <v>-4.4231775056985815E-3</v>
      </c>
      <c r="AE19" s="23">
        <f t="shared" si="11"/>
        <v>-1.6366923589304295E-2</v>
      </c>
      <c r="AF19" s="329">
        <v>1980421530.45</v>
      </c>
      <c r="AG19" s="314">
        <v>1.028</v>
      </c>
      <c r="AH19" s="23">
        <f t="shared" si="12"/>
        <v>-2.8418301159182351E-3</v>
      </c>
      <c r="AI19" s="23">
        <f t="shared" si="13"/>
        <v>-5.5141723904421382E-3</v>
      </c>
      <c r="AJ19" s="24">
        <f t="shared" si="14"/>
        <v>-4.7139775285483321E-3</v>
      </c>
      <c r="AK19" s="24">
        <f t="shared" si="15"/>
        <v>-6.5169640958045172E-3</v>
      </c>
      <c r="AL19" s="25">
        <f t="shared" si="16"/>
        <v>-1.8286736873389085E-2</v>
      </c>
      <c r="AM19" s="25">
        <f t="shared" si="17"/>
        <v>-3.3107599699021731E-2</v>
      </c>
      <c r="AN19" s="26">
        <f t="shared" si="18"/>
        <v>6.2383933551720247E-3</v>
      </c>
      <c r="AO19" s="78">
        <f t="shared" si="19"/>
        <v>7.1650022651000567E-3</v>
      </c>
      <c r="AP19" s="30"/>
      <c r="AQ19" s="28"/>
      <c r="AR19" s="28"/>
      <c r="AS19" s="29"/>
      <c r="AT19" s="29"/>
    </row>
    <row r="20" spans="1:46">
      <c r="A20" s="206" t="s">
        <v>125</v>
      </c>
      <c r="B20" s="330">
        <v>354100762.80000001</v>
      </c>
      <c r="C20" s="329">
        <v>1.33</v>
      </c>
      <c r="D20" s="330">
        <v>354937986.86000001</v>
      </c>
      <c r="E20" s="329">
        <v>1.34</v>
      </c>
      <c r="F20" s="23">
        <f>((D20-B20)/B20)</f>
        <v>2.3643667225672588E-3</v>
      </c>
      <c r="G20" s="23">
        <f>((E20-C20)/C20)</f>
        <v>7.5187969924812095E-3</v>
      </c>
      <c r="H20" s="330">
        <v>351523477.44999999</v>
      </c>
      <c r="I20" s="329">
        <v>1.33</v>
      </c>
      <c r="J20" s="23">
        <f t="shared" si="0"/>
        <v>-9.6200168378901309E-3</v>
      </c>
      <c r="K20" s="23">
        <f t="shared" si="1"/>
        <v>-7.462686567164185E-3</v>
      </c>
      <c r="L20" s="330">
        <v>349817523.98000002</v>
      </c>
      <c r="M20" s="329">
        <v>1.32</v>
      </c>
      <c r="N20" s="23">
        <f t="shared" si="2"/>
        <v>-4.8530285441393331E-3</v>
      </c>
      <c r="O20" s="23">
        <f t="shared" si="3"/>
        <v>-7.5187969924812095E-3</v>
      </c>
      <c r="P20" s="330">
        <v>339371534.04000002</v>
      </c>
      <c r="Q20" s="329">
        <v>1.28</v>
      </c>
      <c r="R20" s="23">
        <f t="shared" si="4"/>
        <v>-2.9861254007953079E-2</v>
      </c>
      <c r="S20" s="23">
        <f t="shared" si="5"/>
        <v>-3.0303030303030328E-2</v>
      </c>
      <c r="T20" s="330">
        <v>344190166.48000002</v>
      </c>
      <c r="U20" s="329">
        <v>1.3</v>
      </c>
      <c r="V20" s="23">
        <f t="shared" si="6"/>
        <v>1.4198693634192813E-2</v>
      </c>
      <c r="W20" s="23">
        <f t="shared" si="7"/>
        <v>1.5625000000000014E-2</v>
      </c>
      <c r="X20" s="330">
        <v>351847653.92000002</v>
      </c>
      <c r="Y20" s="329">
        <v>1.33</v>
      </c>
      <c r="Z20" s="23">
        <f t="shared" si="8"/>
        <v>2.2247839089397557E-2</v>
      </c>
      <c r="AA20" s="23">
        <f t="shared" si="9"/>
        <v>2.3076923076923096E-2</v>
      </c>
      <c r="AB20" s="330">
        <v>352536812.56999999</v>
      </c>
      <c r="AC20" s="329">
        <v>1.33</v>
      </c>
      <c r="AD20" s="23">
        <f t="shared" si="10"/>
        <v>1.9586847953139142E-3</v>
      </c>
      <c r="AE20" s="23">
        <f t="shared" si="11"/>
        <v>0</v>
      </c>
      <c r="AF20" s="330">
        <v>356346205.95999998</v>
      </c>
      <c r="AG20" s="329">
        <v>1.34</v>
      </c>
      <c r="AH20" s="23">
        <f t="shared" si="12"/>
        <v>1.0805661293155277E-2</v>
      </c>
      <c r="AI20" s="23">
        <f t="shared" si="13"/>
        <v>7.5187969924812095E-3</v>
      </c>
      <c r="AJ20" s="24">
        <f t="shared" si="14"/>
        <v>9.0511826808053488E-4</v>
      </c>
      <c r="AK20" s="24">
        <f t="shared" si="15"/>
        <v>1.0568753999012259E-3</v>
      </c>
      <c r="AL20" s="25">
        <f t="shared" si="16"/>
        <v>3.9675074298413009E-3</v>
      </c>
      <c r="AM20" s="25">
        <f t="shared" si="17"/>
        <v>0</v>
      </c>
      <c r="AN20" s="26">
        <f t="shared" si="18"/>
        <v>1.6142204777181705E-2</v>
      </c>
      <c r="AO20" s="78">
        <f t="shared" si="19"/>
        <v>1.652405769865534E-2</v>
      </c>
      <c r="AP20" s="30"/>
      <c r="AQ20" s="39">
        <v>100020653.31</v>
      </c>
      <c r="AR20" s="28">
        <v>100</v>
      </c>
      <c r="AS20" s="29" t="e">
        <f>(#REF!/AQ20)-1</f>
        <v>#REF!</v>
      </c>
      <c r="AT20" s="29" t="e">
        <f>(#REF!/AR20)-1</f>
        <v>#REF!</v>
      </c>
    </row>
    <row r="21" spans="1:46">
      <c r="A21" s="208" t="s">
        <v>42</v>
      </c>
      <c r="B21" s="70">
        <f>SUM(B5:B20)</f>
        <v>17022340090.360001</v>
      </c>
      <c r="C21" s="87"/>
      <c r="D21" s="70">
        <f>SUM(D5:D20)</f>
        <v>16999391000.990002</v>
      </c>
      <c r="E21" s="87"/>
      <c r="F21" s="23">
        <f>((D21-B21)/B21)</f>
        <v>-1.3481747661119364E-3</v>
      </c>
      <c r="G21" s="23"/>
      <c r="H21" s="70">
        <f>SUM(H5:H20)</f>
        <v>16887170786.959999</v>
      </c>
      <c r="I21" s="87"/>
      <c r="J21" s="23">
        <f>((H21-D21)/D21)</f>
        <v>-6.6014255465661779E-3</v>
      </c>
      <c r="K21" s="23"/>
      <c r="L21" s="70">
        <f>SUM(L5:L20)</f>
        <v>16546902385.180002</v>
      </c>
      <c r="M21" s="87"/>
      <c r="N21" s="23">
        <f>((L21-H21)/H21)</f>
        <v>-2.0149520963141241E-2</v>
      </c>
      <c r="O21" s="23"/>
      <c r="P21" s="70">
        <f>SUM(P5:P20)</f>
        <v>16580432011.360001</v>
      </c>
      <c r="Q21" s="87"/>
      <c r="R21" s="23">
        <f>((P21-L21)/L21)</f>
        <v>2.0263385496265894E-3</v>
      </c>
      <c r="S21" s="23"/>
      <c r="T21" s="70">
        <f>SUM(T5:T20)</f>
        <v>16794813036.269999</v>
      </c>
      <c r="U21" s="87"/>
      <c r="V21" s="23">
        <f>((T21-P21)/P21)</f>
        <v>1.2929761104120559E-2</v>
      </c>
      <c r="W21" s="23"/>
      <c r="X21" s="70">
        <f>SUM(X5:X20)</f>
        <v>16995023834.229998</v>
      </c>
      <c r="Y21" s="87"/>
      <c r="Z21" s="23">
        <f>((X21-T21)/T21)</f>
        <v>1.1920989982301369E-2</v>
      </c>
      <c r="AA21" s="23"/>
      <c r="AB21" s="70">
        <f>SUM(AB5:AB20)</f>
        <v>16966112297.950001</v>
      </c>
      <c r="AC21" s="87"/>
      <c r="AD21" s="23">
        <f>((AB21-X21)/X21)</f>
        <v>-1.7011765656818674E-3</v>
      </c>
      <c r="AE21" s="23"/>
      <c r="AF21" s="70">
        <f>SUM(AF5:AF20)</f>
        <v>17079628906.379999</v>
      </c>
      <c r="AG21" s="87"/>
      <c r="AH21" s="23">
        <f>((AF21-AB21)/AB21)</f>
        <v>6.6907849268281984E-3</v>
      </c>
      <c r="AI21" s="23"/>
      <c r="AJ21" s="24">
        <f t="shared" si="14"/>
        <v>4.7094709017193675E-4</v>
      </c>
      <c r="AK21" s="24" t="e">
        <f t="shared" si="15"/>
        <v>#DIV/0!</v>
      </c>
      <c r="AL21" s="25">
        <f t="shared" si="16"/>
        <v>4.7200458760743033E-3</v>
      </c>
      <c r="AM21" s="25" t="e">
        <f t="shared" si="17"/>
        <v>#DIV/0!</v>
      </c>
      <c r="AN21" s="26">
        <f t="shared" si="18"/>
        <v>1.0761576073679465E-2</v>
      </c>
      <c r="AO21" s="78" t="e">
        <f t="shared" si="19"/>
        <v>#DIV/0!</v>
      </c>
      <c r="AP21" s="30"/>
      <c r="AQ21" s="40">
        <f>SUM(AQ5:AQ20)</f>
        <v>13501614037.429998</v>
      </c>
      <c r="AR21" s="41"/>
      <c r="AS21" s="29" t="e">
        <f>(#REF!/AQ21)-1</f>
        <v>#REF!</v>
      </c>
      <c r="AT21" s="29" t="e">
        <f>(#REF!/AR21)-1</f>
        <v>#REF!</v>
      </c>
    </row>
    <row r="22" spans="1:46" s="110" customFormat="1" ht="6" customHeight="1">
      <c r="A22" s="208"/>
      <c r="B22" s="87"/>
      <c r="C22" s="87"/>
      <c r="D22" s="87"/>
      <c r="E22" s="87"/>
      <c r="F22" s="23"/>
      <c r="G22" s="23"/>
      <c r="H22" s="87"/>
      <c r="I22" s="87"/>
      <c r="J22" s="23"/>
      <c r="K22" s="23"/>
      <c r="L22" s="87"/>
      <c r="M22" s="87"/>
      <c r="N22" s="23"/>
      <c r="O22" s="23"/>
      <c r="P22" s="87"/>
      <c r="Q22" s="87"/>
      <c r="R22" s="23"/>
      <c r="S22" s="23"/>
      <c r="T22" s="87"/>
      <c r="U22" s="87"/>
      <c r="V22" s="23"/>
      <c r="W22" s="23"/>
      <c r="X22" s="87"/>
      <c r="Y22" s="87"/>
      <c r="Z22" s="23"/>
      <c r="AA22" s="23"/>
      <c r="AB22" s="87"/>
      <c r="AC22" s="87"/>
      <c r="AD22" s="23"/>
      <c r="AE22" s="23"/>
      <c r="AF22" s="87"/>
      <c r="AG22" s="87"/>
      <c r="AH22" s="23"/>
      <c r="AI22" s="23"/>
      <c r="AJ22" s="24" t="e">
        <f t="shared" si="14"/>
        <v>#DIV/0!</v>
      </c>
      <c r="AK22" s="24" t="e">
        <f t="shared" si="15"/>
        <v>#DIV/0!</v>
      </c>
      <c r="AL22" s="25" t="e">
        <f t="shared" si="16"/>
        <v>#DIV/0!</v>
      </c>
      <c r="AM22" s="25" t="e">
        <f t="shared" si="17"/>
        <v>#DIV/0!</v>
      </c>
      <c r="AN22" s="26" t="e">
        <f t="shared" si="18"/>
        <v>#DIV/0!</v>
      </c>
      <c r="AO22" s="78" t="e">
        <f t="shared" si="19"/>
        <v>#DIV/0!</v>
      </c>
      <c r="AP22" s="30"/>
      <c r="AQ22" s="40"/>
      <c r="AR22" s="41"/>
      <c r="AS22" s="29"/>
      <c r="AT22" s="29"/>
    </row>
    <row r="23" spans="1:46">
      <c r="A23" s="205" t="s">
        <v>44</v>
      </c>
      <c r="B23" s="87"/>
      <c r="C23" s="87"/>
      <c r="D23" s="87"/>
      <c r="E23" s="87"/>
      <c r="F23" s="23"/>
      <c r="G23" s="23"/>
      <c r="H23" s="87"/>
      <c r="I23" s="87"/>
      <c r="J23" s="23"/>
      <c r="K23" s="23"/>
      <c r="L23" s="87"/>
      <c r="M23" s="87"/>
      <c r="N23" s="23"/>
      <c r="O23" s="23"/>
      <c r="P23" s="87"/>
      <c r="Q23" s="87"/>
      <c r="R23" s="23"/>
      <c r="S23" s="23"/>
      <c r="T23" s="87"/>
      <c r="U23" s="87"/>
      <c r="V23" s="23"/>
      <c r="W23" s="23"/>
      <c r="X23" s="87"/>
      <c r="Y23" s="87"/>
      <c r="Z23" s="23"/>
      <c r="AA23" s="23"/>
      <c r="AB23" s="87"/>
      <c r="AC23" s="87"/>
      <c r="AD23" s="23"/>
      <c r="AE23" s="23"/>
      <c r="AF23" s="87"/>
      <c r="AG23" s="87"/>
      <c r="AH23" s="23"/>
      <c r="AI23" s="23"/>
      <c r="AJ23" s="24" t="e">
        <f t="shared" si="14"/>
        <v>#DIV/0!</v>
      </c>
      <c r="AK23" s="24" t="e">
        <f t="shared" si="15"/>
        <v>#DIV/0!</v>
      </c>
      <c r="AL23" s="25" t="e">
        <f t="shared" si="16"/>
        <v>#DIV/0!</v>
      </c>
      <c r="AM23" s="25" t="e">
        <f t="shared" si="17"/>
        <v>#DIV/0!</v>
      </c>
      <c r="AN23" s="26" t="e">
        <f t="shared" si="18"/>
        <v>#DIV/0!</v>
      </c>
      <c r="AO23" s="78" t="e">
        <f t="shared" si="19"/>
        <v>#DIV/0!</v>
      </c>
      <c r="AP23" s="30"/>
      <c r="AQ23" s="40"/>
      <c r="AR23" s="13"/>
      <c r="AS23" s="29" t="e">
        <f>(#REF!/AQ23)-1</f>
        <v>#REF!</v>
      </c>
      <c r="AT23" s="29" t="e">
        <f>(#REF!/AR23)-1</f>
        <v>#REF!</v>
      </c>
    </row>
    <row r="24" spans="1:46">
      <c r="A24" s="206" t="s">
        <v>99</v>
      </c>
      <c r="B24" s="325">
        <v>15079766415.41</v>
      </c>
      <c r="C24" s="314">
        <v>100</v>
      </c>
      <c r="D24" s="325">
        <v>14948475440.860001</v>
      </c>
      <c r="E24" s="314">
        <v>100</v>
      </c>
      <c r="F24" s="23">
        <f>((D24-B24)/B24)</f>
        <v>-8.7064329070663266E-3</v>
      </c>
      <c r="G24" s="23">
        <f>((E24-C24)/C24)</f>
        <v>0</v>
      </c>
      <c r="H24" s="325">
        <v>14917305381.5</v>
      </c>
      <c r="I24" s="314">
        <v>100</v>
      </c>
      <c r="J24" s="23">
        <f t="shared" ref="J24:J52" si="20">((H24-D24)/D24)</f>
        <v>-2.0851664427798912E-3</v>
      </c>
      <c r="K24" s="23">
        <f t="shared" ref="K24:K52" si="21">((I24-E24)/E24)</f>
        <v>0</v>
      </c>
      <c r="L24" s="325">
        <v>17371324724.130001</v>
      </c>
      <c r="M24" s="314">
        <v>100</v>
      </c>
      <c r="N24" s="23">
        <f t="shared" ref="N24:N52" si="22">((L24-H24)/H24)</f>
        <v>0.16450821913677541</v>
      </c>
      <c r="O24" s="23">
        <f t="shared" ref="O24:O52" si="23">((M24-I24)/I24)</f>
        <v>0</v>
      </c>
      <c r="P24" s="325">
        <v>17486667728.57</v>
      </c>
      <c r="Q24" s="314">
        <v>100</v>
      </c>
      <c r="R24" s="23">
        <f t="shared" ref="R24:R52" si="24">((P24-L24)/L24)</f>
        <v>6.6398508042267504E-3</v>
      </c>
      <c r="S24" s="23">
        <f t="shared" ref="S24:S52" si="25">((Q24-M24)/M24)</f>
        <v>0</v>
      </c>
      <c r="T24" s="325">
        <v>17465062170.860001</v>
      </c>
      <c r="U24" s="314">
        <v>100</v>
      </c>
      <c r="V24" s="23">
        <f t="shared" ref="V24:V52" si="26">((T24-P24)/P24)</f>
        <v>-1.2355445900478555E-3</v>
      </c>
      <c r="W24" s="23">
        <f t="shared" ref="W24:W52" si="27">((U24-Q24)/Q24)</f>
        <v>0</v>
      </c>
      <c r="X24" s="325">
        <v>17614943373.200001</v>
      </c>
      <c r="Y24" s="314">
        <v>100</v>
      </c>
      <c r="Z24" s="23">
        <f t="shared" ref="Z24:Z52" si="28">((X24-T24)/T24)</f>
        <v>8.5817731923149409E-3</v>
      </c>
      <c r="AA24" s="23">
        <f t="shared" ref="AA24:AA52" si="29">((Y24-U24)/U24)</f>
        <v>0</v>
      </c>
      <c r="AB24" s="325">
        <v>17528080985.630001</v>
      </c>
      <c r="AC24" s="314">
        <v>100</v>
      </c>
      <c r="AD24" s="23">
        <f t="shared" ref="AD24:AD52" si="30">((AB24-X24)/X24)</f>
        <v>-4.9311760889424834E-3</v>
      </c>
      <c r="AE24" s="23">
        <f t="shared" ref="AE24:AE52" si="31">((AC24-Y24)/Y24)</f>
        <v>0</v>
      </c>
      <c r="AF24" s="325">
        <v>17590388292.700001</v>
      </c>
      <c r="AG24" s="314">
        <v>100</v>
      </c>
      <c r="AH24" s="23">
        <f t="shared" ref="AH24:AH52" si="32">((AF24-AB24)/AB24)</f>
        <v>3.5547135548427079E-3</v>
      </c>
      <c r="AI24" s="23">
        <f t="shared" ref="AI24:AI52" si="33">((AG24-AC24)/AC24)</f>
        <v>0</v>
      </c>
      <c r="AJ24" s="24">
        <f t="shared" si="14"/>
        <v>2.0790779582415406E-2</v>
      </c>
      <c r="AK24" s="24">
        <f t="shared" si="15"/>
        <v>0</v>
      </c>
      <c r="AL24" s="25">
        <f t="shared" si="16"/>
        <v>0.17673460161821078</v>
      </c>
      <c r="AM24" s="25">
        <f t="shared" si="17"/>
        <v>0</v>
      </c>
      <c r="AN24" s="26">
        <f t="shared" si="18"/>
        <v>5.8360046800375182E-2</v>
      </c>
      <c r="AO24" s="78">
        <f t="shared" si="19"/>
        <v>0</v>
      </c>
      <c r="AP24" s="30"/>
      <c r="AQ24" s="28">
        <v>58847545464.410004</v>
      </c>
      <c r="AR24" s="42">
        <v>100</v>
      </c>
      <c r="AS24" s="29" t="e">
        <f>(#REF!/AQ24)-1</f>
        <v>#REF!</v>
      </c>
      <c r="AT24" s="29" t="e">
        <f>(#REF!/AR24)-1</f>
        <v>#REF!</v>
      </c>
    </row>
    <row r="25" spans="1:46">
      <c r="A25" s="206" t="s">
        <v>117</v>
      </c>
      <c r="B25" s="325">
        <v>724415910.40999997</v>
      </c>
      <c r="C25" s="314">
        <v>100</v>
      </c>
      <c r="D25" s="325">
        <v>749367264.89999998</v>
      </c>
      <c r="E25" s="314">
        <v>100</v>
      </c>
      <c r="F25" s="23">
        <f>((D25-B25)/B25)</f>
        <v>3.4443410382687778E-2</v>
      </c>
      <c r="G25" s="23">
        <f>((E25-C25)/C25)</f>
        <v>0</v>
      </c>
      <c r="H25" s="325">
        <v>758391576.14999998</v>
      </c>
      <c r="I25" s="314">
        <v>100</v>
      </c>
      <c r="J25" s="23">
        <f t="shared" si="20"/>
        <v>1.2042574679592199E-2</v>
      </c>
      <c r="K25" s="23">
        <f t="shared" si="21"/>
        <v>0</v>
      </c>
      <c r="L25" s="325">
        <v>766148632.13</v>
      </c>
      <c r="M25" s="314">
        <v>100</v>
      </c>
      <c r="N25" s="23">
        <f t="shared" si="22"/>
        <v>1.0228299237418975E-2</v>
      </c>
      <c r="O25" s="23">
        <f t="shared" si="23"/>
        <v>0</v>
      </c>
      <c r="P25" s="325">
        <v>759033782.70000005</v>
      </c>
      <c r="Q25" s="314">
        <v>100</v>
      </c>
      <c r="R25" s="23">
        <f t="shared" si="24"/>
        <v>-9.2865132581646387E-3</v>
      </c>
      <c r="S25" s="23">
        <f t="shared" si="25"/>
        <v>0</v>
      </c>
      <c r="T25" s="325">
        <v>757578529.94000006</v>
      </c>
      <c r="U25" s="314">
        <v>100</v>
      </c>
      <c r="V25" s="23">
        <f t="shared" si="26"/>
        <v>-1.9172437290253831E-3</v>
      </c>
      <c r="W25" s="23">
        <f t="shared" si="27"/>
        <v>0</v>
      </c>
      <c r="X25" s="325">
        <v>773424588.75</v>
      </c>
      <c r="Y25" s="314">
        <v>100</v>
      </c>
      <c r="Z25" s="23">
        <f t="shared" si="28"/>
        <v>2.0916721084024047E-2</v>
      </c>
      <c r="AA25" s="23">
        <f t="shared" si="29"/>
        <v>0</v>
      </c>
      <c r="AB25" s="325">
        <v>780586901.72000003</v>
      </c>
      <c r="AC25" s="314">
        <v>100</v>
      </c>
      <c r="AD25" s="23">
        <f t="shared" si="30"/>
        <v>9.2605188329681586E-3</v>
      </c>
      <c r="AE25" s="23">
        <f t="shared" si="31"/>
        <v>0</v>
      </c>
      <c r="AF25" s="325">
        <v>789021220.91999996</v>
      </c>
      <c r="AG25" s="314">
        <v>100</v>
      </c>
      <c r="AH25" s="23">
        <f t="shared" si="32"/>
        <v>1.0805099574967447E-2</v>
      </c>
      <c r="AI25" s="23">
        <f t="shared" si="33"/>
        <v>0</v>
      </c>
      <c r="AJ25" s="24">
        <f t="shared" si="14"/>
        <v>1.0811608350558574E-2</v>
      </c>
      <c r="AK25" s="24">
        <f t="shared" si="15"/>
        <v>0</v>
      </c>
      <c r="AL25" s="25">
        <f t="shared" si="16"/>
        <v>5.291658426698375E-2</v>
      </c>
      <c r="AM25" s="25">
        <f t="shared" si="17"/>
        <v>0</v>
      </c>
      <c r="AN25" s="26">
        <f t="shared" si="18"/>
        <v>1.3260009624997437E-2</v>
      </c>
      <c r="AO25" s="78">
        <f t="shared" si="19"/>
        <v>0</v>
      </c>
      <c r="AP25" s="30"/>
      <c r="AQ25" s="28">
        <v>56630718400</v>
      </c>
      <c r="AR25" s="42">
        <v>100</v>
      </c>
      <c r="AS25" s="29" t="e">
        <f>(#REF!/AQ25)-1</f>
        <v>#REF!</v>
      </c>
      <c r="AT25" s="29" t="e">
        <f>(#REF!/AR25)-1</f>
        <v>#REF!</v>
      </c>
    </row>
    <row r="26" spans="1:46">
      <c r="A26" s="206" t="s">
        <v>37</v>
      </c>
      <c r="B26" s="325">
        <v>2397783622.0599999</v>
      </c>
      <c r="C26" s="314">
        <v>100</v>
      </c>
      <c r="D26" s="325">
        <v>2449458946.7199998</v>
      </c>
      <c r="E26" s="314">
        <v>100</v>
      </c>
      <c r="F26" s="23">
        <f>((D26-B26)/B26)</f>
        <v>2.1551287691090406E-2</v>
      </c>
      <c r="G26" s="23">
        <f>((E26-C26)/C26)</f>
        <v>0</v>
      </c>
      <c r="H26" s="325">
        <v>2562208773.8000002</v>
      </c>
      <c r="I26" s="314">
        <v>100</v>
      </c>
      <c r="J26" s="23">
        <f t="shared" si="20"/>
        <v>4.6030502871248553E-2</v>
      </c>
      <c r="K26" s="23">
        <f t="shared" si="21"/>
        <v>0</v>
      </c>
      <c r="L26" s="325">
        <v>2611053785.0900002</v>
      </c>
      <c r="M26" s="314">
        <v>100</v>
      </c>
      <c r="N26" s="23">
        <f t="shared" si="22"/>
        <v>1.9063634388215036E-2</v>
      </c>
      <c r="O26" s="23">
        <f t="shared" si="23"/>
        <v>0</v>
      </c>
      <c r="P26" s="325">
        <v>2808123670.1100001</v>
      </c>
      <c r="Q26" s="314">
        <v>100</v>
      </c>
      <c r="R26" s="23">
        <f t="shared" si="24"/>
        <v>7.54752300183687E-2</v>
      </c>
      <c r="S26" s="23">
        <f t="shared" si="25"/>
        <v>0</v>
      </c>
      <c r="T26" s="325">
        <v>2909772089.7399998</v>
      </c>
      <c r="U26" s="314">
        <v>100</v>
      </c>
      <c r="V26" s="23">
        <f t="shared" si="26"/>
        <v>3.6197985406396953E-2</v>
      </c>
      <c r="W26" s="23">
        <f t="shared" si="27"/>
        <v>0</v>
      </c>
      <c r="X26" s="325">
        <v>2977946608.1900001</v>
      </c>
      <c r="Y26" s="314">
        <v>100</v>
      </c>
      <c r="Z26" s="23">
        <f t="shared" si="28"/>
        <v>2.3429504561675814E-2</v>
      </c>
      <c r="AA26" s="23">
        <f t="shared" si="29"/>
        <v>0</v>
      </c>
      <c r="AB26" s="325">
        <v>3119190246.1599998</v>
      </c>
      <c r="AC26" s="314">
        <v>100</v>
      </c>
      <c r="AD26" s="23">
        <f t="shared" si="30"/>
        <v>4.7429875868677127E-2</v>
      </c>
      <c r="AE26" s="23">
        <f t="shared" si="31"/>
        <v>0</v>
      </c>
      <c r="AF26" s="325">
        <v>3181722069.02</v>
      </c>
      <c r="AG26" s="314">
        <v>100</v>
      </c>
      <c r="AH26" s="23">
        <f t="shared" si="32"/>
        <v>2.0047453962445016E-2</v>
      </c>
      <c r="AI26" s="23">
        <f t="shared" si="33"/>
        <v>0</v>
      </c>
      <c r="AJ26" s="24">
        <f t="shared" si="14"/>
        <v>3.6153184346014701E-2</v>
      </c>
      <c r="AK26" s="24">
        <f t="shared" si="15"/>
        <v>0</v>
      </c>
      <c r="AL26" s="25">
        <f t="shared" si="16"/>
        <v>0.29894892636618903</v>
      </c>
      <c r="AM26" s="25">
        <f t="shared" si="17"/>
        <v>0</v>
      </c>
      <c r="AN26" s="26">
        <f t="shared" si="18"/>
        <v>1.9630534371824826E-2</v>
      </c>
      <c r="AO26" s="78">
        <f t="shared" si="19"/>
        <v>0</v>
      </c>
      <c r="AP26" s="30"/>
      <c r="AQ26" s="28">
        <v>366113097.69999999</v>
      </c>
      <c r="AR26" s="32">
        <v>1.1357999999999999</v>
      </c>
      <c r="AS26" s="29" t="e">
        <f>(#REF!/AQ26)-1</f>
        <v>#REF!</v>
      </c>
      <c r="AT26" s="29" t="e">
        <f>(#REF!/AR26)-1</f>
        <v>#REF!</v>
      </c>
    </row>
    <row r="27" spans="1:46">
      <c r="A27" s="206" t="s">
        <v>142</v>
      </c>
      <c r="B27" s="325">
        <v>425550249.77999997</v>
      </c>
      <c r="C27" s="314">
        <v>100</v>
      </c>
      <c r="D27" s="325">
        <v>449598803.33999997</v>
      </c>
      <c r="E27" s="314">
        <v>100</v>
      </c>
      <c r="F27" s="23">
        <f>((D27-B27)/B27)</f>
        <v>5.6511665948809971E-2</v>
      </c>
      <c r="G27" s="23">
        <f>((E27-C27)/C27)</f>
        <v>0</v>
      </c>
      <c r="H27" s="325">
        <v>483121043.02999997</v>
      </c>
      <c r="I27" s="314">
        <v>100</v>
      </c>
      <c r="J27" s="23">
        <f t="shared" si="20"/>
        <v>7.4560340109823389E-2</v>
      </c>
      <c r="K27" s="23">
        <f t="shared" si="21"/>
        <v>0</v>
      </c>
      <c r="L27" s="325">
        <v>470428276.13</v>
      </c>
      <c r="M27" s="314">
        <v>100</v>
      </c>
      <c r="N27" s="23">
        <f t="shared" si="22"/>
        <v>-2.6272436448626816E-2</v>
      </c>
      <c r="O27" s="23">
        <f t="shared" si="23"/>
        <v>0</v>
      </c>
      <c r="P27" s="325">
        <v>467823613.89999998</v>
      </c>
      <c r="Q27" s="314">
        <v>100</v>
      </c>
      <c r="R27" s="23">
        <f t="shared" si="24"/>
        <v>-5.5367892666388883E-3</v>
      </c>
      <c r="S27" s="23">
        <f t="shared" si="25"/>
        <v>0</v>
      </c>
      <c r="T27" s="325">
        <v>440703789.61000001</v>
      </c>
      <c r="U27" s="314">
        <v>100</v>
      </c>
      <c r="V27" s="23">
        <f t="shared" si="26"/>
        <v>-5.7970191081027779E-2</v>
      </c>
      <c r="W27" s="23">
        <f t="shared" si="27"/>
        <v>0</v>
      </c>
      <c r="X27" s="325">
        <v>445987014.75</v>
      </c>
      <c r="Y27" s="314">
        <v>100</v>
      </c>
      <c r="Z27" s="23">
        <f t="shared" si="28"/>
        <v>1.1988154548603646E-2</v>
      </c>
      <c r="AA27" s="23">
        <f t="shared" si="29"/>
        <v>0</v>
      </c>
      <c r="AB27" s="325">
        <v>455989204.56</v>
      </c>
      <c r="AC27" s="314">
        <v>100</v>
      </c>
      <c r="AD27" s="23">
        <f t="shared" si="30"/>
        <v>2.2427087514211089E-2</v>
      </c>
      <c r="AE27" s="23">
        <f t="shared" si="31"/>
        <v>0</v>
      </c>
      <c r="AF27" s="325">
        <v>466329515.66000003</v>
      </c>
      <c r="AG27" s="314">
        <v>100</v>
      </c>
      <c r="AH27" s="23">
        <f t="shared" si="32"/>
        <v>2.2676657685301461E-2</v>
      </c>
      <c r="AI27" s="23">
        <f t="shared" si="33"/>
        <v>0</v>
      </c>
      <c r="AJ27" s="24">
        <f t="shared" si="14"/>
        <v>1.2298061126307009E-2</v>
      </c>
      <c r="AK27" s="24">
        <f t="shared" si="15"/>
        <v>0</v>
      </c>
      <c r="AL27" s="25">
        <f t="shared" si="16"/>
        <v>3.7212537479437618E-2</v>
      </c>
      <c r="AM27" s="25">
        <f t="shared" si="17"/>
        <v>0</v>
      </c>
      <c r="AN27" s="26">
        <f t="shared" si="18"/>
        <v>4.2737128655137062E-2</v>
      </c>
      <c r="AO27" s="78">
        <f t="shared" si="19"/>
        <v>0</v>
      </c>
      <c r="AP27" s="30"/>
      <c r="AQ27" s="28">
        <v>691810420.35000002</v>
      </c>
      <c r="AR27" s="42">
        <v>100</v>
      </c>
      <c r="AS27" s="29" t="e">
        <f>(#REF!/AQ27)-1</f>
        <v>#REF!</v>
      </c>
      <c r="AT27" s="29" t="e">
        <f>(#REF!/AR27)-1</f>
        <v>#REF!</v>
      </c>
    </row>
    <row r="28" spans="1:46">
      <c r="A28" s="206" t="s">
        <v>15</v>
      </c>
      <c r="B28" s="325">
        <v>75352239204.960007</v>
      </c>
      <c r="C28" s="314">
        <v>1</v>
      </c>
      <c r="D28" s="325">
        <v>75871633613.800003</v>
      </c>
      <c r="E28" s="314">
        <v>1</v>
      </c>
      <c r="F28" s="23">
        <f>((D28-B28)/B28)</f>
        <v>6.8928861878574084E-3</v>
      </c>
      <c r="G28" s="23">
        <f>((E28-C28)/C28)</f>
        <v>0</v>
      </c>
      <c r="H28" s="325">
        <v>77644321729.720001</v>
      </c>
      <c r="I28" s="314">
        <v>1</v>
      </c>
      <c r="J28" s="23">
        <f t="shared" si="20"/>
        <v>2.3364306678083317E-2</v>
      </c>
      <c r="K28" s="23">
        <f t="shared" si="21"/>
        <v>0</v>
      </c>
      <c r="L28" s="325">
        <v>77373682481.070007</v>
      </c>
      <c r="M28" s="314">
        <v>1</v>
      </c>
      <c r="N28" s="23">
        <f t="shared" si="22"/>
        <v>-3.4856283450075015E-3</v>
      </c>
      <c r="O28" s="23">
        <f t="shared" si="23"/>
        <v>0</v>
      </c>
      <c r="P28" s="325">
        <v>77181859873.679993</v>
      </c>
      <c r="Q28" s="314">
        <v>1</v>
      </c>
      <c r="R28" s="23">
        <f t="shared" si="24"/>
        <v>-2.4791712277226216E-3</v>
      </c>
      <c r="S28" s="23">
        <f t="shared" si="25"/>
        <v>0</v>
      </c>
      <c r="T28" s="325">
        <v>77432709637.889999</v>
      </c>
      <c r="U28" s="314">
        <v>1</v>
      </c>
      <c r="V28" s="23">
        <f t="shared" si="26"/>
        <v>3.250112974999061E-3</v>
      </c>
      <c r="W28" s="23">
        <f t="shared" si="27"/>
        <v>0</v>
      </c>
      <c r="X28" s="325">
        <v>78231363248.449997</v>
      </c>
      <c r="Y28" s="314">
        <v>1</v>
      </c>
      <c r="Z28" s="23">
        <f t="shared" si="28"/>
        <v>1.0314163281833469E-2</v>
      </c>
      <c r="AA28" s="23">
        <f t="shared" si="29"/>
        <v>0</v>
      </c>
      <c r="AB28" s="325">
        <v>78641641385.800003</v>
      </c>
      <c r="AC28" s="314">
        <v>1</v>
      </c>
      <c r="AD28" s="23">
        <f t="shared" si="30"/>
        <v>5.2444201444761989E-3</v>
      </c>
      <c r="AE28" s="23">
        <f t="shared" si="31"/>
        <v>0</v>
      </c>
      <c r="AF28" s="325">
        <v>79017835302.059998</v>
      </c>
      <c r="AG28" s="314">
        <v>1</v>
      </c>
      <c r="AH28" s="23">
        <f t="shared" si="32"/>
        <v>4.7836478185197479E-3</v>
      </c>
      <c r="AI28" s="23">
        <f t="shared" si="33"/>
        <v>0</v>
      </c>
      <c r="AJ28" s="24">
        <f t="shared" si="14"/>
        <v>5.985592189129885E-3</v>
      </c>
      <c r="AK28" s="24">
        <f t="shared" si="15"/>
        <v>0</v>
      </c>
      <c r="AL28" s="25">
        <f t="shared" si="16"/>
        <v>4.1467430426959252E-2</v>
      </c>
      <c r="AM28" s="25">
        <f t="shared" si="17"/>
        <v>0</v>
      </c>
      <c r="AN28" s="26">
        <f t="shared" si="18"/>
        <v>8.3871714822066692E-3</v>
      </c>
      <c r="AO28" s="78">
        <f t="shared" si="19"/>
        <v>0</v>
      </c>
      <c r="AP28" s="30"/>
      <c r="AQ28" s="28">
        <v>13880602273.7041</v>
      </c>
      <c r="AR28" s="35">
        <v>1</v>
      </c>
      <c r="AS28" s="29" t="e">
        <f>(#REF!/AQ28)-1</f>
        <v>#REF!</v>
      </c>
      <c r="AT28" s="29" t="e">
        <f>(#REF!/AR28)-1</f>
        <v>#REF!</v>
      </c>
    </row>
    <row r="29" spans="1:46">
      <c r="A29" s="206" t="s">
        <v>83</v>
      </c>
      <c r="B29" s="325">
        <v>35646070514.709999</v>
      </c>
      <c r="C29" s="314">
        <v>1</v>
      </c>
      <c r="D29" s="325">
        <v>36418046507.919998</v>
      </c>
      <c r="E29" s="314">
        <v>1</v>
      </c>
      <c r="F29" s="23">
        <f>((D29-B29)/B29)</f>
        <v>2.1656692646989776E-2</v>
      </c>
      <c r="G29" s="23">
        <f>((E29-C29)/C29)</f>
        <v>0</v>
      </c>
      <c r="H29" s="325">
        <v>36637222597.720001</v>
      </c>
      <c r="I29" s="314">
        <v>1</v>
      </c>
      <c r="J29" s="23">
        <f t="shared" si="20"/>
        <v>6.0183373578903479E-3</v>
      </c>
      <c r="K29" s="23">
        <f t="shared" si="21"/>
        <v>0</v>
      </c>
      <c r="L29" s="325">
        <v>37901167101.580002</v>
      </c>
      <c r="M29" s="314">
        <v>1</v>
      </c>
      <c r="N29" s="23">
        <f t="shared" si="22"/>
        <v>3.449891706416245E-2</v>
      </c>
      <c r="O29" s="23">
        <f t="shared" si="23"/>
        <v>0</v>
      </c>
      <c r="P29" s="325">
        <v>37669834097.889999</v>
      </c>
      <c r="Q29" s="314">
        <v>1</v>
      </c>
      <c r="R29" s="23">
        <f t="shared" si="24"/>
        <v>-6.1035852291830553E-3</v>
      </c>
      <c r="S29" s="23">
        <f t="shared" si="25"/>
        <v>0</v>
      </c>
      <c r="T29" s="325">
        <v>38293583803.980003</v>
      </c>
      <c r="U29" s="314">
        <v>1</v>
      </c>
      <c r="V29" s="23">
        <f t="shared" si="26"/>
        <v>1.655833430190079E-2</v>
      </c>
      <c r="W29" s="23">
        <f t="shared" si="27"/>
        <v>0</v>
      </c>
      <c r="X29" s="325">
        <v>38293583803.980003</v>
      </c>
      <c r="Y29" s="314">
        <v>1</v>
      </c>
      <c r="Z29" s="23">
        <f t="shared" si="28"/>
        <v>0</v>
      </c>
      <c r="AA29" s="23">
        <f t="shared" si="29"/>
        <v>0</v>
      </c>
      <c r="AB29" s="325">
        <v>38293583803.980003</v>
      </c>
      <c r="AC29" s="314">
        <v>1</v>
      </c>
      <c r="AD29" s="23">
        <f t="shared" si="30"/>
        <v>0</v>
      </c>
      <c r="AE29" s="23">
        <f t="shared" si="31"/>
        <v>0</v>
      </c>
      <c r="AF29" s="325">
        <v>39423811758.82</v>
      </c>
      <c r="AG29" s="314">
        <v>1</v>
      </c>
      <c r="AH29" s="23">
        <f t="shared" si="32"/>
        <v>2.9514812732741074E-2</v>
      </c>
      <c r="AI29" s="23">
        <f t="shared" si="33"/>
        <v>0</v>
      </c>
      <c r="AJ29" s="24">
        <f t="shared" si="14"/>
        <v>1.2767938609312673E-2</v>
      </c>
      <c r="AK29" s="24">
        <f t="shared" si="15"/>
        <v>0</v>
      </c>
      <c r="AL29" s="25">
        <f t="shared" si="16"/>
        <v>8.2535048941911923E-2</v>
      </c>
      <c r="AM29" s="25">
        <f t="shared" si="17"/>
        <v>0</v>
      </c>
      <c r="AN29" s="26">
        <f t="shared" si="18"/>
        <v>1.4994295615629876E-2</v>
      </c>
      <c r="AO29" s="78">
        <f t="shared" si="19"/>
        <v>0</v>
      </c>
      <c r="AP29" s="30"/>
      <c r="AQ29" s="38">
        <v>246915130.99000001</v>
      </c>
      <c r="AR29" s="35">
        <v>10</v>
      </c>
      <c r="AS29" s="29" t="e">
        <f>(#REF!/AQ29)-1</f>
        <v>#REF!</v>
      </c>
      <c r="AT29" s="29" t="e">
        <f>(#REF!/AR29)-1</f>
        <v>#REF!</v>
      </c>
    </row>
    <row r="30" spans="1:46">
      <c r="A30" s="206" t="s">
        <v>98</v>
      </c>
      <c r="B30" s="325">
        <v>5414533660.1499996</v>
      </c>
      <c r="C30" s="314">
        <v>100</v>
      </c>
      <c r="D30" s="325">
        <v>5229773332.5</v>
      </c>
      <c r="E30" s="314">
        <v>100</v>
      </c>
      <c r="F30" s="23">
        <f>((D30-B30)/B30)</f>
        <v>-3.4123036118475468E-2</v>
      </c>
      <c r="G30" s="23">
        <f>((E30-C30)/C30)</f>
        <v>0</v>
      </c>
      <c r="H30" s="325">
        <v>5250605455.4700003</v>
      </c>
      <c r="I30" s="314">
        <v>100</v>
      </c>
      <c r="J30" s="23">
        <f t="shared" si="20"/>
        <v>3.9833701473332957E-3</v>
      </c>
      <c r="K30" s="23">
        <f t="shared" si="21"/>
        <v>0</v>
      </c>
      <c r="L30" s="325">
        <v>5879797445.79</v>
      </c>
      <c r="M30" s="314">
        <v>100</v>
      </c>
      <c r="N30" s="23">
        <f t="shared" si="22"/>
        <v>0.1198322737551185</v>
      </c>
      <c r="O30" s="23">
        <f t="shared" si="23"/>
        <v>0</v>
      </c>
      <c r="P30" s="325">
        <v>5879797445.79</v>
      </c>
      <c r="Q30" s="314">
        <v>100</v>
      </c>
      <c r="R30" s="23">
        <f t="shared" si="24"/>
        <v>0</v>
      </c>
      <c r="S30" s="23">
        <f t="shared" si="25"/>
        <v>0</v>
      </c>
      <c r="T30" s="325">
        <v>5953054706.3500004</v>
      </c>
      <c r="U30" s="314">
        <v>100</v>
      </c>
      <c r="V30" s="23">
        <f t="shared" si="26"/>
        <v>1.2459146974944423E-2</v>
      </c>
      <c r="W30" s="23">
        <f t="shared" si="27"/>
        <v>0</v>
      </c>
      <c r="X30" s="325">
        <v>6026943927.4200001</v>
      </c>
      <c r="Y30" s="314">
        <v>100</v>
      </c>
      <c r="Z30" s="23">
        <f t="shared" si="28"/>
        <v>1.241198421898989E-2</v>
      </c>
      <c r="AA30" s="23">
        <f t="shared" si="29"/>
        <v>0</v>
      </c>
      <c r="AB30" s="325">
        <v>6122434597.0100002</v>
      </c>
      <c r="AC30" s="314">
        <v>100</v>
      </c>
      <c r="AD30" s="23">
        <f t="shared" si="30"/>
        <v>1.5843961838695516E-2</v>
      </c>
      <c r="AE30" s="23">
        <f t="shared" si="31"/>
        <v>0</v>
      </c>
      <c r="AF30" s="325">
        <v>6111307995.9700003</v>
      </c>
      <c r="AG30" s="314">
        <v>100</v>
      </c>
      <c r="AH30" s="23">
        <f t="shared" si="32"/>
        <v>-1.8173491057681262E-3</v>
      </c>
      <c r="AI30" s="23">
        <f t="shared" si="33"/>
        <v>0</v>
      </c>
      <c r="AJ30" s="24">
        <f t="shared" si="14"/>
        <v>1.6073793963854756E-2</v>
      </c>
      <c r="AK30" s="24">
        <f t="shared" si="15"/>
        <v>0</v>
      </c>
      <c r="AL30" s="25">
        <f t="shared" si="16"/>
        <v>0.16856077834038713</v>
      </c>
      <c r="AM30" s="25">
        <f t="shared" si="17"/>
        <v>0</v>
      </c>
      <c r="AN30" s="26">
        <f t="shared" si="18"/>
        <v>4.4779953145463715E-2</v>
      </c>
      <c r="AO30" s="78">
        <f t="shared" si="19"/>
        <v>0</v>
      </c>
      <c r="AP30" s="30"/>
      <c r="AQ30" s="38"/>
      <c r="AR30" s="35"/>
      <c r="AS30" s="29"/>
      <c r="AT30" s="29"/>
    </row>
    <row r="31" spans="1:46">
      <c r="A31" s="206" t="s">
        <v>170</v>
      </c>
      <c r="B31" s="325">
        <v>11490691079.289999</v>
      </c>
      <c r="C31" s="314">
        <v>100</v>
      </c>
      <c r="D31" s="325">
        <v>11441647419.370001</v>
      </c>
      <c r="E31" s="314">
        <v>100</v>
      </c>
      <c r="F31" s="23">
        <f>((D31-B31)/B31)</f>
        <v>-4.2681210017377425E-3</v>
      </c>
      <c r="G31" s="23">
        <f>((E31-C31)/C31)</f>
        <v>0</v>
      </c>
      <c r="H31" s="325">
        <v>11863696748.280001</v>
      </c>
      <c r="I31" s="314">
        <v>100</v>
      </c>
      <c r="J31" s="23">
        <f t="shared" si="20"/>
        <v>3.6887111920220199E-2</v>
      </c>
      <c r="K31" s="23">
        <f t="shared" si="21"/>
        <v>0</v>
      </c>
      <c r="L31" s="325">
        <v>11980549973.41</v>
      </c>
      <c r="M31" s="314">
        <v>100</v>
      </c>
      <c r="N31" s="23">
        <f t="shared" si="22"/>
        <v>9.8496470037419438E-3</v>
      </c>
      <c r="O31" s="23">
        <f t="shared" si="23"/>
        <v>0</v>
      </c>
      <c r="P31" s="325">
        <v>11745578760.279999</v>
      </c>
      <c r="Q31" s="314">
        <v>100</v>
      </c>
      <c r="R31" s="23">
        <f t="shared" si="24"/>
        <v>-1.9612723426846296E-2</v>
      </c>
      <c r="S31" s="23">
        <f t="shared" si="25"/>
        <v>0</v>
      </c>
      <c r="T31" s="325">
        <v>11817360862.35</v>
      </c>
      <c r="U31" s="314">
        <v>100</v>
      </c>
      <c r="V31" s="23">
        <f t="shared" si="26"/>
        <v>6.1114146467389921E-3</v>
      </c>
      <c r="W31" s="23">
        <f t="shared" si="27"/>
        <v>0</v>
      </c>
      <c r="X31" s="325">
        <v>12009793803.210001</v>
      </c>
      <c r="Y31" s="314">
        <v>100</v>
      </c>
      <c r="Z31" s="23">
        <f t="shared" si="28"/>
        <v>1.6283918473970795E-2</v>
      </c>
      <c r="AA31" s="23">
        <f t="shared" si="29"/>
        <v>0</v>
      </c>
      <c r="AB31" s="325">
        <v>12230978720.610001</v>
      </c>
      <c r="AC31" s="314">
        <v>100</v>
      </c>
      <c r="AD31" s="23">
        <f t="shared" si="30"/>
        <v>1.8417045373491831E-2</v>
      </c>
      <c r="AE31" s="23">
        <f t="shared" si="31"/>
        <v>0</v>
      </c>
      <c r="AF31" s="325">
        <v>12425715288.98</v>
      </c>
      <c r="AG31" s="314">
        <v>100</v>
      </c>
      <c r="AH31" s="23">
        <f t="shared" si="32"/>
        <v>1.5921585084753279E-2</v>
      </c>
      <c r="AI31" s="23">
        <f t="shared" si="33"/>
        <v>0</v>
      </c>
      <c r="AJ31" s="24">
        <f t="shared" si="14"/>
        <v>9.9487347592916234E-3</v>
      </c>
      <c r="AK31" s="24">
        <f t="shared" si="15"/>
        <v>0</v>
      </c>
      <c r="AL31" s="25">
        <f t="shared" si="16"/>
        <v>8.6007533141078327E-2</v>
      </c>
      <c r="AM31" s="25">
        <f t="shared" si="17"/>
        <v>0</v>
      </c>
      <c r="AN31" s="26">
        <f t="shared" si="18"/>
        <v>1.6749974773039911E-2</v>
      </c>
      <c r="AO31" s="78">
        <f t="shared" si="19"/>
        <v>0</v>
      </c>
      <c r="AP31" s="30"/>
      <c r="AQ31" s="38"/>
      <c r="AR31" s="35"/>
      <c r="AS31" s="29"/>
      <c r="AT31" s="29"/>
    </row>
    <row r="32" spans="1:46">
      <c r="A32" s="206" t="s">
        <v>90</v>
      </c>
      <c r="B32" s="325">
        <v>5620145931.1400003</v>
      </c>
      <c r="C32" s="314">
        <v>100</v>
      </c>
      <c r="D32" s="325">
        <v>5424353559.4499998</v>
      </c>
      <c r="E32" s="314">
        <v>100</v>
      </c>
      <c r="F32" s="23">
        <f>((D32-B32)/B32)</f>
        <v>-3.4837595693940578E-2</v>
      </c>
      <c r="G32" s="23">
        <f>((E32-C32)/C32)</f>
        <v>0</v>
      </c>
      <c r="H32" s="325">
        <v>5538913822.2399998</v>
      </c>
      <c r="I32" s="314">
        <v>100</v>
      </c>
      <c r="J32" s="23">
        <f t="shared" si="20"/>
        <v>2.1119615735670401E-2</v>
      </c>
      <c r="K32" s="23">
        <f t="shared" si="21"/>
        <v>0</v>
      </c>
      <c r="L32" s="325">
        <v>5759383477.2700005</v>
      </c>
      <c r="M32" s="314">
        <v>100</v>
      </c>
      <c r="N32" s="23">
        <f t="shared" si="22"/>
        <v>3.9803770577683452E-2</v>
      </c>
      <c r="O32" s="23">
        <f t="shared" si="23"/>
        <v>0</v>
      </c>
      <c r="P32" s="325">
        <v>5673758694.9499998</v>
      </c>
      <c r="Q32" s="314">
        <v>100</v>
      </c>
      <c r="R32" s="23">
        <f t="shared" si="24"/>
        <v>-1.4867004890007352E-2</v>
      </c>
      <c r="S32" s="23">
        <f t="shared" si="25"/>
        <v>0</v>
      </c>
      <c r="T32" s="325">
        <v>5658224894.1199999</v>
      </c>
      <c r="U32" s="314">
        <v>100</v>
      </c>
      <c r="V32" s="23">
        <f t="shared" si="26"/>
        <v>-2.7378324784636996E-3</v>
      </c>
      <c r="W32" s="23">
        <f t="shared" si="27"/>
        <v>0</v>
      </c>
      <c r="X32" s="325">
        <v>5611898702.1599998</v>
      </c>
      <c r="Y32" s="314">
        <v>100</v>
      </c>
      <c r="Z32" s="23">
        <f t="shared" si="28"/>
        <v>-8.1874073277189794E-3</v>
      </c>
      <c r="AA32" s="23">
        <f t="shared" si="29"/>
        <v>0</v>
      </c>
      <c r="AB32" s="325">
        <v>5499227227.9899998</v>
      </c>
      <c r="AC32" s="314">
        <v>100</v>
      </c>
      <c r="AD32" s="23">
        <f t="shared" si="30"/>
        <v>-2.0077246605793728E-2</v>
      </c>
      <c r="AE32" s="23">
        <f t="shared" si="31"/>
        <v>0</v>
      </c>
      <c r="AF32" s="325">
        <v>5417917408.1400003</v>
      </c>
      <c r="AG32" s="314">
        <v>100</v>
      </c>
      <c r="AH32" s="23">
        <f t="shared" si="32"/>
        <v>-1.4785681056448844E-2</v>
      </c>
      <c r="AI32" s="23">
        <f t="shared" si="33"/>
        <v>0</v>
      </c>
      <c r="AJ32" s="24">
        <f t="shared" si="14"/>
        <v>-4.321172717377416E-3</v>
      </c>
      <c r="AK32" s="24">
        <f t="shared" si="15"/>
        <v>0</v>
      </c>
      <c r="AL32" s="25">
        <f t="shared" si="16"/>
        <v>-1.1865287244757063E-3</v>
      </c>
      <c r="AM32" s="25">
        <f t="shared" si="17"/>
        <v>0</v>
      </c>
      <c r="AN32" s="26">
        <f t="shared" si="18"/>
        <v>2.3940179975850975E-2</v>
      </c>
      <c r="AO32" s="78">
        <f t="shared" si="19"/>
        <v>0</v>
      </c>
      <c r="AP32" s="30"/>
      <c r="AQ32" s="38"/>
      <c r="AR32" s="35"/>
      <c r="AS32" s="29"/>
      <c r="AT32" s="29"/>
    </row>
    <row r="33" spans="1:47">
      <c r="A33" s="206" t="s">
        <v>183</v>
      </c>
      <c r="B33" s="325">
        <v>45471762.240000002</v>
      </c>
      <c r="C33" s="314">
        <v>100</v>
      </c>
      <c r="D33" s="325">
        <v>44514190.369999997</v>
      </c>
      <c r="E33" s="314">
        <v>100</v>
      </c>
      <c r="F33" s="23">
        <f>((D33-B33)/B33)</f>
        <v>-2.1058604787426966E-2</v>
      </c>
      <c r="G33" s="23">
        <f>((E33-C33)/C33)</f>
        <v>0</v>
      </c>
      <c r="H33" s="325">
        <v>44514190.369999997</v>
      </c>
      <c r="I33" s="314">
        <v>100</v>
      </c>
      <c r="J33" s="23">
        <f t="shared" si="20"/>
        <v>0</v>
      </c>
      <c r="K33" s="23">
        <f t="shared" si="21"/>
        <v>0</v>
      </c>
      <c r="L33" s="325">
        <v>44514190.369999997</v>
      </c>
      <c r="M33" s="314">
        <v>100</v>
      </c>
      <c r="N33" s="23">
        <f t="shared" si="22"/>
        <v>0</v>
      </c>
      <c r="O33" s="23">
        <f t="shared" si="23"/>
        <v>0</v>
      </c>
      <c r="P33" s="325">
        <v>44514190.369999997</v>
      </c>
      <c r="Q33" s="314">
        <v>100</v>
      </c>
      <c r="R33" s="23">
        <f t="shared" si="24"/>
        <v>0</v>
      </c>
      <c r="S33" s="23">
        <f t="shared" si="25"/>
        <v>0</v>
      </c>
      <c r="T33" s="325">
        <v>44514190.369999997</v>
      </c>
      <c r="U33" s="314">
        <v>100</v>
      </c>
      <c r="V33" s="23">
        <f t="shared" si="26"/>
        <v>0</v>
      </c>
      <c r="W33" s="23">
        <f t="shared" si="27"/>
        <v>0</v>
      </c>
      <c r="X33" s="325">
        <v>44514190.369999997</v>
      </c>
      <c r="Y33" s="314">
        <v>100</v>
      </c>
      <c r="Z33" s="23">
        <f t="shared" si="28"/>
        <v>0</v>
      </c>
      <c r="AA33" s="23">
        <f t="shared" si="29"/>
        <v>0</v>
      </c>
      <c r="AB33" s="325">
        <v>44514190.369999997</v>
      </c>
      <c r="AC33" s="314">
        <v>100</v>
      </c>
      <c r="AD33" s="23">
        <f t="shared" si="30"/>
        <v>0</v>
      </c>
      <c r="AE33" s="23">
        <f t="shared" si="31"/>
        <v>0</v>
      </c>
      <c r="AF33" s="325">
        <v>44514190.369999997</v>
      </c>
      <c r="AG33" s="314">
        <v>100</v>
      </c>
      <c r="AH33" s="23">
        <f t="shared" si="32"/>
        <v>0</v>
      </c>
      <c r="AI33" s="23">
        <f t="shared" si="33"/>
        <v>0</v>
      </c>
      <c r="AJ33" s="24">
        <f t="shared" si="14"/>
        <v>-2.6323255984283707E-3</v>
      </c>
      <c r="AK33" s="24">
        <f t="shared" si="15"/>
        <v>0</v>
      </c>
      <c r="AL33" s="25">
        <f t="shared" si="16"/>
        <v>0</v>
      </c>
      <c r="AM33" s="25">
        <f t="shared" si="17"/>
        <v>0</v>
      </c>
      <c r="AN33" s="26">
        <f t="shared" si="18"/>
        <v>7.4453411237585506E-3</v>
      </c>
      <c r="AO33" s="78">
        <f t="shared" si="19"/>
        <v>0</v>
      </c>
      <c r="AP33" s="30"/>
      <c r="AQ33" s="38"/>
      <c r="AR33" s="35"/>
      <c r="AS33" s="29"/>
      <c r="AT33" s="29"/>
    </row>
    <row r="34" spans="1:47">
      <c r="A34" s="206" t="s">
        <v>110</v>
      </c>
      <c r="B34" s="325">
        <v>4670253756.5299997</v>
      </c>
      <c r="C34" s="314">
        <v>1</v>
      </c>
      <c r="D34" s="325">
        <v>4719689364.1099997</v>
      </c>
      <c r="E34" s="314">
        <v>1</v>
      </c>
      <c r="F34" s="23">
        <f>((D34-B34)/B34)</f>
        <v>1.0585208033049279E-2</v>
      </c>
      <c r="G34" s="23">
        <f>((E34-C34)/C34)</f>
        <v>0</v>
      </c>
      <c r="H34" s="325">
        <v>4623949433.0600004</v>
      </c>
      <c r="I34" s="314">
        <v>1</v>
      </c>
      <c r="J34" s="23">
        <f t="shared" si="20"/>
        <v>-2.0285218721815833E-2</v>
      </c>
      <c r="K34" s="23">
        <f t="shared" si="21"/>
        <v>0</v>
      </c>
      <c r="L34" s="325">
        <v>4726651313.3299999</v>
      </c>
      <c r="M34" s="314">
        <v>1</v>
      </c>
      <c r="N34" s="23">
        <f t="shared" si="22"/>
        <v>2.2210857137776759E-2</v>
      </c>
      <c r="O34" s="23">
        <f t="shared" si="23"/>
        <v>0</v>
      </c>
      <c r="P34" s="325">
        <v>4728974521.3100004</v>
      </c>
      <c r="Q34" s="314">
        <v>1</v>
      </c>
      <c r="R34" s="23">
        <f t="shared" si="24"/>
        <v>4.9151245268476537E-4</v>
      </c>
      <c r="S34" s="23">
        <f t="shared" si="25"/>
        <v>0</v>
      </c>
      <c r="T34" s="325">
        <v>5790344995.2299995</v>
      </c>
      <c r="U34" s="314">
        <v>1</v>
      </c>
      <c r="V34" s="23">
        <f t="shared" si="26"/>
        <v>0.22443987996492373</v>
      </c>
      <c r="W34" s="23">
        <f t="shared" si="27"/>
        <v>0</v>
      </c>
      <c r="X34" s="325">
        <v>5806944067.2600002</v>
      </c>
      <c r="Y34" s="314">
        <v>1</v>
      </c>
      <c r="Z34" s="23">
        <f t="shared" si="28"/>
        <v>2.8666810084156912E-3</v>
      </c>
      <c r="AA34" s="23">
        <f t="shared" si="29"/>
        <v>0</v>
      </c>
      <c r="AB34" s="325">
        <v>5849251583.5699997</v>
      </c>
      <c r="AC34" s="314">
        <v>1</v>
      </c>
      <c r="AD34" s="23">
        <f t="shared" si="30"/>
        <v>7.2856765658433865E-3</v>
      </c>
      <c r="AE34" s="23">
        <f t="shared" si="31"/>
        <v>0</v>
      </c>
      <c r="AF34" s="325">
        <v>5846850849.6999998</v>
      </c>
      <c r="AG34" s="314">
        <v>1</v>
      </c>
      <c r="AH34" s="23">
        <f t="shared" si="32"/>
        <v>-4.1043436680742579E-4</v>
      </c>
      <c r="AI34" s="23">
        <f t="shared" si="33"/>
        <v>0</v>
      </c>
      <c r="AJ34" s="24">
        <f t="shared" si="14"/>
        <v>3.0898020259258793E-2</v>
      </c>
      <c r="AK34" s="24">
        <f t="shared" si="15"/>
        <v>0</v>
      </c>
      <c r="AL34" s="25">
        <f t="shared" si="16"/>
        <v>0.238821116949198</v>
      </c>
      <c r="AM34" s="25">
        <f t="shared" si="17"/>
        <v>0</v>
      </c>
      <c r="AN34" s="26">
        <f t="shared" si="18"/>
        <v>7.9115039528807218E-2</v>
      </c>
      <c r="AO34" s="78">
        <f t="shared" si="19"/>
        <v>0</v>
      </c>
      <c r="AP34" s="30"/>
      <c r="AQ34" s="38"/>
      <c r="AR34" s="35"/>
      <c r="AS34" s="29"/>
      <c r="AT34" s="29"/>
    </row>
    <row r="35" spans="1:47">
      <c r="A35" s="206" t="s">
        <v>102</v>
      </c>
      <c r="B35" s="325">
        <v>12198025079.200001</v>
      </c>
      <c r="C35" s="69">
        <v>100</v>
      </c>
      <c r="D35" s="325">
        <v>12310082217</v>
      </c>
      <c r="E35" s="69">
        <v>100</v>
      </c>
      <c r="F35" s="23">
        <f>((D35-B35)/B35)</f>
        <v>9.1864983939964513E-3</v>
      </c>
      <c r="G35" s="23">
        <f>((E35-C35)/C35)</f>
        <v>0</v>
      </c>
      <c r="H35" s="325">
        <v>12179909900.700001</v>
      </c>
      <c r="I35" s="69">
        <v>100</v>
      </c>
      <c r="J35" s="23">
        <f t="shared" si="20"/>
        <v>-1.0574447351800268E-2</v>
      </c>
      <c r="K35" s="23">
        <f t="shared" si="21"/>
        <v>0</v>
      </c>
      <c r="L35" s="325">
        <v>12233470293.200001</v>
      </c>
      <c r="M35" s="69">
        <v>100</v>
      </c>
      <c r="N35" s="23">
        <f t="shared" si="22"/>
        <v>4.3974374963908222E-3</v>
      </c>
      <c r="O35" s="23">
        <f t="shared" si="23"/>
        <v>0</v>
      </c>
      <c r="P35" s="325">
        <v>12266567111.559999</v>
      </c>
      <c r="Q35" s="69">
        <v>100</v>
      </c>
      <c r="R35" s="23">
        <f t="shared" si="24"/>
        <v>2.705431702269767E-3</v>
      </c>
      <c r="S35" s="23">
        <f t="shared" si="25"/>
        <v>0</v>
      </c>
      <c r="T35" s="325">
        <v>12471768934.690001</v>
      </c>
      <c r="U35" s="69">
        <v>100</v>
      </c>
      <c r="V35" s="23">
        <f t="shared" si="26"/>
        <v>1.672854526158497E-2</v>
      </c>
      <c r="W35" s="23">
        <f t="shared" si="27"/>
        <v>0</v>
      </c>
      <c r="X35" s="325">
        <v>12497940144.360001</v>
      </c>
      <c r="Y35" s="69">
        <v>100</v>
      </c>
      <c r="Z35" s="23">
        <f t="shared" si="28"/>
        <v>2.0984360604376921E-3</v>
      </c>
      <c r="AA35" s="23">
        <f t="shared" si="29"/>
        <v>0</v>
      </c>
      <c r="AB35" s="325">
        <v>12859844781.469999</v>
      </c>
      <c r="AC35" s="69">
        <v>100</v>
      </c>
      <c r="AD35" s="23">
        <f t="shared" si="30"/>
        <v>2.895714277150839E-2</v>
      </c>
      <c r="AE35" s="23">
        <f t="shared" si="31"/>
        <v>0</v>
      </c>
      <c r="AF35" s="325">
        <v>12859844781.469999</v>
      </c>
      <c r="AG35" s="69">
        <v>100</v>
      </c>
      <c r="AH35" s="23">
        <f t="shared" si="32"/>
        <v>0</v>
      </c>
      <c r="AI35" s="23">
        <f t="shared" si="33"/>
        <v>0</v>
      </c>
      <c r="AJ35" s="24">
        <f t="shared" si="14"/>
        <v>6.6873805417984782E-3</v>
      </c>
      <c r="AK35" s="24">
        <f t="shared" si="15"/>
        <v>0</v>
      </c>
      <c r="AL35" s="25">
        <f t="shared" si="16"/>
        <v>4.4659536368553833E-2</v>
      </c>
      <c r="AM35" s="25">
        <f t="shared" si="17"/>
        <v>0</v>
      </c>
      <c r="AN35" s="26">
        <f t="shared" si="18"/>
        <v>1.1879531115330683E-2</v>
      </c>
      <c r="AO35" s="78">
        <f t="shared" si="19"/>
        <v>0</v>
      </c>
      <c r="AP35" s="30"/>
      <c r="AQ35" s="38"/>
      <c r="AR35" s="35"/>
      <c r="AS35" s="29"/>
      <c r="AT35" s="29"/>
    </row>
    <row r="36" spans="1:47">
      <c r="A36" s="206" t="s">
        <v>101</v>
      </c>
      <c r="B36" s="325">
        <v>434960340.06999999</v>
      </c>
      <c r="C36" s="69">
        <v>1000000</v>
      </c>
      <c r="D36" s="325">
        <v>436108767.47000003</v>
      </c>
      <c r="E36" s="69">
        <v>1000000</v>
      </c>
      <c r="F36" s="23">
        <f>((D36-B36)/B36)</f>
        <v>2.6403037109434266E-3</v>
      </c>
      <c r="G36" s="23">
        <f>((E36-C36)/C36)</f>
        <v>0</v>
      </c>
      <c r="H36" s="325">
        <v>431349439.44</v>
      </c>
      <c r="I36" s="69">
        <v>1000000</v>
      </c>
      <c r="J36" s="23">
        <f t="shared" si="20"/>
        <v>-1.0913167505460494E-2</v>
      </c>
      <c r="K36" s="23">
        <f t="shared" si="21"/>
        <v>0</v>
      </c>
      <c r="L36" s="325">
        <v>421161670.00999999</v>
      </c>
      <c r="M36" s="69">
        <v>1000000</v>
      </c>
      <c r="N36" s="23">
        <f t="shared" si="22"/>
        <v>-2.3618367148514886E-2</v>
      </c>
      <c r="O36" s="23">
        <f t="shared" si="23"/>
        <v>0</v>
      </c>
      <c r="P36" s="325">
        <v>421970744.52999997</v>
      </c>
      <c r="Q36" s="69">
        <v>1000000</v>
      </c>
      <c r="R36" s="23">
        <f t="shared" si="24"/>
        <v>1.9210544966752801E-3</v>
      </c>
      <c r="S36" s="23">
        <f t="shared" si="25"/>
        <v>0</v>
      </c>
      <c r="T36" s="325">
        <v>422854694.23000002</v>
      </c>
      <c r="U36" s="69">
        <v>1000000</v>
      </c>
      <c r="V36" s="23">
        <f t="shared" si="26"/>
        <v>2.0948127600282094E-3</v>
      </c>
      <c r="W36" s="23">
        <f t="shared" si="27"/>
        <v>0</v>
      </c>
      <c r="X36" s="325">
        <v>423733184.42000002</v>
      </c>
      <c r="Y36" s="69">
        <v>1000000</v>
      </c>
      <c r="Z36" s="23">
        <f t="shared" si="28"/>
        <v>2.0775226147121059E-3</v>
      </c>
      <c r="AA36" s="23">
        <f t="shared" si="29"/>
        <v>0</v>
      </c>
      <c r="AB36" s="325">
        <v>492195524.19999999</v>
      </c>
      <c r="AC36" s="69">
        <v>1000000</v>
      </c>
      <c r="AD36" s="23">
        <f t="shared" si="30"/>
        <v>0.1615694552545141</v>
      </c>
      <c r="AE36" s="23">
        <f t="shared" si="31"/>
        <v>0</v>
      </c>
      <c r="AF36" s="325">
        <v>492195524.19999999</v>
      </c>
      <c r="AG36" s="69">
        <v>1000000</v>
      </c>
      <c r="AH36" s="23">
        <f t="shared" si="32"/>
        <v>0</v>
      </c>
      <c r="AI36" s="23">
        <f t="shared" si="33"/>
        <v>0</v>
      </c>
      <c r="AJ36" s="24">
        <f t="shared" si="14"/>
        <v>1.6971451772862217E-2</v>
      </c>
      <c r="AK36" s="24">
        <f t="shared" si="15"/>
        <v>0</v>
      </c>
      <c r="AL36" s="25">
        <f t="shared" si="16"/>
        <v>0.12860726707095649</v>
      </c>
      <c r="AM36" s="25">
        <f t="shared" si="17"/>
        <v>0</v>
      </c>
      <c r="AN36" s="26">
        <f t="shared" si="18"/>
        <v>5.9156859227403026E-2</v>
      </c>
      <c r="AO36" s="78">
        <f t="shared" si="19"/>
        <v>0</v>
      </c>
      <c r="AP36" s="30"/>
      <c r="AQ36" s="38"/>
      <c r="AR36" s="35"/>
      <c r="AS36" s="29"/>
      <c r="AT36" s="29"/>
    </row>
    <row r="37" spans="1:47">
      <c r="A37" s="206" t="s">
        <v>173</v>
      </c>
      <c r="B37" s="325">
        <v>1315553282.3</v>
      </c>
      <c r="C37" s="314">
        <v>1</v>
      </c>
      <c r="D37" s="325">
        <v>1381363532.47</v>
      </c>
      <c r="E37" s="314">
        <v>1</v>
      </c>
      <c r="F37" s="23">
        <f>((D37-B37)/B37)</f>
        <v>5.0024769848122846E-2</v>
      </c>
      <c r="G37" s="23">
        <f>((E37-C37)/C37)</f>
        <v>0</v>
      </c>
      <c r="H37" s="325">
        <v>1387569275.3900001</v>
      </c>
      <c r="I37" s="314">
        <v>1</v>
      </c>
      <c r="J37" s="23">
        <f t="shared" si="20"/>
        <v>4.4924762918155652E-3</v>
      </c>
      <c r="K37" s="23">
        <f t="shared" si="21"/>
        <v>0</v>
      </c>
      <c r="L37" s="325">
        <v>1406729107.5799999</v>
      </c>
      <c r="M37" s="314">
        <v>1</v>
      </c>
      <c r="N37" s="23">
        <f t="shared" si="22"/>
        <v>1.3808198646236686E-2</v>
      </c>
      <c r="O37" s="23">
        <f t="shared" si="23"/>
        <v>0</v>
      </c>
      <c r="P37" s="325">
        <v>1406705114.5799999</v>
      </c>
      <c r="Q37" s="314">
        <v>1</v>
      </c>
      <c r="R37" s="23">
        <f t="shared" si="24"/>
        <v>-1.7055877973034357E-5</v>
      </c>
      <c r="S37" s="23">
        <f t="shared" si="25"/>
        <v>0</v>
      </c>
      <c r="T37" s="325">
        <v>1685773727.1099999</v>
      </c>
      <c r="U37" s="314">
        <v>1</v>
      </c>
      <c r="V37" s="23">
        <f t="shared" si="26"/>
        <v>0.19838458653313529</v>
      </c>
      <c r="W37" s="23">
        <f t="shared" si="27"/>
        <v>0</v>
      </c>
      <c r="X37" s="325">
        <v>1789189666.3800001</v>
      </c>
      <c r="Y37" s="314">
        <v>1</v>
      </c>
      <c r="Z37" s="23">
        <f t="shared" si="28"/>
        <v>6.1346275367152009E-2</v>
      </c>
      <c r="AA37" s="23">
        <f t="shared" si="29"/>
        <v>0</v>
      </c>
      <c r="AB37" s="325">
        <v>1944347523.0699999</v>
      </c>
      <c r="AC37" s="314">
        <v>1</v>
      </c>
      <c r="AD37" s="23">
        <f t="shared" si="30"/>
        <v>8.671962487013736E-2</v>
      </c>
      <c r="AE37" s="23">
        <f t="shared" si="31"/>
        <v>0</v>
      </c>
      <c r="AF37" s="325">
        <v>2000763576.29</v>
      </c>
      <c r="AG37" s="314">
        <v>1</v>
      </c>
      <c r="AH37" s="23">
        <f t="shared" si="32"/>
        <v>2.9015416508939053E-2</v>
      </c>
      <c r="AI37" s="23">
        <f t="shared" si="33"/>
        <v>0</v>
      </c>
      <c r="AJ37" s="24">
        <f t="shared" si="14"/>
        <v>5.5471786523445726E-2</v>
      </c>
      <c r="AK37" s="24">
        <f t="shared" si="15"/>
        <v>0</v>
      </c>
      <c r="AL37" s="25">
        <f t="shared" si="16"/>
        <v>0.44839756462403341</v>
      </c>
      <c r="AM37" s="25">
        <f t="shared" si="17"/>
        <v>0</v>
      </c>
      <c r="AN37" s="26">
        <f t="shared" si="18"/>
        <v>6.5003704498474826E-2</v>
      </c>
      <c r="AO37" s="78">
        <f t="shared" si="19"/>
        <v>0</v>
      </c>
      <c r="AP37" s="30"/>
      <c r="AQ37" s="38"/>
      <c r="AR37" s="35"/>
      <c r="AS37" s="29"/>
      <c r="AT37" s="29"/>
      <c r="AU37" s="90"/>
    </row>
    <row r="38" spans="1:47">
      <c r="A38" s="206" t="s">
        <v>137</v>
      </c>
      <c r="B38" s="325">
        <v>275732345.54000002</v>
      </c>
      <c r="C38" s="314">
        <v>1</v>
      </c>
      <c r="D38" s="388">
        <v>276937216.77999997</v>
      </c>
      <c r="E38" s="314">
        <v>1</v>
      </c>
      <c r="F38" s="23">
        <f>((D38-B38)/B38)</f>
        <v>4.3697130912962161E-3</v>
      </c>
      <c r="G38" s="23">
        <f>((E38-C38)/C38)</f>
        <v>0</v>
      </c>
      <c r="H38" s="325">
        <v>275337983.68000001</v>
      </c>
      <c r="I38" s="314">
        <v>1</v>
      </c>
      <c r="J38" s="23">
        <f t="shared" si="20"/>
        <v>-5.7747135563596041E-3</v>
      </c>
      <c r="K38" s="23">
        <f t="shared" si="21"/>
        <v>0</v>
      </c>
      <c r="L38" s="325">
        <v>272271411.38999999</v>
      </c>
      <c r="M38" s="314">
        <v>1</v>
      </c>
      <c r="N38" s="23">
        <f t="shared" si="22"/>
        <v>-1.1137483644697624E-2</v>
      </c>
      <c r="O38" s="23">
        <f t="shared" si="23"/>
        <v>0</v>
      </c>
      <c r="P38" s="325">
        <v>272828408.80000001</v>
      </c>
      <c r="Q38" s="314">
        <v>1</v>
      </c>
      <c r="R38" s="23">
        <f t="shared" si="24"/>
        <v>2.045743279312518E-3</v>
      </c>
      <c r="S38" s="23">
        <f t="shared" si="25"/>
        <v>0</v>
      </c>
      <c r="T38" s="325">
        <v>287229960.88</v>
      </c>
      <c r="U38" s="314">
        <v>1</v>
      </c>
      <c r="V38" s="23">
        <f t="shared" si="26"/>
        <v>5.2786116164893981E-2</v>
      </c>
      <c r="W38" s="23">
        <f t="shared" si="27"/>
        <v>0</v>
      </c>
      <c r="X38" s="325">
        <v>312532306.63</v>
      </c>
      <c r="Y38" s="314">
        <v>1</v>
      </c>
      <c r="Z38" s="23">
        <f t="shared" si="28"/>
        <v>8.8090899962107047E-2</v>
      </c>
      <c r="AA38" s="23">
        <f t="shared" si="29"/>
        <v>0</v>
      </c>
      <c r="AB38" s="325">
        <v>267748658.43000001</v>
      </c>
      <c r="AC38" s="314">
        <v>1</v>
      </c>
      <c r="AD38" s="23">
        <f t="shared" si="30"/>
        <v>-0.14329286044984255</v>
      </c>
      <c r="AE38" s="23">
        <f t="shared" si="31"/>
        <v>0</v>
      </c>
      <c r="AF38" s="325">
        <v>268120563.02000001</v>
      </c>
      <c r="AG38" s="314">
        <v>1</v>
      </c>
      <c r="AH38" s="23">
        <f t="shared" si="32"/>
        <v>1.3890063620887721E-3</v>
      </c>
      <c r="AI38" s="23">
        <f t="shared" si="33"/>
        <v>0</v>
      </c>
      <c r="AJ38" s="24">
        <f t="shared" si="14"/>
        <v>-1.440447348900153E-3</v>
      </c>
      <c r="AK38" s="24">
        <f t="shared" si="15"/>
        <v>0</v>
      </c>
      <c r="AL38" s="25">
        <f t="shared" si="16"/>
        <v>-3.1836290775623506E-2</v>
      </c>
      <c r="AM38" s="25">
        <f t="shared" si="17"/>
        <v>0</v>
      </c>
      <c r="AN38" s="26">
        <f t="shared" si="18"/>
        <v>6.6810205720190238E-2</v>
      </c>
      <c r="AO38" s="78">
        <f t="shared" si="19"/>
        <v>0</v>
      </c>
      <c r="AP38" s="30"/>
      <c r="AQ38" s="38"/>
      <c r="AR38" s="35"/>
      <c r="AS38" s="29"/>
      <c r="AT38" s="29"/>
    </row>
    <row r="39" spans="1:47" s="86" customFormat="1">
      <c r="A39" s="206" t="s">
        <v>14</v>
      </c>
      <c r="B39" s="325">
        <v>185242091999.23999</v>
      </c>
      <c r="C39" s="314">
        <v>100</v>
      </c>
      <c r="D39" s="325">
        <v>187678330513.03</v>
      </c>
      <c r="E39" s="314">
        <v>100</v>
      </c>
      <c r="F39" s="23">
        <f>((D39-B39)/B39)</f>
        <v>1.3151646515631037E-2</v>
      </c>
      <c r="G39" s="23">
        <f>((E39-C39)/C39)</f>
        <v>0</v>
      </c>
      <c r="H39" s="325">
        <v>190601254188.38</v>
      </c>
      <c r="I39" s="314">
        <v>100</v>
      </c>
      <c r="J39" s="23">
        <f t="shared" si="20"/>
        <v>1.5574113790121739E-2</v>
      </c>
      <c r="K39" s="23">
        <f t="shared" si="21"/>
        <v>0</v>
      </c>
      <c r="L39" s="325">
        <v>191364530207.37</v>
      </c>
      <c r="M39" s="314">
        <v>100</v>
      </c>
      <c r="N39" s="23">
        <f t="shared" si="22"/>
        <v>4.0045697613070759E-3</v>
      </c>
      <c r="O39" s="23">
        <f t="shared" si="23"/>
        <v>0</v>
      </c>
      <c r="P39" s="325">
        <v>187315477912.81</v>
      </c>
      <c r="Q39" s="314">
        <v>100</v>
      </c>
      <c r="R39" s="23">
        <f t="shared" si="24"/>
        <v>-2.115884427575104E-2</v>
      </c>
      <c r="S39" s="23">
        <f t="shared" si="25"/>
        <v>0</v>
      </c>
      <c r="T39" s="325">
        <v>187253980669.20999</v>
      </c>
      <c r="U39" s="314">
        <v>100</v>
      </c>
      <c r="V39" s="23">
        <f t="shared" si="26"/>
        <v>-3.2830839333325841E-4</v>
      </c>
      <c r="W39" s="23">
        <f t="shared" si="27"/>
        <v>0</v>
      </c>
      <c r="X39" s="325">
        <v>192496167589.39999</v>
      </c>
      <c r="Y39" s="314">
        <v>100</v>
      </c>
      <c r="Z39" s="23">
        <f t="shared" si="28"/>
        <v>2.799506264943168E-2</v>
      </c>
      <c r="AA39" s="23">
        <f t="shared" si="29"/>
        <v>0</v>
      </c>
      <c r="AB39" s="325">
        <v>191162635391.41</v>
      </c>
      <c r="AC39" s="314">
        <v>100</v>
      </c>
      <c r="AD39" s="23">
        <f t="shared" si="30"/>
        <v>-6.9275779081194684E-3</v>
      </c>
      <c r="AE39" s="23">
        <f t="shared" si="31"/>
        <v>0</v>
      </c>
      <c r="AF39" s="325">
        <v>191554928691.54001</v>
      </c>
      <c r="AG39" s="314">
        <v>100</v>
      </c>
      <c r="AH39" s="23">
        <f t="shared" si="32"/>
        <v>2.0521442348122847E-3</v>
      </c>
      <c r="AI39" s="23">
        <f t="shared" si="33"/>
        <v>0</v>
      </c>
      <c r="AJ39" s="24">
        <f t="shared" si="14"/>
        <v>4.2953507967625074E-3</v>
      </c>
      <c r="AK39" s="24">
        <f t="shared" si="15"/>
        <v>0</v>
      </c>
      <c r="AL39" s="25">
        <f t="shared" si="16"/>
        <v>2.0655544877840163E-2</v>
      </c>
      <c r="AM39" s="25">
        <f t="shared" si="17"/>
        <v>0</v>
      </c>
      <c r="AN39" s="26">
        <f t="shared" si="18"/>
        <v>1.4965129656832804E-2</v>
      </c>
      <c r="AO39" s="78">
        <f t="shared" si="19"/>
        <v>0</v>
      </c>
      <c r="AP39" s="30"/>
      <c r="AQ39" s="38"/>
      <c r="AR39" s="35"/>
      <c r="AS39" s="29"/>
      <c r="AT39" s="29"/>
    </row>
    <row r="40" spans="1:47" s="88" customFormat="1">
      <c r="A40" s="206" t="s">
        <v>124</v>
      </c>
      <c r="B40" s="325">
        <v>553782189.70000005</v>
      </c>
      <c r="C40" s="314">
        <v>10</v>
      </c>
      <c r="D40" s="325">
        <v>555217093.20000005</v>
      </c>
      <c r="E40" s="314">
        <v>10</v>
      </c>
      <c r="F40" s="23">
        <f>((D40-B40)/B40)</f>
        <v>2.5910972340539322E-3</v>
      </c>
      <c r="G40" s="23">
        <f>((E40-C40)/C40)</f>
        <v>0</v>
      </c>
      <c r="H40" s="325">
        <v>564368553.01999986</v>
      </c>
      <c r="I40" s="314">
        <v>10</v>
      </c>
      <c r="J40" s="23">
        <f t="shared" si="20"/>
        <v>1.6482669449629641E-2</v>
      </c>
      <c r="K40" s="23">
        <f t="shared" si="21"/>
        <v>0</v>
      </c>
      <c r="L40" s="325">
        <v>566052668.36000001</v>
      </c>
      <c r="M40" s="314">
        <v>10</v>
      </c>
      <c r="N40" s="23">
        <f t="shared" si="22"/>
        <v>2.9840701275580667E-3</v>
      </c>
      <c r="O40" s="23">
        <f t="shared" si="23"/>
        <v>0</v>
      </c>
      <c r="P40" s="325">
        <v>576028225.34000003</v>
      </c>
      <c r="Q40" s="314">
        <v>10</v>
      </c>
      <c r="R40" s="23">
        <f t="shared" si="24"/>
        <v>1.7623019089198486E-2</v>
      </c>
      <c r="S40" s="23">
        <f t="shared" si="25"/>
        <v>0</v>
      </c>
      <c r="T40" s="325">
        <v>576712461.97000003</v>
      </c>
      <c r="U40" s="314">
        <v>10</v>
      </c>
      <c r="V40" s="23">
        <f t="shared" si="26"/>
        <v>1.1878526084309936E-3</v>
      </c>
      <c r="W40" s="23">
        <f t="shared" si="27"/>
        <v>0</v>
      </c>
      <c r="X40" s="325">
        <v>593191366.59000003</v>
      </c>
      <c r="Y40" s="314">
        <v>10</v>
      </c>
      <c r="Z40" s="23">
        <f t="shared" si="28"/>
        <v>2.8573866019314872E-2</v>
      </c>
      <c r="AA40" s="23">
        <f t="shared" si="29"/>
        <v>0</v>
      </c>
      <c r="AB40" s="325">
        <v>592894163.17999995</v>
      </c>
      <c r="AC40" s="314">
        <v>10</v>
      </c>
      <c r="AD40" s="23">
        <f t="shared" si="30"/>
        <v>-5.0102450362448693E-4</v>
      </c>
      <c r="AE40" s="23">
        <f t="shared" si="31"/>
        <v>0</v>
      </c>
      <c r="AF40" s="325">
        <v>593810224.89999998</v>
      </c>
      <c r="AG40" s="314">
        <v>10</v>
      </c>
      <c r="AH40" s="23">
        <f t="shared" si="32"/>
        <v>1.5450678668967035E-3</v>
      </c>
      <c r="AI40" s="23">
        <f t="shared" si="33"/>
        <v>0</v>
      </c>
      <c r="AJ40" s="24">
        <f t="shared" si="14"/>
        <v>8.8108272364322768E-3</v>
      </c>
      <c r="AK40" s="24">
        <f t="shared" si="15"/>
        <v>0</v>
      </c>
      <c r="AL40" s="25">
        <f t="shared" si="16"/>
        <v>6.9509984783732021E-2</v>
      </c>
      <c r="AM40" s="25">
        <f t="shared" si="17"/>
        <v>0</v>
      </c>
      <c r="AN40" s="26">
        <f t="shared" si="18"/>
        <v>1.067264402948105E-2</v>
      </c>
      <c r="AO40" s="78">
        <f t="shared" si="19"/>
        <v>0</v>
      </c>
      <c r="AP40" s="30"/>
      <c r="AQ40" s="38"/>
      <c r="AR40" s="35"/>
      <c r="AS40" s="29"/>
      <c r="AT40" s="29"/>
    </row>
    <row r="41" spans="1:47" s="88" customFormat="1">
      <c r="A41" s="206" t="s">
        <v>87</v>
      </c>
      <c r="B41" s="325">
        <v>1981432324.1183076</v>
      </c>
      <c r="C41" s="314">
        <v>100</v>
      </c>
      <c r="D41" s="325">
        <v>1985237577.5648279</v>
      </c>
      <c r="E41" s="314">
        <v>100</v>
      </c>
      <c r="F41" s="23">
        <f>((D41-B41)/B41)</f>
        <v>1.9204559248389066E-3</v>
      </c>
      <c r="G41" s="23">
        <f>((E41-C41)/C41)</f>
        <v>0</v>
      </c>
      <c r="H41" s="325">
        <v>1989076260.7164867</v>
      </c>
      <c r="I41" s="314">
        <v>100</v>
      </c>
      <c r="J41" s="23">
        <f t="shared" si="20"/>
        <v>1.9336139890961848E-3</v>
      </c>
      <c r="K41" s="23">
        <f t="shared" si="21"/>
        <v>0</v>
      </c>
      <c r="L41" s="325">
        <v>1993015380.4723482</v>
      </c>
      <c r="M41" s="314">
        <v>100</v>
      </c>
      <c r="N41" s="23">
        <f t="shared" si="22"/>
        <v>1.9803764358650622E-3</v>
      </c>
      <c r="O41" s="23">
        <f t="shared" si="23"/>
        <v>0</v>
      </c>
      <c r="P41" s="325">
        <v>1944259518.2226605</v>
      </c>
      <c r="Q41" s="314">
        <v>100</v>
      </c>
      <c r="R41" s="23">
        <f t="shared" si="24"/>
        <v>-2.4463364772494854E-2</v>
      </c>
      <c r="S41" s="23">
        <f t="shared" si="25"/>
        <v>0</v>
      </c>
      <c r="T41" s="325">
        <v>2001244623.9100001</v>
      </c>
      <c r="U41" s="314">
        <v>100</v>
      </c>
      <c r="V41" s="23">
        <f t="shared" si="26"/>
        <v>2.930941325128876E-2</v>
      </c>
      <c r="W41" s="23">
        <f t="shared" si="27"/>
        <v>0</v>
      </c>
      <c r="X41" s="325">
        <v>2005360529.7502565</v>
      </c>
      <c r="Y41" s="314">
        <v>100</v>
      </c>
      <c r="Z41" s="23">
        <f t="shared" si="28"/>
        <v>2.0566730279154284E-3</v>
      </c>
      <c r="AA41" s="23">
        <f t="shared" si="29"/>
        <v>0</v>
      </c>
      <c r="AB41" s="325">
        <v>2235671285.2163291</v>
      </c>
      <c r="AC41" s="314">
        <v>100</v>
      </c>
      <c r="AD41" s="23">
        <f t="shared" si="30"/>
        <v>0.11484755586306218</v>
      </c>
      <c r="AE41" s="23">
        <f t="shared" si="31"/>
        <v>0</v>
      </c>
      <c r="AF41" s="325">
        <v>2280515769.5008807</v>
      </c>
      <c r="AG41" s="314">
        <v>100</v>
      </c>
      <c r="AH41" s="23">
        <f t="shared" si="32"/>
        <v>2.0058621578714044E-2</v>
      </c>
      <c r="AI41" s="23">
        <f t="shared" si="33"/>
        <v>0</v>
      </c>
      <c r="AJ41" s="24">
        <f t="shared" si="14"/>
        <v>1.8455418162285714E-2</v>
      </c>
      <c r="AK41" s="24">
        <f t="shared" si="15"/>
        <v>0</v>
      </c>
      <c r="AL41" s="25">
        <f t="shared" si="16"/>
        <v>0.14873695484761723</v>
      </c>
      <c r="AM41" s="25">
        <f t="shared" si="17"/>
        <v>0</v>
      </c>
      <c r="AN41" s="26">
        <f t="shared" si="18"/>
        <v>4.1987355989486649E-2</v>
      </c>
      <c r="AO41" s="78">
        <f t="shared" si="19"/>
        <v>0</v>
      </c>
      <c r="AP41" s="30"/>
      <c r="AQ41" s="38"/>
      <c r="AR41" s="35"/>
      <c r="AS41" s="29"/>
      <c r="AT41" s="29"/>
    </row>
    <row r="42" spans="1:47" s="88" customFormat="1">
      <c r="A42" s="206" t="s">
        <v>123</v>
      </c>
      <c r="B42" s="325">
        <v>3476810877.98</v>
      </c>
      <c r="C42" s="314">
        <v>1</v>
      </c>
      <c r="D42" s="325">
        <v>3486958519.25</v>
      </c>
      <c r="E42" s="314">
        <v>1</v>
      </c>
      <c r="F42" s="23">
        <f>((D42-B42)/B42)</f>
        <v>2.9186635759422385E-3</v>
      </c>
      <c r="G42" s="23">
        <f>((E42-C42)/C42)</f>
        <v>0</v>
      </c>
      <c r="H42" s="325">
        <v>3518153364.8099999</v>
      </c>
      <c r="I42" s="314">
        <v>1</v>
      </c>
      <c r="J42" s="23">
        <f t="shared" si="20"/>
        <v>8.9461475918874867E-3</v>
      </c>
      <c r="K42" s="23">
        <f t="shared" si="21"/>
        <v>0</v>
      </c>
      <c r="L42" s="325">
        <v>3385593879.98</v>
      </c>
      <c r="M42" s="314">
        <v>1</v>
      </c>
      <c r="N42" s="23">
        <f t="shared" si="22"/>
        <v>-3.7678711268222066E-2</v>
      </c>
      <c r="O42" s="23">
        <f t="shared" si="23"/>
        <v>0</v>
      </c>
      <c r="P42" s="325">
        <v>3400869061.6399999</v>
      </c>
      <c r="Q42" s="314">
        <v>1</v>
      </c>
      <c r="R42" s="23">
        <f t="shared" si="24"/>
        <v>4.511817483581369E-3</v>
      </c>
      <c r="S42" s="23">
        <f t="shared" si="25"/>
        <v>0</v>
      </c>
      <c r="T42" s="325">
        <v>3416346956.9899998</v>
      </c>
      <c r="U42" s="314">
        <v>1</v>
      </c>
      <c r="V42" s="23">
        <f t="shared" si="26"/>
        <v>4.551158856594145E-3</v>
      </c>
      <c r="W42" s="23">
        <f t="shared" si="27"/>
        <v>0</v>
      </c>
      <c r="X42" s="325">
        <v>3429760394.7600002</v>
      </c>
      <c r="Y42" s="314">
        <v>1</v>
      </c>
      <c r="Z42" s="23">
        <f t="shared" si="28"/>
        <v>3.9262516187227297E-3</v>
      </c>
      <c r="AA42" s="23">
        <f t="shared" si="29"/>
        <v>0</v>
      </c>
      <c r="AB42" s="325">
        <v>3336785148.4099998</v>
      </c>
      <c r="AC42" s="314">
        <v>1</v>
      </c>
      <c r="AD42" s="23">
        <f t="shared" si="30"/>
        <v>-2.710837949264569E-2</v>
      </c>
      <c r="AE42" s="23">
        <f t="shared" si="31"/>
        <v>0</v>
      </c>
      <c r="AF42" s="325">
        <v>3376669786.8499999</v>
      </c>
      <c r="AG42" s="314">
        <v>1</v>
      </c>
      <c r="AH42" s="23">
        <f t="shared" si="32"/>
        <v>1.1953013654177091E-2</v>
      </c>
      <c r="AI42" s="23">
        <f t="shared" si="33"/>
        <v>0</v>
      </c>
      <c r="AJ42" s="24">
        <f t="shared" si="14"/>
        <v>-3.4975047474953367E-3</v>
      </c>
      <c r="AK42" s="24">
        <f t="shared" si="15"/>
        <v>0</v>
      </c>
      <c r="AL42" s="25">
        <f t="shared" si="16"/>
        <v>-3.1628920100753528E-2</v>
      </c>
      <c r="AM42" s="25">
        <f t="shared" si="17"/>
        <v>0</v>
      </c>
      <c r="AN42" s="26">
        <f t="shared" si="18"/>
        <v>1.8301447604025588E-2</v>
      </c>
      <c r="AO42" s="78">
        <f t="shared" si="19"/>
        <v>0</v>
      </c>
      <c r="AP42" s="30"/>
      <c r="AQ42" s="38"/>
      <c r="AR42" s="35"/>
      <c r="AS42" s="29"/>
      <c r="AT42" s="29"/>
    </row>
    <row r="43" spans="1:47" s="88" customFormat="1">
      <c r="A43" s="206" t="s">
        <v>56</v>
      </c>
      <c r="B43" s="320">
        <v>2255059076.5799999</v>
      </c>
      <c r="C43" s="314">
        <v>10</v>
      </c>
      <c r="D43" s="320">
        <v>2316329440.1500001</v>
      </c>
      <c r="E43" s="314">
        <v>10</v>
      </c>
      <c r="F43" s="23">
        <f>((D43-B43)/B43)</f>
        <v>2.717018113020888E-2</v>
      </c>
      <c r="G43" s="23">
        <f>((E43-C43)/C43)</f>
        <v>0</v>
      </c>
      <c r="H43" s="320">
        <v>2413724439.21</v>
      </c>
      <c r="I43" s="314">
        <v>10</v>
      </c>
      <c r="J43" s="23">
        <f t="shared" si="20"/>
        <v>4.2047127395528364E-2</v>
      </c>
      <c r="K43" s="23">
        <f t="shared" si="21"/>
        <v>0</v>
      </c>
      <c r="L43" s="320">
        <v>2402197227.46</v>
      </c>
      <c r="M43" s="314">
        <v>10</v>
      </c>
      <c r="N43" s="23">
        <f t="shared" si="22"/>
        <v>-4.7756950059190681E-3</v>
      </c>
      <c r="O43" s="23">
        <f t="shared" si="23"/>
        <v>0</v>
      </c>
      <c r="P43" s="320">
        <v>2539946506.8800001</v>
      </c>
      <c r="Q43" s="314">
        <v>10</v>
      </c>
      <c r="R43" s="23">
        <f t="shared" si="24"/>
        <v>5.7343034887127643E-2</v>
      </c>
      <c r="S43" s="23">
        <f t="shared" si="25"/>
        <v>0</v>
      </c>
      <c r="T43" s="320">
        <v>2561825347.02</v>
      </c>
      <c r="U43" s="314">
        <v>10</v>
      </c>
      <c r="V43" s="23">
        <f t="shared" si="26"/>
        <v>8.6138980016847791E-3</v>
      </c>
      <c r="W43" s="23">
        <f t="shared" si="27"/>
        <v>0</v>
      </c>
      <c r="X43" s="320">
        <v>2679078960.8699999</v>
      </c>
      <c r="Y43" s="314">
        <v>10</v>
      </c>
      <c r="Z43" s="23">
        <f t="shared" si="28"/>
        <v>4.5769558017057323E-2</v>
      </c>
      <c r="AA43" s="23">
        <f t="shared" si="29"/>
        <v>0</v>
      </c>
      <c r="AB43" s="320">
        <v>2677023149.29</v>
      </c>
      <c r="AC43" s="314">
        <v>10</v>
      </c>
      <c r="AD43" s="23">
        <f t="shared" si="30"/>
        <v>-7.6735759192865397E-4</v>
      </c>
      <c r="AE43" s="23">
        <f t="shared" si="31"/>
        <v>0</v>
      </c>
      <c r="AF43" s="320">
        <v>2690676689.1799998</v>
      </c>
      <c r="AG43" s="314">
        <v>10</v>
      </c>
      <c r="AH43" s="23">
        <f t="shared" si="32"/>
        <v>5.100269638542744E-3</v>
      </c>
      <c r="AI43" s="23">
        <f t="shared" si="33"/>
        <v>0</v>
      </c>
      <c r="AJ43" s="24">
        <f t="shared" si="14"/>
        <v>2.2562627059037749E-2</v>
      </c>
      <c r="AK43" s="24">
        <f t="shared" si="15"/>
        <v>0</v>
      </c>
      <c r="AL43" s="25">
        <f t="shared" si="16"/>
        <v>0.16161226574306195</v>
      </c>
      <c r="AM43" s="25">
        <f t="shared" si="17"/>
        <v>0</v>
      </c>
      <c r="AN43" s="26">
        <f t="shared" si="18"/>
        <v>2.3725473733636135E-2</v>
      </c>
      <c r="AO43" s="78">
        <f t="shared" si="19"/>
        <v>0</v>
      </c>
      <c r="AP43" s="30"/>
      <c r="AQ43" s="38"/>
      <c r="AR43" s="35"/>
      <c r="AS43" s="29"/>
      <c r="AT43" s="29"/>
    </row>
    <row r="44" spans="1:47" s="88" customFormat="1">
      <c r="A44" s="206" t="s">
        <v>192</v>
      </c>
      <c r="B44" s="325">
        <v>3358168679.6300001</v>
      </c>
      <c r="C44" s="314">
        <v>100</v>
      </c>
      <c r="D44" s="325">
        <v>3316688999.2100005</v>
      </c>
      <c r="E44" s="314">
        <v>100</v>
      </c>
      <c r="F44" s="23">
        <f>((D44-B44)/B44)</f>
        <v>-1.2351875196623474E-2</v>
      </c>
      <c r="G44" s="23">
        <f>((E44-C44)/C44)</f>
        <v>0</v>
      </c>
      <c r="H44" s="325">
        <v>3374386717.5100002</v>
      </c>
      <c r="I44" s="314">
        <v>100</v>
      </c>
      <c r="J44" s="23">
        <f t="shared" si="20"/>
        <v>1.7396179838912448E-2</v>
      </c>
      <c r="K44" s="23">
        <f t="shared" si="21"/>
        <v>0</v>
      </c>
      <c r="L44" s="325">
        <v>3423385900.6399999</v>
      </c>
      <c r="M44" s="314">
        <v>100</v>
      </c>
      <c r="N44" s="23">
        <f t="shared" si="22"/>
        <v>1.4520915126810573E-2</v>
      </c>
      <c r="O44" s="23">
        <f t="shared" si="23"/>
        <v>0</v>
      </c>
      <c r="P44" s="325">
        <v>3396479970.9400001</v>
      </c>
      <c r="Q44" s="314">
        <v>100</v>
      </c>
      <c r="R44" s="23">
        <f t="shared" si="24"/>
        <v>-7.8594498198318111E-3</v>
      </c>
      <c r="S44" s="23">
        <f t="shared" si="25"/>
        <v>0</v>
      </c>
      <c r="T44" s="325">
        <v>3429573284.3099999</v>
      </c>
      <c r="U44" s="314">
        <v>100</v>
      </c>
      <c r="V44" s="23">
        <f t="shared" si="26"/>
        <v>9.7434148451171574E-3</v>
      </c>
      <c r="W44" s="23">
        <f t="shared" si="27"/>
        <v>0</v>
      </c>
      <c r="X44" s="325">
        <v>3495845153.1100001</v>
      </c>
      <c r="Y44" s="314">
        <v>100</v>
      </c>
      <c r="Z44" s="23">
        <f t="shared" si="28"/>
        <v>1.9323648543446568E-2</v>
      </c>
      <c r="AA44" s="23">
        <f t="shared" si="29"/>
        <v>0</v>
      </c>
      <c r="AB44" s="325">
        <v>3615054648.0999999</v>
      </c>
      <c r="AC44" s="314">
        <v>100</v>
      </c>
      <c r="AD44" s="23">
        <f t="shared" si="30"/>
        <v>3.4100336190219328E-2</v>
      </c>
      <c r="AE44" s="23">
        <f t="shared" si="31"/>
        <v>0</v>
      </c>
      <c r="AF44" s="325">
        <v>3621727581.6700001</v>
      </c>
      <c r="AG44" s="314">
        <v>100</v>
      </c>
      <c r="AH44" s="23">
        <f t="shared" si="32"/>
        <v>1.8458734983459605E-3</v>
      </c>
      <c r="AI44" s="23">
        <f t="shared" si="33"/>
        <v>0</v>
      </c>
      <c r="AJ44" s="24">
        <f t="shared" si="14"/>
        <v>9.5898803782995933E-3</v>
      </c>
      <c r="AK44" s="24">
        <f t="shared" si="15"/>
        <v>0</v>
      </c>
      <c r="AL44" s="25">
        <f t="shared" si="16"/>
        <v>9.1970812618444614E-2</v>
      </c>
      <c r="AM44" s="25">
        <f t="shared" si="17"/>
        <v>0</v>
      </c>
      <c r="AN44" s="26">
        <f t="shared" si="18"/>
        <v>1.5244085875339349E-2</v>
      </c>
      <c r="AO44" s="78">
        <f t="shared" si="19"/>
        <v>0</v>
      </c>
      <c r="AP44" s="30"/>
      <c r="AQ44" s="38"/>
      <c r="AR44" s="35"/>
      <c r="AS44" s="29"/>
      <c r="AT44" s="29"/>
    </row>
    <row r="45" spans="1:47" s="88" customFormat="1">
      <c r="A45" s="206" t="s">
        <v>165</v>
      </c>
      <c r="B45" s="325">
        <v>137584800.62</v>
      </c>
      <c r="C45" s="314">
        <v>1</v>
      </c>
      <c r="D45" s="387">
        <v>138279795.08000001</v>
      </c>
      <c r="E45" s="314">
        <v>1</v>
      </c>
      <c r="F45" s="23">
        <f>((D45-B45)/B45)</f>
        <v>5.0513898109976292E-3</v>
      </c>
      <c r="G45" s="23">
        <f>((E45-C45)/C45)</f>
        <v>0</v>
      </c>
      <c r="H45" s="325">
        <v>138309794.72</v>
      </c>
      <c r="I45" s="314">
        <v>1</v>
      </c>
      <c r="J45" s="23">
        <f t="shared" si="20"/>
        <v>2.1694883176988933E-4</v>
      </c>
      <c r="K45" s="23">
        <f t="shared" si="21"/>
        <v>0</v>
      </c>
      <c r="L45" s="325">
        <v>138309794.56999999</v>
      </c>
      <c r="M45" s="314">
        <v>1</v>
      </c>
      <c r="N45" s="23">
        <f t="shared" si="22"/>
        <v>-1.0845219332740001E-9</v>
      </c>
      <c r="O45" s="23">
        <f t="shared" si="23"/>
        <v>0</v>
      </c>
      <c r="P45" s="325">
        <v>138164735.56</v>
      </c>
      <c r="Q45" s="314">
        <v>1</v>
      </c>
      <c r="R45" s="23">
        <f t="shared" si="24"/>
        <v>-1.0487978125553112E-3</v>
      </c>
      <c r="S45" s="23">
        <f t="shared" si="25"/>
        <v>0</v>
      </c>
      <c r="T45" s="325">
        <v>138164735.56</v>
      </c>
      <c r="U45" s="314">
        <v>1</v>
      </c>
      <c r="V45" s="23">
        <f t="shared" si="26"/>
        <v>0</v>
      </c>
      <c r="W45" s="23">
        <f t="shared" si="27"/>
        <v>0</v>
      </c>
      <c r="X45" s="325">
        <v>140973409.09999999</v>
      </c>
      <c r="Y45" s="314">
        <v>1</v>
      </c>
      <c r="Z45" s="23">
        <f t="shared" si="28"/>
        <v>2.0328440022094389E-2</v>
      </c>
      <c r="AA45" s="23">
        <f t="shared" si="29"/>
        <v>0</v>
      </c>
      <c r="AB45" s="325">
        <v>140315263.97</v>
      </c>
      <c r="AC45" s="314">
        <v>1</v>
      </c>
      <c r="AD45" s="23">
        <f t="shared" si="30"/>
        <v>-4.6685763946670089E-3</v>
      </c>
      <c r="AE45" s="23">
        <f t="shared" si="31"/>
        <v>0</v>
      </c>
      <c r="AF45" s="325">
        <v>140315263.97</v>
      </c>
      <c r="AG45" s="314">
        <v>1</v>
      </c>
      <c r="AH45" s="23">
        <f t="shared" si="32"/>
        <v>0</v>
      </c>
      <c r="AI45" s="23">
        <f t="shared" si="33"/>
        <v>0</v>
      </c>
      <c r="AJ45" s="24">
        <f t="shared" si="14"/>
        <v>2.4849254216397069E-3</v>
      </c>
      <c r="AK45" s="24">
        <f t="shared" si="15"/>
        <v>0</v>
      </c>
      <c r="AL45" s="25">
        <f t="shared" si="16"/>
        <v>1.4719929898814148E-2</v>
      </c>
      <c r="AM45" s="25">
        <f t="shared" si="17"/>
        <v>0</v>
      </c>
      <c r="AN45" s="26">
        <f t="shared" si="18"/>
        <v>7.6746877753683584E-3</v>
      </c>
      <c r="AO45" s="78">
        <f t="shared" si="19"/>
        <v>0</v>
      </c>
      <c r="AP45" s="30"/>
      <c r="AQ45" s="38"/>
      <c r="AR45" s="35"/>
      <c r="AS45" s="29"/>
      <c r="AT45" s="29"/>
    </row>
    <row r="46" spans="1:47" s="88" customFormat="1">
      <c r="A46" s="206" t="s">
        <v>96</v>
      </c>
      <c r="B46" s="320">
        <v>695266452.15999997</v>
      </c>
      <c r="C46" s="314">
        <v>10</v>
      </c>
      <c r="D46" s="320">
        <v>699801665.99000001</v>
      </c>
      <c r="E46" s="314">
        <v>10</v>
      </c>
      <c r="F46" s="23">
        <f>((D46-B46)/B46)</f>
        <v>6.5229867138136633E-3</v>
      </c>
      <c r="G46" s="23">
        <f>((E46-C46)/C46)</f>
        <v>0</v>
      </c>
      <c r="H46" s="320">
        <v>690526572.61000001</v>
      </c>
      <c r="I46" s="314">
        <v>10</v>
      </c>
      <c r="J46" s="23">
        <f t="shared" si="20"/>
        <v>-1.3253888681271779E-2</v>
      </c>
      <c r="K46" s="23">
        <f t="shared" si="21"/>
        <v>0</v>
      </c>
      <c r="L46" s="320">
        <v>664723800.10000002</v>
      </c>
      <c r="M46" s="314">
        <v>10</v>
      </c>
      <c r="N46" s="23">
        <f t="shared" si="22"/>
        <v>-3.7366806048422768E-2</v>
      </c>
      <c r="O46" s="23">
        <f t="shared" si="23"/>
        <v>0</v>
      </c>
      <c r="P46" s="320">
        <v>659667189.61000001</v>
      </c>
      <c r="Q46" s="314">
        <v>10</v>
      </c>
      <c r="R46" s="23">
        <f t="shared" si="24"/>
        <v>-7.6070850618547145E-3</v>
      </c>
      <c r="S46" s="23">
        <f t="shared" si="25"/>
        <v>0</v>
      </c>
      <c r="T46" s="320">
        <v>647523127.77999997</v>
      </c>
      <c r="U46" s="314">
        <v>10</v>
      </c>
      <c r="V46" s="23">
        <f t="shared" si="26"/>
        <v>-1.8409376760392917E-2</v>
      </c>
      <c r="W46" s="23">
        <f t="shared" si="27"/>
        <v>0</v>
      </c>
      <c r="X46" s="320">
        <v>649816957.09000003</v>
      </c>
      <c r="Y46" s="314">
        <v>10</v>
      </c>
      <c r="Z46" s="23">
        <f t="shared" si="28"/>
        <v>3.5424669970698019E-3</v>
      </c>
      <c r="AA46" s="23">
        <f t="shared" si="29"/>
        <v>0</v>
      </c>
      <c r="AB46" s="320">
        <v>658939973.36000001</v>
      </c>
      <c r="AC46" s="314">
        <v>10</v>
      </c>
      <c r="AD46" s="23">
        <f t="shared" si="30"/>
        <v>1.4039363193682305E-2</v>
      </c>
      <c r="AE46" s="23">
        <f t="shared" si="31"/>
        <v>0</v>
      </c>
      <c r="AF46" s="320">
        <v>650289130.97000003</v>
      </c>
      <c r="AG46" s="314">
        <v>10</v>
      </c>
      <c r="AH46" s="23">
        <f t="shared" si="32"/>
        <v>-1.3128422526696151E-2</v>
      </c>
      <c r="AI46" s="23">
        <f t="shared" si="33"/>
        <v>0</v>
      </c>
      <c r="AJ46" s="24">
        <f t="shared" si="14"/>
        <v>-8.2075952717590699E-3</v>
      </c>
      <c r="AK46" s="24">
        <f t="shared" si="15"/>
        <v>0</v>
      </c>
      <c r="AL46" s="25">
        <f t="shared" si="16"/>
        <v>-7.0752239421944307E-2</v>
      </c>
      <c r="AM46" s="25">
        <f t="shared" si="17"/>
        <v>0</v>
      </c>
      <c r="AN46" s="26">
        <f t="shared" si="18"/>
        <v>1.6276000382411719E-2</v>
      </c>
      <c r="AO46" s="78">
        <f t="shared" si="19"/>
        <v>0</v>
      </c>
      <c r="AP46" s="30"/>
      <c r="AQ46" s="38"/>
      <c r="AR46" s="35"/>
      <c r="AS46" s="29"/>
      <c r="AT46" s="29"/>
    </row>
    <row r="47" spans="1:47" s="95" customFormat="1">
      <c r="A47" s="206" t="s">
        <v>34</v>
      </c>
      <c r="B47" s="325">
        <v>368590836283.82001</v>
      </c>
      <c r="C47" s="314">
        <v>100</v>
      </c>
      <c r="D47" s="325">
        <v>365292848751.16998</v>
      </c>
      <c r="E47" s="314">
        <v>100</v>
      </c>
      <c r="F47" s="23">
        <f>((D47-B47)/B47)</f>
        <v>-8.9475570415715067E-3</v>
      </c>
      <c r="G47" s="23">
        <f>((E47-C47)/C47)</f>
        <v>0</v>
      </c>
      <c r="H47" s="325">
        <v>363019503293.75</v>
      </c>
      <c r="I47" s="314">
        <v>100</v>
      </c>
      <c r="J47" s="23">
        <f t="shared" si="20"/>
        <v>-6.2233505670639044E-3</v>
      </c>
      <c r="K47" s="23">
        <f t="shared" si="21"/>
        <v>0</v>
      </c>
      <c r="L47" s="325">
        <v>361737432365.97998</v>
      </c>
      <c r="M47" s="314">
        <v>100</v>
      </c>
      <c r="N47" s="23">
        <f t="shared" si="22"/>
        <v>-3.5316860833578597E-3</v>
      </c>
      <c r="O47" s="23">
        <f t="shared" si="23"/>
        <v>0</v>
      </c>
      <c r="P47" s="325">
        <v>359236846418.01001</v>
      </c>
      <c r="Q47" s="314">
        <v>100</v>
      </c>
      <c r="R47" s="23">
        <f t="shared" si="24"/>
        <v>-6.9127099499065869E-3</v>
      </c>
      <c r="S47" s="23">
        <f t="shared" si="25"/>
        <v>0</v>
      </c>
      <c r="T47" s="325">
        <v>343681468858.88</v>
      </c>
      <c r="U47" s="314">
        <v>100</v>
      </c>
      <c r="V47" s="23">
        <f t="shared" si="26"/>
        <v>-4.3301175016522891E-2</v>
      </c>
      <c r="W47" s="23">
        <f t="shared" si="27"/>
        <v>0</v>
      </c>
      <c r="X47" s="325">
        <v>346941578575.98999</v>
      </c>
      <c r="Y47" s="314">
        <v>100</v>
      </c>
      <c r="Z47" s="23">
        <f t="shared" si="28"/>
        <v>9.4858466705652605E-3</v>
      </c>
      <c r="AA47" s="23">
        <f t="shared" si="29"/>
        <v>0</v>
      </c>
      <c r="AB47" s="325">
        <v>350499771127.26001</v>
      </c>
      <c r="AC47" s="314">
        <v>100</v>
      </c>
      <c r="AD47" s="23">
        <f t="shared" si="30"/>
        <v>1.0255883903781441E-2</v>
      </c>
      <c r="AE47" s="23">
        <f t="shared" si="31"/>
        <v>0</v>
      </c>
      <c r="AF47" s="325">
        <v>340341399775.10999</v>
      </c>
      <c r="AG47" s="314">
        <v>100</v>
      </c>
      <c r="AH47" s="23">
        <f t="shared" si="32"/>
        <v>-2.8982533482059557E-2</v>
      </c>
      <c r="AI47" s="23">
        <f t="shared" si="33"/>
        <v>0</v>
      </c>
      <c r="AJ47" s="24">
        <f t="shared" si="14"/>
        <v>-9.7696601957669507E-3</v>
      </c>
      <c r="AK47" s="24">
        <f t="shared" si="15"/>
        <v>0</v>
      </c>
      <c r="AL47" s="25">
        <f t="shared" si="16"/>
        <v>-6.8305331082614246E-2</v>
      </c>
      <c r="AM47" s="25">
        <f t="shared" si="17"/>
        <v>0</v>
      </c>
      <c r="AN47" s="26">
        <f t="shared" si="18"/>
        <v>1.8227219044076492E-2</v>
      </c>
      <c r="AO47" s="78">
        <f t="shared" si="19"/>
        <v>0</v>
      </c>
      <c r="AP47" s="30"/>
      <c r="AQ47" s="38"/>
      <c r="AR47" s="35"/>
      <c r="AS47" s="29"/>
      <c r="AT47" s="29"/>
    </row>
    <row r="48" spans="1:47" s="95" customFormat="1">
      <c r="A48" s="206" t="s">
        <v>154</v>
      </c>
      <c r="B48" s="325">
        <v>969381616.28999996</v>
      </c>
      <c r="C48" s="314">
        <v>1</v>
      </c>
      <c r="D48" s="325">
        <v>1011683385.29</v>
      </c>
      <c r="E48" s="314">
        <v>1</v>
      </c>
      <c r="F48" s="23">
        <f>((D48-B48)/B48)</f>
        <v>4.3637890681171132E-2</v>
      </c>
      <c r="G48" s="23">
        <f>((E48-C48)/C48)</f>
        <v>0</v>
      </c>
      <c r="H48" s="325">
        <v>1117767309.04</v>
      </c>
      <c r="I48" s="314">
        <v>1</v>
      </c>
      <c r="J48" s="23">
        <f t="shared" si="20"/>
        <v>0.10485881778081287</v>
      </c>
      <c r="K48" s="23">
        <f t="shared" si="21"/>
        <v>0</v>
      </c>
      <c r="L48" s="325">
        <v>1171643511.78</v>
      </c>
      <c r="M48" s="314">
        <v>1</v>
      </c>
      <c r="N48" s="23">
        <f t="shared" si="22"/>
        <v>4.8199837572877179E-2</v>
      </c>
      <c r="O48" s="23">
        <f t="shared" si="23"/>
        <v>0</v>
      </c>
      <c r="P48" s="325">
        <v>1172970986.5999999</v>
      </c>
      <c r="Q48" s="314">
        <v>1</v>
      </c>
      <c r="R48" s="23">
        <f t="shared" si="24"/>
        <v>1.1330023225095056E-3</v>
      </c>
      <c r="S48" s="23">
        <f t="shared" si="25"/>
        <v>0</v>
      </c>
      <c r="T48" s="325">
        <v>1278171502.02</v>
      </c>
      <c r="U48" s="314">
        <v>1</v>
      </c>
      <c r="V48" s="23">
        <f t="shared" si="26"/>
        <v>8.9687227239044209E-2</v>
      </c>
      <c r="W48" s="23">
        <f t="shared" si="27"/>
        <v>0</v>
      </c>
      <c r="X48" s="325">
        <v>1419447567.9300001</v>
      </c>
      <c r="Y48" s="314">
        <v>1</v>
      </c>
      <c r="Z48" s="23">
        <f t="shared" si="28"/>
        <v>0.11052981989250257</v>
      </c>
      <c r="AA48" s="23">
        <f t="shared" si="29"/>
        <v>0</v>
      </c>
      <c r="AB48" s="325">
        <v>1469597745.29</v>
      </c>
      <c r="AC48" s="314">
        <v>1</v>
      </c>
      <c r="AD48" s="23">
        <f t="shared" si="30"/>
        <v>3.5330771275429773E-2</v>
      </c>
      <c r="AE48" s="23">
        <f t="shared" si="31"/>
        <v>0</v>
      </c>
      <c r="AF48" s="325">
        <v>1492772659.6099999</v>
      </c>
      <c r="AG48" s="314">
        <v>1</v>
      </c>
      <c r="AH48" s="23">
        <f t="shared" si="32"/>
        <v>1.5769563061915803E-2</v>
      </c>
      <c r="AI48" s="23">
        <f t="shared" si="33"/>
        <v>0</v>
      </c>
      <c r="AJ48" s="24">
        <f t="shared" si="14"/>
        <v>5.6143366228282872E-2</v>
      </c>
      <c r="AK48" s="24">
        <f t="shared" si="15"/>
        <v>0</v>
      </c>
      <c r="AL48" s="25">
        <f t="shared" si="16"/>
        <v>0.47553343399239006</v>
      </c>
      <c r="AM48" s="25">
        <f t="shared" si="17"/>
        <v>0</v>
      </c>
      <c r="AN48" s="26">
        <f t="shared" si="18"/>
        <v>4.0996701901562141E-2</v>
      </c>
      <c r="AO48" s="78">
        <f t="shared" si="19"/>
        <v>0</v>
      </c>
      <c r="AP48" s="30"/>
      <c r="AQ48" s="38"/>
      <c r="AR48" s="35"/>
      <c r="AS48" s="29"/>
      <c r="AT48" s="29"/>
    </row>
    <row r="49" spans="1:48" s="105" customFormat="1">
      <c r="A49" s="206" t="s">
        <v>77</v>
      </c>
      <c r="B49" s="325">
        <v>47867257060.440002</v>
      </c>
      <c r="C49" s="314">
        <v>1</v>
      </c>
      <c r="D49" s="325">
        <v>44684142200.93</v>
      </c>
      <c r="E49" s="314">
        <v>1</v>
      </c>
      <c r="F49" s="23">
        <f>((D49-B49)/B49)</f>
        <v>-6.6498793851730728E-2</v>
      </c>
      <c r="G49" s="23">
        <f>((E49-C49)/C49)</f>
        <v>0</v>
      </c>
      <c r="H49" s="325">
        <v>44757079119.07</v>
      </c>
      <c r="I49" s="314">
        <v>1</v>
      </c>
      <c r="J49" s="23">
        <f t="shared" si="20"/>
        <v>1.6322774601339751E-3</v>
      </c>
      <c r="K49" s="23">
        <f t="shared" si="21"/>
        <v>0</v>
      </c>
      <c r="L49" s="325">
        <v>44528210991.18</v>
      </c>
      <c r="M49" s="314">
        <v>1</v>
      </c>
      <c r="N49" s="23">
        <f t="shared" si="22"/>
        <v>-5.1135626451656391E-3</v>
      </c>
      <c r="O49" s="23">
        <f t="shared" si="23"/>
        <v>0</v>
      </c>
      <c r="P49" s="325">
        <v>43466245458.650002</v>
      </c>
      <c r="Q49" s="314">
        <v>1</v>
      </c>
      <c r="R49" s="23">
        <f t="shared" si="24"/>
        <v>-2.3849274625929825E-2</v>
      </c>
      <c r="S49" s="23">
        <f t="shared" si="25"/>
        <v>0</v>
      </c>
      <c r="T49" s="325">
        <v>42361939050.220001</v>
      </c>
      <c r="U49" s="314">
        <v>1</v>
      </c>
      <c r="V49" s="23">
        <f t="shared" si="26"/>
        <v>-2.5406068473996474E-2</v>
      </c>
      <c r="W49" s="23">
        <f t="shared" si="27"/>
        <v>0</v>
      </c>
      <c r="X49" s="325">
        <v>44507670041.57</v>
      </c>
      <c r="Y49" s="314">
        <v>1</v>
      </c>
      <c r="Z49" s="23">
        <f t="shared" si="28"/>
        <v>5.0652331773723538E-2</v>
      </c>
      <c r="AA49" s="23">
        <f t="shared" si="29"/>
        <v>0</v>
      </c>
      <c r="AB49" s="325">
        <v>47601196591.650002</v>
      </c>
      <c r="AC49" s="314">
        <v>1</v>
      </c>
      <c r="AD49" s="23">
        <f t="shared" si="30"/>
        <v>6.950547056699799E-2</v>
      </c>
      <c r="AE49" s="23">
        <f t="shared" si="31"/>
        <v>0</v>
      </c>
      <c r="AF49" s="325">
        <v>48551316517.480003</v>
      </c>
      <c r="AG49" s="314">
        <v>1</v>
      </c>
      <c r="AH49" s="23">
        <f t="shared" si="32"/>
        <v>1.9960000879403687E-2</v>
      </c>
      <c r="AI49" s="23">
        <f t="shared" si="33"/>
        <v>0</v>
      </c>
      <c r="AJ49" s="24">
        <f t="shared" si="14"/>
        <v>2.610297635429565E-3</v>
      </c>
      <c r="AK49" s="24">
        <f t="shared" si="15"/>
        <v>0</v>
      </c>
      <c r="AL49" s="25">
        <f t="shared" si="16"/>
        <v>8.6544669452544992E-2</v>
      </c>
      <c r="AM49" s="25">
        <f t="shared" si="17"/>
        <v>0</v>
      </c>
      <c r="AN49" s="26">
        <f t="shared" si="18"/>
        <v>4.376188852325575E-2</v>
      </c>
      <c r="AO49" s="78">
        <f t="shared" si="19"/>
        <v>0</v>
      </c>
      <c r="AP49" s="30"/>
      <c r="AQ49" s="38"/>
      <c r="AR49" s="35"/>
      <c r="AS49" s="29"/>
      <c r="AT49" s="29"/>
    </row>
    <row r="50" spans="1:48" s="105" customFormat="1">
      <c r="A50" s="206" t="s">
        <v>162</v>
      </c>
      <c r="B50" s="325">
        <v>1357157146.6500001</v>
      </c>
      <c r="C50" s="314">
        <v>1</v>
      </c>
      <c r="D50" s="325">
        <v>1389889074.4200001</v>
      </c>
      <c r="E50" s="314">
        <v>1</v>
      </c>
      <c r="F50" s="23">
        <f>((D50-B50)/B50)</f>
        <v>2.4118008626189905E-2</v>
      </c>
      <c r="G50" s="23">
        <f>((E50-C50)/C50)</f>
        <v>0</v>
      </c>
      <c r="H50" s="325">
        <v>1386446347.23</v>
      </c>
      <c r="I50" s="314">
        <v>1</v>
      </c>
      <c r="J50" s="23">
        <f t="shared" si="20"/>
        <v>-2.4769798204484091E-3</v>
      </c>
      <c r="K50" s="23">
        <f t="shared" si="21"/>
        <v>0</v>
      </c>
      <c r="L50" s="325">
        <v>1384878578.6400001</v>
      </c>
      <c r="M50" s="314">
        <v>1</v>
      </c>
      <c r="N50" s="23">
        <f t="shared" si="22"/>
        <v>-1.1307820119633048E-3</v>
      </c>
      <c r="O50" s="23">
        <f t="shared" si="23"/>
        <v>0</v>
      </c>
      <c r="P50" s="325">
        <v>1384878578.6400001</v>
      </c>
      <c r="Q50" s="314">
        <v>1</v>
      </c>
      <c r="R50" s="23">
        <f t="shared" si="24"/>
        <v>0</v>
      </c>
      <c r="S50" s="23">
        <f t="shared" si="25"/>
        <v>0</v>
      </c>
      <c r="T50" s="325">
        <v>1191736841.5999999</v>
      </c>
      <c r="U50" s="314">
        <v>1</v>
      </c>
      <c r="V50" s="23">
        <f t="shared" si="26"/>
        <v>-0.13946474443244855</v>
      </c>
      <c r="W50" s="23">
        <f t="shared" si="27"/>
        <v>0</v>
      </c>
      <c r="X50" s="325">
        <v>1224875447.25</v>
      </c>
      <c r="Y50" s="314">
        <v>1</v>
      </c>
      <c r="Z50" s="23">
        <f t="shared" si="28"/>
        <v>2.7806982626725651E-2</v>
      </c>
      <c r="AA50" s="23">
        <f t="shared" si="29"/>
        <v>0</v>
      </c>
      <c r="AB50" s="325">
        <v>1226542907.54</v>
      </c>
      <c r="AC50" s="314">
        <v>1</v>
      </c>
      <c r="AD50" s="23">
        <f t="shared" si="30"/>
        <v>1.3613304877190743E-3</v>
      </c>
      <c r="AE50" s="23">
        <f t="shared" si="31"/>
        <v>0</v>
      </c>
      <c r="AF50" s="325">
        <v>1213657641.04</v>
      </c>
      <c r="AG50" s="314">
        <v>1</v>
      </c>
      <c r="AH50" s="23">
        <f t="shared" si="32"/>
        <v>-1.0505353233702332E-2</v>
      </c>
      <c r="AI50" s="23">
        <f t="shared" si="33"/>
        <v>0</v>
      </c>
      <c r="AJ50" s="24">
        <f t="shared" si="14"/>
        <v>-1.2536442219740995E-2</v>
      </c>
      <c r="AK50" s="24">
        <f t="shared" si="15"/>
        <v>0</v>
      </c>
      <c r="AL50" s="25">
        <f t="shared" si="16"/>
        <v>-0.12679532246380265</v>
      </c>
      <c r="AM50" s="25">
        <f t="shared" si="17"/>
        <v>0</v>
      </c>
      <c r="AN50" s="26">
        <f t="shared" si="18"/>
        <v>5.3006269519374628E-2</v>
      </c>
      <c r="AO50" s="78">
        <f t="shared" si="19"/>
        <v>0</v>
      </c>
      <c r="AP50" s="30"/>
      <c r="AQ50" s="38"/>
      <c r="AR50" s="35"/>
      <c r="AS50" s="29"/>
      <c r="AT50" s="29"/>
    </row>
    <row r="51" spans="1:48" s="110" customFormat="1">
      <c r="A51" s="206" t="s">
        <v>134</v>
      </c>
      <c r="B51" s="325">
        <v>807604934.26999998</v>
      </c>
      <c r="C51" s="314">
        <v>1</v>
      </c>
      <c r="D51" s="325">
        <v>813629894.64999998</v>
      </c>
      <c r="E51" s="314">
        <v>1</v>
      </c>
      <c r="F51" s="23">
        <f>((D51-B51)/B51)</f>
        <v>7.4602817842439276E-3</v>
      </c>
      <c r="G51" s="23">
        <f>((E51-C51)/C51)</f>
        <v>0</v>
      </c>
      <c r="H51" s="325">
        <v>808988012.13</v>
      </c>
      <c r="I51" s="314">
        <v>1</v>
      </c>
      <c r="J51" s="23">
        <f t="shared" si="20"/>
        <v>-5.7051523678303198E-3</v>
      </c>
      <c r="K51" s="23">
        <f t="shared" si="21"/>
        <v>0</v>
      </c>
      <c r="L51" s="325">
        <v>829094220.49000001</v>
      </c>
      <c r="M51" s="314">
        <v>1</v>
      </c>
      <c r="N51" s="23">
        <f t="shared" si="22"/>
        <v>2.4853530656235554E-2</v>
      </c>
      <c r="O51" s="23">
        <f t="shared" si="23"/>
        <v>0</v>
      </c>
      <c r="P51" s="325">
        <v>828191396.59000003</v>
      </c>
      <c r="Q51" s="314">
        <v>1</v>
      </c>
      <c r="R51" s="23">
        <f t="shared" si="24"/>
        <v>-1.0889279863347755E-3</v>
      </c>
      <c r="S51" s="23">
        <f t="shared" si="25"/>
        <v>0</v>
      </c>
      <c r="T51" s="325">
        <v>847503621.70000005</v>
      </c>
      <c r="U51" s="314">
        <v>1</v>
      </c>
      <c r="V51" s="23">
        <f t="shared" si="26"/>
        <v>2.3318553162368361E-2</v>
      </c>
      <c r="W51" s="23">
        <f t="shared" si="27"/>
        <v>0</v>
      </c>
      <c r="X51" s="325">
        <v>1326413539.1800001</v>
      </c>
      <c r="Y51" s="314">
        <v>1</v>
      </c>
      <c r="Z51" s="23">
        <f t="shared" si="28"/>
        <v>0.56508303353248079</v>
      </c>
      <c r="AA51" s="23">
        <f t="shared" si="29"/>
        <v>0</v>
      </c>
      <c r="AB51" s="325">
        <v>1357634841.6800001</v>
      </c>
      <c r="AC51" s="314">
        <v>1</v>
      </c>
      <c r="AD51" s="23">
        <f t="shared" si="30"/>
        <v>2.3538136167775604E-2</v>
      </c>
      <c r="AE51" s="23">
        <f t="shared" si="31"/>
        <v>0</v>
      </c>
      <c r="AF51" s="325">
        <v>1381089055.55</v>
      </c>
      <c r="AG51" s="314">
        <v>1</v>
      </c>
      <c r="AH51" s="23">
        <f t="shared" si="32"/>
        <v>1.7275789593744189E-2</v>
      </c>
      <c r="AI51" s="23">
        <f t="shared" si="33"/>
        <v>0</v>
      </c>
      <c r="AJ51" s="24">
        <f t="shared" si="14"/>
        <v>8.184190556783541E-2</v>
      </c>
      <c r="AK51" s="24">
        <f t="shared" si="15"/>
        <v>0</v>
      </c>
      <c r="AL51" s="25">
        <f t="shared" si="16"/>
        <v>0.69744138536613687</v>
      </c>
      <c r="AM51" s="25">
        <f t="shared" si="17"/>
        <v>0</v>
      </c>
      <c r="AN51" s="26">
        <f t="shared" si="18"/>
        <v>0.19560798797977899</v>
      </c>
      <c r="AO51" s="78">
        <f t="shared" si="19"/>
        <v>0</v>
      </c>
      <c r="AP51" s="30"/>
      <c r="AQ51" s="38"/>
      <c r="AR51" s="35"/>
      <c r="AS51" s="29"/>
      <c r="AT51" s="29"/>
    </row>
    <row r="52" spans="1:48">
      <c r="A52" s="206" t="s">
        <v>114</v>
      </c>
      <c r="B52" s="325">
        <v>20171937733.349998</v>
      </c>
      <c r="C52" s="314">
        <v>1</v>
      </c>
      <c r="D52" s="325">
        <v>20621502677.580002</v>
      </c>
      <c r="E52" s="314">
        <v>1</v>
      </c>
      <c r="F52" s="23">
        <f>((D52-B52)/B52)</f>
        <v>2.2286651395257064E-2</v>
      </c>
      <c r="G52" s="23">
        <f>((E52-C52)/C52)</f>
        <v>0</v>
      </c>
      <c r="H52" s="325">
        <v>20411464492.68</v>
      </c>
      <c r="I52" s="314">
        <v>1</v>
      </c>
      <c r="J52" s="23">
        <f t="shared" si="20"/>
        <v>-1.0185396679571664E-2</v>
      </c>
      <c r="K52" s="23">
        <f t="shared" si="21"/>
        <v>0</v>
      </c>
      <c r="L52" s="325">
        <v>20789967665.41</v>
      </c>
      <c r="M52" s="314">
        <v>1</v>
      </c>
      <c r="N52" s="23">
        <f t="shared" si="22"/>
        <v>1.8543655839380811E-2</v>
      </c>
      <c r="O52" s="23">
        <f t="shared" si="23"/>
        <v>0</v>
      </c>
      <c r="P52" s="325">
        <v>21185153315.810001</v>
      </c>
      <c r="Q52" s="314">
        <v>1</v>
      </c>
      <c r="R52" s="23">
        <f t="shared" si="24"/>
        <v>1.9008478356486565E-2</v>
      </c>
      <c r="S52" s="23">
        <f t="shared" si="25"/>
        <v>0</v>
      </c>
      <c r="T52" s="325">
        <v>21723290909.91</v>
      </c>
      <c r="U52" s="314">
        <v>1</v>
      </c>
      <c r="V52" s="23">
        <f t="shared" si="26"/>
        <v>2.5401637933788215E-2</v>
      </c>
      <c r="W52" s="23">
        <f t="shared" si="27"/>
        <v>0</v>
      </c>
      <c r="X52" s="325">
        <v>22329450046.02</v>
      </c>
      <c r="Y52" s="314">
        <v>1</v>
      </c>
      <c r="Z52" s="23">
        <f t="shared" si="28"/>
        <v>2.7903651367734317E-2</v>
      </c>
      <c r="AA52" s="23">
        <f t="shared" si="29"/>
        <v>0</v>
      </c>
      <c r="AB52" s="325">
        <v>22909668463.209999</v>
      </c>
      <c r="AC52" s="314">
        <v>1</v>
      </c>
      <c r="AD52" s="23">
        <f t="shared" si="30"/>
        <v>2.5984447265570552E-2</v>
      </c>
      <c r="AE52" s="23">
        <f t="shared" si="31"/>
        <v>0</v>
      </c>
      <c r="AF52" s="325">
        <v>22261834259.299999</v>
      </c>
      <c r="AG52" s="314">
        <v>1</v>
      </c>
      <c r="AH52" s="23">
        <f t="shared" si="32"/>
        <v>-2.8277764252692648E-2</v>
      </c>
      <c r="AI52" s="23">
        <f t="shared" si="33"/>
        <v>0</v>
      </c>
      <c r="AJ52" s="24">
        <f t="shared" si="14"/>
        <v>1.2583170153244151E-2</v>
      </c>
      <c r="AK52" s="24">
        <f t="shared" si="15"/>
        <v>0</v>
      </c>
      <c r="AL52" s="25">
        <f t="shared" si="16"/>
        <v>7.9544716375271232E-2</v>
      </c>
      <c r="AM52" s="25">
        <f t="shared" si="17"/>
        <v>0</v>
      </c>
      <c r="AN52" s="26">
        <f t="shared" si="18"/>
        <v>2.0485596363604971E-2</v>
      </c>
      <c r="AO52" s="78">
        <f t="shared" si="19"/>
        <v>0</v>
      </c>
      <c r="AP52" s="30"/>
      <c r="AQ52" s="39">
        <v>2266908745.4000001</v>
      </c>
      <c r="AR52" s="35">
        <v>1</v>
      </c>
      <c r="AS52" s="29" t="e">
        <f>(#REF!/AQ52)-1</f>
        <v>#REF!</v>
      </c>
      <c r="AT52" s="29" t="e">
        <f>(#REF!/AR52)-1</f>
        <v>#REF!</v>
      </c>
    </row>
    <row r="53" spans="1:48">
      <c r="A53" s="208" t="s">
        <v>42</v>
      </c>
      <c r="B53" s="76">
        <f>SUM(B24:B52)</f>
        <v>808555564328.63843</v>
      </c>
      <c r="C53" s="87"/>
      <c r="D53" s="76">
        <f>SUM(D24:D52)</f>
        <v>806141589764.57495</v>
      </c>
      <c r="E53" s="87"/>
      <c r="F53" s="23">
        <f>((D53-B53)/B53)</f>
        <v>-2.9855394861673522E-3</v>
      </c>
      <c r="G53" s="23"/>
      <c r="H53" s="76">
        <f>SUM(H24:H52)</f>
        <v>809389465815.42651</v>
      </c>
      <c r="I53" s="87"/>
      <c r="J53" s="23">
        <f>((H53-D53)/D53)</f>
        <v>4.028915133630644E-3</v>
      </c>
      <c r="K53" s="23"/>
      <c r="L53" s="76">
        <f>SUM(L24:L52)</f>
        <v>813597370074.91248</v>
      </c>
      <c r="M53" s="87"/>
      <c r="N53" s="23">
        <f>((L53-H53)/H53)</f>
        <v>5.1988621512965598E-3</v>
      </c>
      <c r="O53" s="23"/>
      <c r="P53" s="76">
        <f>SUM(P24:P52)</f>
        <v>806059217034.32275</v>
      </c>
      <c r="Q53" s="87"/>
      <c r="R53" s="23">
        <f>((P53-L53)/L53)</f>
        <v>-9.2652131359466441E-3</v>
      </c>
      <c r="S53" s="23"/>
      <c r="T53" s="76">
        <f>SUM(T24:T52)</f>
        <v>792540018978.42993</v>
      </c>
      <c r="U53" s="87"/>
      <c r="V53" s="23">
        <f>((T53-P53)/P53)</f>
        <v>-1.677196633968539E-2</v>
      </c>
      <c r="W53" s="23"/>
      <c r="X53" s="76">
        <f>SUM(X24:X52)</f>
        <v>806100368208.14038</v>
      </c>
      <c r="Y53" s="87"/>
      <c r="Z53" s="23">
        <f>((X53-T53)/T53)</f>
        <v>1.7109986757753253E-2</v>
      </c>
      <c r="AA53" s="23"/>
      <c r="AB53" s="76">
        <f>SUM(AB24:AB52)</f>
        <v>813613346034.13635</v>
      </c>
      <c r="AC53" s="87"/>
      <c r="AD53" s="23">
        <f>((AB53-X53)/X53)</f>
        <v>9.3201518350579295E-3</v>
      </c>
      <c r="AE53" s="23"/>
      <c r="AF53" s="76">
        <f>SUM(AF24:AF52)</f>
        <v>806087341383.99084</v>
      </c>
      <c r="AG53" s="87"/>
      <c r="AH53" s="23">
        <f>((AF53-AB53)/AB53)</f>
        <v>-9.2500998008822524E-3</v>
      </c>
      <c r="AI53" s="23"/>
      <c r="AJ53" s="24">
        <f t="shared" si="14"/>
        <v>-3.2686286061790661E-4</v>
      </c>
      <c r="AK53" s="24" t="e">
        <f t="shared" si="15"/>
        <v>#DIV/0!</v>
      </c>
      <c r="AL53" s="25">
        <f t="shared" si="16"/>
        <v>-6.7293861615487556E-5</v>
      </c>
      <c r="AM53" s="25" t="e">
        <f t="shared" si="17"/>
        <v>#DIV/0!</v>
      </c>
      <c r="AN53" s="26">
        <f t="shared" si="18"/>
        <v>1.1235424265419246E-2</v>
      </c>
      <c r="AO53" s="78" t="e">
        <f t="shared" si="19"/>
        <v>#DIV/0!</v>
      </c>
      <c r="AP53" s="30"/>
      <c r="AQ53" s="43">
        <f>SUM(AQ24:AQ52)</f>
        <v>132930613532.55411</v>
      </c>
      <c r="AR53" s="44"/>
      <c r="AS53" s="29" t="e">
        <f>(#REF!/AQ53)-1</f>
        <v>#REF!</v>
      </c>
      <c r="AT53" s="29" t="e">
        <f>(#REF!/AR53)-1</f>
        <v>#REF!</v>
      </c>
    </row>
    <row r="54" spans="1:48" s="110" customFormat="1" ht="8.25" customHeight="1">
      <c r="A54" s="208"/>
      <c r="B54" s="87"/>
      <c r="C54" s="87"/>
      <c r="D54" s="87"/>
      <c r="E54" s="87"/>
      <c r="F54" s="23"/>
      <c r="G54" s="23"/>
      <c r="H54" s="87"/>
      <c r="I54" s="87"/>
      <c r="J54" s="23"/>
      <c r="K54" s="23"/>
      <c r="L54" s="87"/>
      <c r="M54" s="87"/>
      <c r="N54" s="23"/>
      <c r="O54" s="23"/>
      <c r="P54" s="87"/>
      <c r="Q54" s="87"/>
      <c r="R54" s="23"/>
      <c r="S54" s="23"/>
      <c r="T54" s="87"/>
      <c r="U54" s="87"/>
      <c r="V54" s="23"/>
      <c r="W54" s="23"/>
      <c r="X54" s="87"/>
      <c r="Y54" s="87"/>
      <c r="Z54" s="23"/>
      <c r="AA54" s="23"/>
      <c r="AB54" s="87"/>
      <c r="AC54" s="87"/>
      <c r="AD54" s="23"/>
      <c r="AE54" s="23"/>
      <c r="AF54" s="87"/>
      <c r="AG54" s="87"/>
      <c r="AH54" s="23"/>
      <c r="AI54" s="23"/>
      <c r="AJ54" s="24" t="e">
        <f t="shared" si="14"/>
        <v>#DIV/0!</v>
      </c>
      <c r="AK54" s="24" t="e">
        <f t="shared" si="15"/>
        <v>#DIV/0!</v>
      </c>
      <c r="AL54" s="25" t="e">
        <f t="shared" si="16"/>
        <v>#DIV/0!</v>
      </c>
      <c r="AM54" s="25" t="e">
        <f t="shared" si="17"/>
        <v>#DIV/0!</v>
      </c>
      <c r="AN54" s="26" t="e">
        <f t="shared" si="18"/>
        <v>#DIV/0!</v>
      </c>
      <c r="AO54" s="78" t="e">
        <f t="shared" si="19"/>
        <v>#DIV/0!</v>
      </c>
      <c r="AP54" s="30"/>
      <c r="AQ54" s="43"/>
      <c r="AR54" s="44"/>
      <c r="AS54" s="29"/>
      <c r="AT54" s="29"/>
    </row>
    <row r="55" spans="1:48">
      <c r="A55" s="209" t="s">
        <v>197</v>
      </c>
      <c r="B55" s="87"/>
      <c r="C55" s="87"/>
      <c r="D55" s="87"/>
      <c r="E55" s="87"/>
      <c r="F55" s="23"/>
      <c r="G55" s="23"/>
      <c r="H55" s="87"/>
      <c r="I55" s="87"/>
      <c r="J55" s="23"/>
      <c r="K55" s="23"/>
      <c r="L55" s="87"/>
      <c r="M55" s="87"/>
      <c r="N55" s="23"/>
      <c r="O55" s="23"/>
      <c r="P55" s="87"/>
      <c r="Q55" s="87"/>
      <c r="R55" s="23"/>
      <c r="S55" s="23"/>
      <c r="T55" s="87"/>
      <c r="U55" s="87"/>
      <c r="V55" s="23"/>
      <c r="W55" s="23"/>
      <c r="X55" s="87"/>
      <c r="Y55" s="87"/>
      <c r="Z55" s="23"/>
      <c r="AA55" s="23"/>
      <c r="AB55" s="87"/>
      <c r="AC55" s="87"/>
      <c r="AD55" s="23"/>
      <c r="AE55" s="23"/>
      <c r="AF55" s="87"/>
      <c r="AG55" s="87"/>
      <c r="AH55" s="23"/>
      <c r="AI55" s="23"/>
      <c r="AJ55" s="24" t="e">
        <f t="shared" si="14"/>
        <v>#DIV/0!</v>
      </c>
      <c r="AK55" s="24" t="e">
        <f t="shared" si="15"/>
        <v>#DIV/0!</v>
      </c>
      <c r="AL55" s="25" t="e">
        <f t="shared" si="16"/>
        <v>#DIV/0!</v>
      </c>
      <c r="AM55" s="25" t="e">
        <f t="shared" si="17"/>
        <v>#DIV/0!</v>
      </c>
      <c r="AN55" s="26" t="e">
        <f t="shared" si="18"/>
        <v>#DIV/0!</v>
      </c>
      <c r="AO55" s="78" t="e">
        <f t="shared" si="19"/>
        <v>#DIV/0!</v>
      </c>
      <c r="AP55" s="30"/>
      <c r="AQ55" s="40"/>
      <c r="AR55" s="13"/>
      <c r="AS55" s="29" t="e">
        <f>(#REF!/AQ55)-1</f>
        <v>#REF!</v>
      </c>
      <c r="AT55" s="29" t="e">
        <f>(#REF!/AR55)-1</f>
        <v>#REF!</v>
      </c>
    </row>
    <row r="56" spans="1:48">
      <c r="A56" s="206" t="s">
        <v>141</v>
      </c>
      <c r="B56" s="330">
        <v>438861132.99000001</v>
      </c>
      <c r="C56" s="331">
        <v>1.2603</v>
      </c>
      <c r="D56" s="330">
        <v>435805556.92000002</v>
      </c>
      <c r="E56" s="331">
        <v>1.2517</v>
      </c>
      <c r="F56" s="23">
        <f>((D56-B56)/B56)</f>
        <v>-6.9625123764824664E-3</v>
      </c>
      <c r="G56" s="23">
        <f>((E56-C56)/C56)</f>
        <v>-6.8237721177496951E-3</v>
      </c>
      <c r="H56" s="330">
        <v>434667650.29000002</v>
      </c>
      <c r="I56" s="331">
        <v>1.2497</v>
      </c>
      <c r="J56" s="23">
        <f t="shared" ref="J56:J82" si="34">((H56-D56)/D56)</f>
        <v>-2.6110420391194751E-3</v>
      </c>
      <c r="K56" s="23">
        <f t="shared" ref="K56:K81" si="35">((I56-E56)/E56)</f>
        <v>-1.597826955340738E-3</v>
      </c>
      <c r="L56" s="330">
        <v>435935264.88999999</v>
      </c>
      <c r="M56" s="331">
        <v>1.2535000000000001</v>
      </c>
      <c r="N56" s="23">
        <f t="shared" ref="N56:N82" si="36">((L56-H56)/H56)</f>
        <v>2.9162846582998334E-3</v>
      </c>
      <c r="O56" s="23">
        <f t="shared" ref="O56:O81" si="37">((M56-I56)/I56)</f>
        <v>3.0407297751460552E-3</v>
      </c>
      <c r="P56" s="330">
        <v>437395800.79000002</v>
      </c>
      <c r="Q56" s="331">
        <v>1.258</v>
      </c>
      <c r="R56" s="23">
        <f t="shared" ref="R56:R82" si="38">((P56-L56)/L56)</f>
        <v>3.3503504250076543E-3</v>
      </c>
      <c r="S56" s="23">
        <f t="shared" ref="S56:S81" si="39">((Q56-M56)/M56)</f>
        <v>3.5899481451934171E-3</v>
      </c>
      <c r="T56" s="330">
        <v>439586726.64999998</v>
      </c>
      <c r="U56" s="331">
        <v>1.2643</v>
      </c>
      <c r="V56" s="23">
        <f t="shared" ref="V56:V82" si="40">((T56-P56)/P56)</f>
        <v>5.009023534388821E-3</v>
      </c>
      <c r="W56" s="23">
        <f t="shared" ref="W56:W81" si="41">((U56-Q56)/Q56)</f>
        <v>5.0079491255961622E-3</v>
      </c>
      <c r="X56" s="330">
        <v>441287934.61000001</v>
      </c>
      <c r="Y56" s="331">
        <v>1.2697000000000001</v>
      </c>
      <c r="Z56" s="23">
        <f t="shared" ref="Z56:Z82" si="42">((X56-T56)/T56)</f>
        <v>3.8700166698949125E-3</v>
      </c>
      <c r="AA56" s="23">
        <f t="shared" ref="AA56:AA81" si="43">((Y56-U56)/U56)</f>
        <v>4.27113817922967E-3</v>
      </c>
      <c r="AB56" s="330">
        <v>441073490.06999999</v>
      </c>
      <c r="AC56" s="331">
        <v>1.2733000000000001</v>
      </c>
      <c r="AD56" s="23">
        <f t="shared" ref="AD56:AD82" si="44">((AB56-X56)/X56)</f>
        <v>-4.8595151415037563E-4</v>
      </c>
      <c r="AE56" s="23">
        <f t="shared" ref="AE56:AE81" si="45">((AC56-Y56)/Y56)</f>
        <v>2.8353154288414959E-3</v>
      </c>
      <c r="AF56" s="330">
        <v>430159762.5</v>
      </c>
      <c r="AG56" s="331">
        <v>1.2707999999999999</v>
      </c>
      <c r="AH56" s="23">
        <f t="shared" ref="AH56:AH82" si="46">((AF56-AB56)/AB56)</f>
        <v>-2.4743558195410801E-2</v>
      </c>
      <c r="AI56" s="23">
        <f t="shared" ref="AI56:AI81" si="47">((AG56-AC56)/AC56)</f>
        <v>-1.9634021833033603E-3</v>
      </c>
      <c r="AJ56" s="24">
        <f t="shared" si="14"/>
        <v>-2.4571736046964873E-3</v>
      </c>
      <c r="AK56" s="24">
        <f t="shared" si="15"/>
        <v>1.045009924701626E-3</v>
      </c>
      <c r="AL56" s="25">
        <f t="shared" si="16"/>
        <v>-1.2954847248623782E-2</v>
      </c>
      <c r="AM56" s="25">
        <f t="shared" si="17"/>
        <v>1.5259247423503951E-2</v>
      </c>
      <c r="AN56" s="26">
        <f t="shared" si="18"/>
        <v>9.8508102143172495E-3</v>
      </c>
      <c r="AO56" s="78">
        <f t="shared" si="19"/>
        <v>4.1010530652519969E-3</v>
      </c>
      <c r="AP56" s="30"/>
      <c r="AQ56" s="28">
        <v>1092437778.4100001</v>
      </c>
      <c r="AR56" s="32">
        <v>143.21</v>
      </c>
      <c r="AS56" s="29" t="e">
        <f>(#REF!/AQ56)-1</f>
        <v>#REF!</v>
      </c>
      <c r="AT56" s="29" t="e">
        <f>(#REF!/AR56)-1</f>
        <v>#REF!</v>
      </c>
    </row>
    <row r="57" spans="1:48">
      <c r="A57" s="206" t="s">
        <v>147</v>
      </c>
      <c r="B57" s="330">
        <v>1006790507.09</v>
      </c>
      <c r="C57" s="331">
        <v>1.1253</v>
      </c>
      <c r="D57" s="330">
        <v>1009256766.59</v>
      </c>
      <c r="E57" s="331">
        <v>1.1265000000000001</v>
      </c>
      <c r="F57" s="23">
        <f>((D57-B57)/B57)</f>
        <v>2.449625302018798E-3</v>
      </c>
      <c r="G57" s="23">
        <f>((E57-C57)/C57)</f>
        <v>1.0663822980539323E-3</v>
      </c>
      <c r="H57" s="330">
        <v>1013328826.91</v>
      </c>
      <c r="I57" s="331">
        <v>1.1274</v>
      </c>
      <c r="J57" s="23">
        <f t="shared" si="34"/>
        <v>4.0347119333747948E-3</v>
      </c>
      <c r="K57" s="23">
        <f t="shared" si="35"/>
        <v>7.9893475366169626E-4</v>
      </c>
      <c r="L57" s="330">
        <v>1014130867.0599999</v>
      </c>
      <c r="M57" s="331">
        <v>1.1286</v>
      </c>
      <c r="N57" s="23">
        <f t="shared" si="36"/>
        <v>7.9149050999139325E-4</v>
      </c>
      <c r="O57" s="23">
        <f t="shared" si="37"/>
        <v>1.0643959552954496E-3</v>
      </c>
      <c r="P57" s="330">
        <v>1017399076.49</v>
      </c>
      <c r="Q57" s="331">
        <v>1.1291</v>
      </c>
      <c r="R57" s="23">
        <f t="shared" si="38"/>
        <v>3.2226703043510721E-3</v>
      </c>
      <c r="S57" s="23">
        <f t="shared" si="39"/>
        <v>4.4302675881618367E-4</v>
      </c>
      <c r="T57" s="330">
        <v>1017930921</v>
      </c>
      <c r="U57" s="331">
        <v>1.1301000000000001</v>
      </c>
      <c r="V57" s="23">
        <f t="shared" si="40"/>
        <v>5.2274915742487205E-4</v>
      </c>
      <c r="W57" s="23">
        <f t="shared" si="41"/>
        <v>8.8566114604562215E-4</v>
      </c>
      <c r="X57" s="330">
        <v>1019832818.21</v>
      </c>
      <c r="Y57" s="331">
        <v>1.1321000000000001</v>
      </c>
      <c r="Z57" s="23">
        <f t="shared" si="42"/>
        <v>1.8683951639190241E-3</v>
      </c>
      <c r="AA57" s="23">
        <f t="shared" si="43"/>
        <v>1.7697548889478822E-3</v>
      </c>
      <c r="AB57" s="330">
        <v>1022492186.75</v>
      </c>
      <c r="AC57" s="331">
        <v>1.1339999999999999</v>
      </c>
      <c r="AD57" s="23">
        <f t="shared" si="44"/>
        <v>2.6076514625874249E-3</v>
      </c>
      <c r="AE57" s="23">
        <f t="shared" si="45"/>
        <v>1.6782969702321265E-3</v>
      </c>
      <c r="AF57" s="330">
        <v>1024529602.21</v>
      </c>
      <c r="AG57" s="331">
        <v>1.1362000000000001</v>
      </c>
      <c r="AH57" s="23">
        <f t="shared" si="46"/>
        <v>1.9925975830446005E-3</v>
      </c>
      <c r="AI57" s="23">
        <f t="shared" si="47"/>
        <v>1.9400352733687848E-3</v>
      </c>
      <c r="AJ57" s="24">
        <f t="shared" si="14"/>
        <v>2.1862364270889977E-3</v>
      </c>
      <c r="AK57" s="24">
        <f t="shared" si="15"/>
        <v>1.2058110055527095E-3</v>
      </c>
      <c r="AL57" s="25">
        <f t="shared" si="16"/>
        <v>1.5132755236908343E-2</v>
      </c>
      <c r="AM57" s="25">
        <f t="shared" si="17"/>
        <v>8.6107412339103788E-3</v>
      </c>
      <c r="AN57" s="26">
        <f t="shared" si="18"/>
        <v>1.1704117926700194E-3</v>
      </c>
      <c r="AO57" s="78">
        <f t="shared" si="19"/>
        <v>5.3045581083854647E-4</v>
      </c>
      <c r="AP57" s="30"/>
      <c r="AQ57" s="31">
        <v>1186217562.8099999</v>
      </c>
      <c r="AR57" s="35">
        <v>212.98</v>
      </c>
      <c r="AS57" s="29" t="e">
        <f>(#REF!/AQ57)-1</f>
        <v>#REF!</v>
      </c>
      <c r="AT57" s="29" t="e">
        <f>(#REF!/AR57)-1</f>
        <v>#REF!</v>
      </c>
      <c r="AU57" s="85"/>
      <c r="AV57" s="85"/>
    </row>
    <row r="58" spans="1:48">
      <c r="A58" s="206" t="s">
        <v>231</v>
      </c>
      <c r="B58" s="330">
        <v>877725413.79999995</v>
      </c>
      <c r="C58" s="331">
        <v>1.0501</v>
      </c>
      <c r="D58" s="330">
        <v>875191595.79999995</v>
      </c>
      <c r="E58" s="331">
        <v>1.0512999999999999</v>
      </c>
      <c r="F58" s="23">
        <f>((D58-B58)/B58)</f>
        <v>-2.8868003138135868E-3</v>
      </c>
      <c r="G58" s="23">
        <f>((E58-C58)/C58)</f>
        <v>1.142748309684666E-3</v>
      </c>
      <c r="H58" s="330">
        <v>874467738.55999994</v>
      </c>
      <c r="I58" s="331">
        <v>1.0521</v>
      </c>
      <c r="J58" s="23">
        <f t="shared" si="34"/>
        <v>-8.2708431327924506E-4</v>
      </c>
      <c r="K58" s="23">
        <f t="shared" si="35"/>
        <v>7.6096261771153243E-4</v>
      </c>
      <c r="L58" s="330">
        <v>875379586.21000004</v>
      </c>
      <c r="M58" s="331">
        <v>1.0531999999999999</v>
      </c>
      <c r="N58" s="23">
        <f t="shared" si="36"/>
        <v>1.0427459010685168E-3</v>
      </c>
      <c r="O58" s="23">
        <f t="shared" si="37"/>
        <v>1.0455279916356608E-3</v>
      </c>
      <c r="P58" s="330">
        <v>860015859.92999995</v>
      </c>
      <c r="Q58" s="331">
        <v>1.0544</v>
      </c>
      <c r="R58" s="23">
        <f t="shared" si="38"/>
        <v>-1.7550930501496063E-2</v>
      </c>
      <c r="S58" s="23">
        <f t="shared" si="39"/>
        <v>1.1393847322446733E-3</v>
      </c>
      <c r="T58" s="330">
        <v>860909915.36000001</v>
      </c>
      <c r="U58" s="331">
        <v>1.0551999999999999</v>
      </c>
      <c r="V58" s="23">
        <f t="shared" si="40"/>
        <v>1.0395801655016426E-3</v>
      </c>
      <c r="W58" s="23">
        <f t="shared" si="41"/>
        <v>7.5872534142632007E-4</v>
      </c>
      <c r="X58" s="330">
        <v>862357715.15999997</v>
      </c>
      <c r="Y58" s="331">
        <v>1.0564</v>
      </c>
      <c r="Z58" s="23">
        <f t="shared" si="42"/>
        <v>1.6817088224550616E-3</v>
      </c>
      <c r="AA58" s="23">
        <f t="shared" si="43"/>
        <v>1.1372251705838608E-3</v>
      </c>
      <c r="AB58" s="330">
        <v>861426535.37</v>
      </c>
      <c r="AC58" s="331">
        <v>1.0579000000000001</v>
      </c>
      <c r="AD58" s="23">
        <f t="shared" si="44"/>
        <v>-1.0798068755344674E-3</v>
      </c>
      <c r="AE58" s="23">
        <f t="shared" si="45"/>
        <v>1.4199166982204249E-3</v>
      </c>
      <c r="AF58" s="330">
        <v>861288344.36000001</v>
      </c>
      <c r="AG58" s="331">
        <v>1.0593999999999999</v>
      </c>
      <c r="AH58" s="23">
        <f t="shared" si="46"/>
        <v>-1.6042112046227441E-4</v>
      </c>
      <c r="AI58" s="23">
        <f t="shared" si="47"/>
        <v>1.417903393515299E-3</v>
      </c>
      <c r="AJ58" s="24">
        <f t="shared" si="14"/>
        <v>-2.3426260294450519E-3</v>
      </c>
      <c r="AK58" s="24">
        <f t="shared" si="15"/>
        <v>1.1027992818778045E-3</v>
      </c>
      <c r="AL58" s="25">
        <f t="shared" si="16"/>
        <v>-1.5885951723852168E-2</v>
      </c>
      <c r="AM58" s="25">
        <f t="shared" si="17"/>
        <v>7.7047465043279719E-3</v>
      </c>
      <c r="AN58" s="26">
        <f t="shared" si="18"/>
        <v>6.3170696257198742E-3</v>
      </c>
      <c r="AO58" s="78">
        <f t="shared" si="19"/>
        <v>2.5142246770987767E-4</v>
      </c>
      <c r="AP58" s="30"/>
      <c r="AQ58" s="31">
        <v>4662655514.79</v>
      </c>
      <c r="AR58" s="35">
        <v>1067.58</v>
      </c>
      <c r="AS58" s="29" t="e">
        <f>(#REF!/AQ58)-1</f>
        <v>#REF!</v>
      </c>
      <c r="AT58" s="29" t="e">
        <f>(#REF!/AR58)-1</f>
        <v>#REF!</v>
      </c>
    </row>
    <row r="59" spans="1:48" s="105" customFormat="1">
      <c r="A59" s="206" t="s">
        <v>171</v>
      </c>
      <c r="B59" s="330">
        <v>247148026.52000001</v>
      </c>
      <c r="C59" s="74">
        <v>1127.9100000000001</v>
      </c>
      <c r="D59" s="330">
        <v>248304510.19</v>
      </c>
      <c r="E59" s="74">
        <v>1128.8599999999999</v>
      </c>
      <c r="F59" s="23">
        <f>((D59-B59)/B59)</f>
        <v>4.6793158184752917E-3</v>
      </c>
      <c r="G59" s="23">
        <f>((E59-C59)/C59)</f>
        <v>8.4226578361732589E-4</v>
      </c>
      <c r="H59" s="330">
        <v>249028081.15000001</v>
      </c>
      <c r="I59" s="74">
        <v>1131.33</v>
      </c>
      <c r="J59" s="23">
        <f t="shared" si="34"/>
        <v>2.9140467865297311E-3</v>
      </c>
      <c r="K59" s="23">
        <f t="shared" si="35"/>
        <v>2.1880481193416608E-3</v>
      </c>
      <c r="L59" s="330">
        <v>249853693.56</v>
      </c>
      <c r="M59" s="74">
        <v>1133.79</v>
      </c>
      <c r="N59" s="23">
        <f t="shared" si="36"/>
        <v>3.3153386003191166E-3</v>
      </c>
      <c r="O59" s="23">
        <f t="shared" si="37"/>
        <v>2.1744318633820695E-3</v>
      </c>
      <c r="P59" s="330">
        <v>237592451.25</v>
      </c>
      <c r="Q59" s="74">
        <v>1078.1500000000001</v>
      </c>
      <c r="R59" s="23">
        <f t="shared" si="38"/>
        <v>-4.907368842660547E-2</v>
      </c>
      <c r="S59" s="23">
        <f t="shared" si="39"/>
        <v>-4.9074343573324755E-2</v>
      </c>
      <c r="T59" s="330">
        <v>259095700.47</v>
      </c>
      <c r="U59" s="74">
        <v>1130.58</v>
      </c>
      <c r="V59" s="23">
        <f t="shared" si="40"/>
        <v>9.0504766068404283E-2</v>
      </c>
      <c r="W59" s="23">
        <f t="shared" si="41"/>
        <v>4.8629596994852135E-2</v>
      </c>
      <c r="X59" s="330">
        <v>259095700.47</v>
      </c>
      <c r="Y59" s="74">
        <v>1130.58</v>
      </c>
      <c r="Z59" s="23">
        <f t="shared" si="42"/>
        <v>0</v>
      </c>
      <c r="AA59" s="23">
        <f t="shared" si="43"/>
        <v>0</v>
      </c>
      <c r="AB59" s="330">
        <v>259095700.47</v>
      </c>
      <c r="AC59" s="74">
        <v>1130.58</v>
      </c>
      <c r="AD59" s="23">
        <f t="shared" si="44"/>
        <v>0</v>
      </c>
      <c r="AE59" s="23">
        <f t="shared" si="45"/>
        <v>0</v>
      </c>
      <c r="AF59" s="330">
        <v>259897315.68000001</v>
      </c>
      <c r="AG59" s="74">
        <v>1135.9100000000001</v>
      </c>
      <c r="AH59" s="23">
        <f t="shared" si="46"/>
        <v>3.0938962265521083E-3</v>
      </c>
      <c r="AI59" s="23">
        <f t="shared" si="47"/>
        <v>4.7143943816449563E-3</v>
      </c>
      <c r="AJ59" s="24">
        <f t="shared" si="14"/>
        <v>6.9292093842093826E-3</v>
      </c>
      <c r="AK59" s="24">
        <f t="shared" si="15"/>
        <v>1.184299196189174E-3</v>
      </c>
      <c r="AL59" s="25">
        <f t="shared" si="16"/>
        <v>4.6687857103881507E-2</v>
      </c>
      <c r="AM59" s="25">
        <f t="shared" si="17"/>
        <v>6.2452385592546306E-3</v>
      </c>
      <c r="AN59" s="26">
        <f t="shared" si="18"/>
        <v>3.8296175423486144E-2</v>
      </c>
      <c r="AO59" s="78">
        <f t="shared" si="19"/>
        <v>2.6170755267453681E-2</v>
      </c>
      <c r="AP59" s="30"/>
      <c r="AQ59" s="31"/>
      <c r="AR59" s="31"/>
      <c r="AS59" s="29"/>
      <c r="AT59" s="29"/>
    </row>
    <row r="60" spans="1:48">
      <c r="A60" s="206" t="s">
        <v>180</v>
      </c>
      <c r="B60" s="330">
        <v>1346983034.3499999</v>
      </c>
      <c r="C60" s="331">
        <v>1.0215000000000001</v>
      </c>
      <c r="D60" s="330">
        <v>1345332021.28</v>
      </c>
      <c r="E60" s="331">
        <v>1.0232000000000001</v>
      </c>
      <c r="F60" s="23">
        <f>((D60-B60)/B60)</f>
        <v>-1.2257118522629694E-3</v>
      </c>
      <c r="G60" s="23">
        <f>((E60-C60)/C60)</f>
        <v>1.6642192853646939E-3</v>
      </c>
      <c r="H60" s="330">
        <v>1347752761.29</v>
      </c>
      <c r="I60" s="331">
        <v>1.0247999999999999</v>
      </c>
      <c r="J60" s="23">
        <f t="shared" si="34"/>
        <v>1.7993625155051365E-3</v>
      </c>
      <c r="K60" s="23">
        <f t="shared" si="35"/>
        <v>1.5637216575447846E-3</v>
      </c>
      <c r="L60" s="330">
        <v>1392069607.25</v>
      </c>
      <c r="M60" s="331">
        <v>1.0262</v>
      </c>
      <c r="N60" s="23">
        <f t="shared" si="36"/>
        <v>3.288202942918271E-2</v>
      </c>
      <c r="O60" s="23">
        <f t="shared" si="37"/>
        <v>1.3661202185793013E-3</v>
      </c>
      <c r="P60" s="330">
        <v>1390077957.9100001</v>
      </c>
      <c r="Q60" s="331">
        <v>1.0276000000000001</v>
      </c>
      <c r="R60" s="23">
        <f t="shared" si="38"/>
        <v>-1.4307110288359572E-3</v>
      </c>
      <c r="S60" s="23">
        <f t="shared" si="39"/>
        <v>1.3642564802183472E-3</v>
      </c>
      <c r="T60" s="330">
        <v>1388454430.21</v>
      </c>
      <c r="U60" s="331">
        <v>1.0286999999999999</v>
      </c>
      <c r="V60" s="23">
        <f t="shared" si="40"/>
        <v>-1.1679400358531274E-3</v>
      </c>
      <c r="W60" s="23">
        <f t="shared" si="41"/>
        <v>1.0704554301283367E-3</v>
      </c>
      <c r="X60" s="330">
        <v>1376899333.3199999</v>
      </c>
      <c r="Y60" s="331">
        <v>1.0303</v>
      </c>
      <c r="Z60" s="23">
        <f t="shared" si="42"/>
        <v>-8.3222730531043992E-3</v>
      </c>
      <c r="AA60" s="23">
        <f t="shared" si="43"/>
        <v>1.5553611354136734E-3</v>
      </c>
      <c r="AB60" s="330">
        <v>1379199832.27</v>
      </c>
      <c r="AC60" s="331">
        <v>1.0319</v>
      </c>
      <c r="AD60" s="23">
        <f t="shared" si="44"/>
        <v>1.6707822382723149E-3</v>
      </c>
      <c r="AE60" s="23">
        <f t="shared" si="45"/>
        <v>1.552945743958115E-3</v>
      </c>
      <c r="AF60" s="330">
        <v>1376638453.21</v>
      </c>
      <c r="AG60" s="331">
        <v>1.0334000000000001</v>
      </c>
      <c r="AH60" s="23">
        <f t="shared" si="46"/>
        <v>-1.8571486162264213E-3</v>
      </c>
      <c r="AI60" s="23">
        <f t="shared" si="47"/>
        <v>1.453629227638392E-3</v>
      </c>
      <c r="AJ60" s="24">
        <f t="shared" si="14"/>
        <v>2.7935486995846609E-3</v>
      </c>
      <c r="AK60" s="24">
        <f t="shared" si="15"/>
        <v>1.4488386473557055E-3</v>
      </c>
      <c r="AL60" s="25">
        <f t="shared" si="16"/>
        <v>2.3270413128362127E-2</v>
      </c>
      <c r="AM60" s="25">
        <f t="shared" si="17"/>
        <v>9.9687255668490862E-3</v>
      </c>
      <c r="AN60" s="26">
        <f t="shared" si="18"/>
        <v>1.2549606600033885E-2</v>
      </c>
      <c r="AO60" s="78">
        <f t="shared" si="19"/>
        <v>1.8476453875907435E-4</v>
      </c>
      <c r="AP60" s="30"/>
      <c r="AQ60" s="45">
        <v>1198249163.9190199</v>
      </c>
      <c r="AR60" s="45">
        <v>1987.7461478934799</v>
      </c>
      <c r="AS60" s="29" t="e">
        <f>(#REF!/AQ60)-1</f>
        <v>#REF!</v>
      </c>
      <c r="AT60" s="29" t="e">
        <f>(#REF!/AR60)-1</f>
        <v>#REF!</v>
      </c>
    </row>
    <row r="61" spans="1:48">
      <c r="A61" s="206" t="s">
        <v>107</v>
      </c>
      <c r="B61" s="330">
        <v>423189763.33999997</v>
      </c>
      <c r="C61" s="331">
        <v>2.1570999999999998</v>
      </c>
      <c r="D61" s="330">
        <v>423972525.22000003</v>
      </c>
      <c r="E61" s="331">
        <v>2.161</v>
      </c>
      <c r="F61" s="23">
        <f>((D61-B61)/B61)</f>
        <v>1.8496711116595859E-3</v>
      </c>
      <c r="G61" s="23">
        <f>((E61-C61)/C61)</f>
        <v>1.8079829400585216E-3</v>
      </c>
      <c r="H61" s="330">
        <v>420258971.32999998</v>
      </c>
      <c r="I61" s="331">
        <v>2.1648999999999998</v>
      </c>
      <c r="J61" s="23">
        <f t="shared" si="34"/>
        <v>-8.7589493872818197E-3</v>
      </c>
      <c r="K61" s="23">
        <f t="shared" si="35"/>
        <v>1.8047200370198023E-3</v>
      </c>
      <c r="L61" s="330">
        <v>419942820.24000001</v>
      </c>
      <c r="M61" s="331">
        <v>2.1684999999999999</v>
      </c>
      <c r="N61" s="23">
        <f t="shared" si="36"/>
        <v>-7.5227683777801479E-4</v>
      </c>
      <c r="O61" s="23">
        <f t="shared" si="37"/>
        <v>1.6628943600166511E-3</v>
      </c>
      <c r="P61" s="330">
        <v>420675691.13</v>
      </c>
      <c r="Q61" s="331">
        <v>2.1722999999999999</v>
      </c>
      <c r="R61" s="23">
        <f t="shared" si="38"/>
        <v>1.7451682816749796E-3</v>
      </c>
      <c r="S61" s="23">
        <f t="shared" si="39"/>
        <v>1.7523633848282342E-3</v>
      </c>
      <c r="T61" s="330">
        <v>420675691.13</v>
      </c>
      <c r="U61" s="331">
        <v>2.1722999999999999</v>
      </c>
      <c r="V61" s="23">
        <f t="shared" si="40"/>
        <v>0</v>
      </c>
      <c r="W61" s="23">
        <f t="shared" si="41"/>
        <v>0</v>
      </c>
      <c r="X61" s="330">
        <v>422419220.49000001</v>
      </c>
      <c r="Y61" s="331">
        <v>2.1812999999999998</v>
      </c>
      <c r="Z61" s="23">
        <f t="shared" si="42"/>
        <v>4.1445926084215249E-3</v>
      </c>
      <c r="AA61" s="23">
        <f t="shared" si="43"/>
        <v>4.1430741610274354E-3</v>
      </c>
      <c r="AB61" s="330">
        <v>423265978.16000003</v>
      </c>
      <c r="AC61" s="331">
        <v>2.1854</v>
      </c>
      <c r="AD61" s="23">
        <f t="shared" si="44"/>
        <v>2.0045434225691491E-3</v>
      </c>
      <c r="AE61" s="23">
        <f t="shared" si="45"/>
        <v>1.8796130747720235E-3</v>
      </c>
      <c r="AF61" s="330">
        <v>424193315.27999997</v>
      </c>
      <c r="AG61" s="331">
        <v>2.1901999999999999</v>
      </c>
      <c r="AH61" s="23">
        <f t="shared" si="46"/>
        <v>2.1909087142586254E-3</v>
      </c>
      <c r="AI61" s="23">
        <f t="shared" si="47"/>
        <v>2.1963942527683331E-3</v>
      </c>
      <c r="AJ61" s="24">
        <f t="shared" si="14"/>
        <v>3.0295723919050374E-4</v>
      </c>
      <c r="AK61" s="24">
        <f t="shared" si="15"/>
        <v>1.9058802763113752E-3</v>
      </c>
      <c r="AL61" s="25">
        <f t="shared" si="16"/>
        <v>5.2076501864212654E-4</v>
      </c>
      <c r="AM61" s="25">
        <f t="shared" si="17"/>
        <v>1.3512262841277137E-2</v>
      </c>
      <c r="AN61" s="26">
        <f t="shared" si="18"/>
        <v>3.9463123630808393E-3</v>
      </c>
      <c r="AO61" s="78">
        <f t="shared" si="19"/>
        <v>1.1228109697021494E-3</v>
      </c>
      <c r="AP61" s="30"/>
      <c r="AQ61" s="28">
        <v>609639394.97000003</v>
      </c>
      <c r="AR61" s="32">
        <v>1.1629</v>
      </c>
      <c r="AS61" s="29" t="e">
        <f>(#REF!/AQ61)-1</f>
        <v>#REF!</v>
      </c>
      <c r="AT61" s="29" t="e">
        <f>(#REF!/AR61)-1</f>
        <v>#REF!</v>
      </c>
    </row>
    <row r="62" spans="1:48">
      <c r="A62" s="207" t="s">
        <v>18</v>
      </c>
      <c r="B62" s="330">
        <v>2820506775.7290502</v>
      </c>
      <c r="C62" s="330">
        <v>3777.1996313684499</v>
      </c>
      <c r="D62" s="330">
        <v>3326601976.5959201</v>
      </c>
      <c r="E62" s="330">
        <v>3782.0763097295098</v>
      </c>
      <c r="F62" s="23">
        <f>((D62-B62)/B62)</f>
        <v>0.17943413758899884</v>
      </c>
      <c r="G62" s="23">
        <f>((E62-C62)/C62)</f>
        <v>1.291083034256558E-3</v>
      </c>
      <c r="H62" s="330">
        <v>3331413361.9047599</v>
      </c>
      <c r="I62" s="330">
        <v>3787.4354466550499</v>
      </c>
      <c r="J62" s="23">
        <f t="shared" si="34"/>
        <v>1.4463363344006796E-3</v>
      </c>
      <c r="K62" s="23">
        <f t="shared" si="35"/>
        <v>1.416982759378359E-3</v>
      </c>
      <c r="L62" s="330">
        <v>3333864097.5748701</v>
      </c>
      <c r="M62" s="330">
        <v>3792.8899201300201</v>
      </c>
      <c r="N62" s="23">
        <f t="shared" si="36"/>
        <v>7.3564442591687266E-4</v>
      </c>
      <c r="O62" s="23">
        <f t="shared" si="37"/>
        <v>1.4401495554960358E-3</v>
      </c>
      <c r="P62" s="330">
        <v>3330826385.9367399</v>
      </c>
      <c r="Q62" s="330">
        <v>3798.2700165185502</v>
      </c>
      <c r="R62" s="23">
        <f t="shared" si="38"/>
        <v>-9.1116840675655906E-4</v>
      </c>
      <c r="S62" s="23">
        <f t="shared" si="39"/>
        <v>1.4184688988668731E-3</v>
      </c>
      <c r="T62" s="330">
        <v>3335410204.8826299</v>
      </c>
      <c r="U62" s="330">
        <v>3803.6214734905898</v>
      </c>
      <c r="V62" s="23">
        <f t="shared" si="40"/>
        <v>1.3761806875445496E-3</v>
      </c>
      <c r="W62" s="23">
        <f t="shared" si="41"/>
        <v>1.4089195735864763E-3</v>
      </c>
      <c r="X62" s="330">
        <v>3340289973.44666</v>
      </c>
      <c r="Y62" s="330">
        <v>3809.01802943763</v>
      </c>
      <c r="Z62" s="23">
        <f t="shared" si="42"/>
        <v>1.46301901843641E-3</v>
      </c>
      <c r="AA62" s="23">
        <f t="shared" si="43"/>
        <v>1.4187941635758622E-3</v>
      </c>
      <c r="AB62" s="330">
        <v>3341682810.9524202</v>
      </c>
      <c r="AC62" s="330">
        <v>3814.4232717916202</v>
      </c>
      <c r="AD62" s="23">
        <f t="shared" si="44"/>
        <v>4.1698101567002612E-4</v>
      </c>
      <c r="AE62" s="23">
        <f t="shared" si="45"/>
        <v>1.4190645232488438E-3</v>
      </c>
      <c r="AF62" s="330">
        <v>3342075495.10537</v>
      </c>
      <c r="AG62" s="330">
        <v>3819.8758769675501</v>
      </c>
      <c r="AH62" s="23">
        <f t="shared" si="46"/>
        <v>1.1751089949733747E-4</v>
      </c>
      <c r="AI62" s="23">
        <f t="shared" si="47"/>
        <v>1.4294704041507189E-3</v>
      </c>
      <c r="AJ62" s="24">
        <f t="shared" si="14"/>
        <v>2.3009830195463515E-2</v>
      </c>
      <c r="AK62" s="24">
        <f t="shared" si="15"/>
        <v>1.4053666140699658E-3</v>
      </c>
      <c r="AL62" s="25">
        <f t="shared" si="16"/>
        <v>4.6514487210411216E-3</v>
      </c>
      <c r="AM62" s="25">
        <f t="shared" si="17"/>
        <v>9.9943957081986105E-3</v>
      </c>
      <c r="AN62" s="26">
        <f t="shared" si="18"/>
        <v>6.3210167261521122E-2</v>
      </c>
      <c r="AO62" s="78">
        <f t="shared" si="19"/>
        <v>4.7114969333582595E-5</v>
      </c>
      <c r="AP62" s="30"/>
      <c r="AQ62" s="28">
        <v>4056683843.0900002</v>
      </c>
      <c r="AR62" s="35">
        <v>1</v>
      </c>
      <c r="AS62" s="29" t="e">
        <f>(#REF!/AQ62)-1</f>
        <v>#REF!</v>
      </c>
      <c r="AT62" s="29" t="e">
        <f>(#REF!/AR62)-1</f>
        <v>#REF!</v>
      </c>
    </row>
    <row r="63" spans="1:48" ht="15" customHeight="1">
      <c r="A63" s="206" t="s">
        <v>227</v>
      </c>
      <c r="B63" s="330">
        <v>368165213.85000002</v>
      </c>
      <c r="C63" s="331">
        <v>107.75</v>
      </c>
      <c r="D63" s="330">
        <v>368425978.45999998</v>
      </c>
      <c r="E63" s="331">
        <v>107.89</v>
      </c>
      <c r="F63" s="23">
        <f>((D63-B63)/B63)</f>
        <v>7.082815002348291E-4</v>
      </c>
      <c r="G63" s="23">
        <f>((E63-C63)/C63)</f>
        <v>1.2993039443155506E-3</v>
      </c>
      <c r="H63" s="330">
        <v>370987150.94</v>
      </c>
      <c r="I63" s="331">
        <v>108.16</v>
      </c>
      <c r="J63" s="23">
        <f t="shared" si="34"/>
        <v>6.9516609298442443E-3</v>
      </c>
      <c r="K63" s="23">
        <f t="shared" si="35"/>
        <v>2.5025488923903607E-3</v>
      </c>
      <c r="L63" s="330">
        <v>371677224.97000003</v>
      </c>
      <c r="M63" s="331">
        <v>108.33</v>
      </c>
      <c r="N63" s="23">
        <f t="shared" si="36"/>
        <v>1.8601022387204917E-3</v>
      </c>
      <c r="O63" s="23">
        <f t="shared" si="37"/>
        <v>1.5717455621301933E-3</v>
      </c>
      <c r="P63" s="330">
        <v>371001705.38999999</v>
      </c>
      <c r="Q63" s="331">
        <v>108.41</v>
      </c>
      <c r="R63" s="23">
        <f t="shared" si="38"/>
        <v>-1.8174898396170697E-3</v>
      </c>
      <c r="S63" s="23">
        <f t="shared" si="39"/>
        <v>7.3848426105417055E-4</v>
      </c>
      <c r="T63" s="330">
        <v>374111792.54000002</v>
      </c>
      <c r="U63" s="331">
        <v>108.92</v>
      </c>
      <c r="V63" s="23">
        <f t="shared" si="40"/>
        <v>8.3829456975964226E-3</v>
      </c>
      <c r="W63" s="23">
        <f t="shared" si="41"/>
        <v>4.7043630661378578E-3</v>
      </c>
      <c r="X63" s="330">
        <v>375569073.83999997</v>
      </c>
      <c r="Y63" s="331">
        <v>109.19</v>
      </c>
      <c r="Z63" s="23">
        <f t="shared" si="42"/>
        <v>3.895309715061013E-3</v>
      </c>
      <c r="AA63" s="23">
        <f t="shared" si="43"/>
        <v>2.4788835842820055E-3</v>
      </c>
      <c r="AB63" s="330">
        <v>376692688.17000002</v>
      </c>
      <c r="AC63" s="331">
        <v>109.34</v>
      </c>
      <c r="AD63" s="23">
        <f t="shared" si="44"/>
        <v>2.991764786465686E-3</v>
      </c>
      <c r="AE63" s="23">
        <f t="shared" si="45"/>
        <v>1.3737521751076627E-3</v>
      </c>
      <c r="AF63" s="330">
        <v>362121819.01999998</v>
      </c>
      <c r="AG63" s="331">
        <v>105.2</v>
      </c>
      <c r="AH63" s="23">
        <f t="shared" si="46"/>
        <v>-3.868105117937478E-2</v>
      </c>
      <c r="AI63" s="23">
        <f t="shared" si="47"/>
        <v>-3.7863544905798428E-2</v>
      </c>
      <c r="AJ63" s="24">
        <f t="shared" si="14"/>
        <v>-1.9635595188836454E-3</v>
      </c>
      <c r="AK63" s="24">
        <f t="shared" si="15"/>
        <v>-2.8993079275475781E-3</v>
      </c>
      <c r="AL63" s="25">
        <f t="shared" si="16"/>
        <v>-1.7111061131875206E-2</v>
      </c>
      <c r="AM63" s="25">
        <f t="shared" si="17"/>
        <v>-2.4932801927889495E-2</v>
      </c>
      <c r="AN63" s="26">
        <f t="shared" si="18"/>
        <v>1.5191010346221966E-2</v>
      </c>
      <c r="AO63" s="78">
        <f t="shared" si="19"/>
        <v>1.4180116444711231E-2</v>
      </c>
      <c r="AP63" s="30"/>
      <c r="AQ63" s="28">
        <v>739078842.02999997</v>
      </c>
      <c r="AR63" s="32">
        <v>16.871500000000001</v>
      </c>
      <c r="AS63" s="29" t="e">
        <f>(#REF!/AQ63)-1</f>
        <v>#REF!</v>
      </c>
      <c r="AT63" s="29" t="e">
        <f>(#REF!/AR63)-1</f>
        <v>#REF!</v>
      </c>
    </row>
    <row r="64" spans="1:48">
      <c r="A64" s="206" t="s">
        <v>112</v>
      </c>
      <c r="B64" s="330">
        <v>340795618.30000001</v>
      </c>
      <c r="C64" s="331">
        <v>1.3905000000000001</v>
      </c>
      <c r="D64" s="330">
        <v>340097957.56</v>
      </c>
      <c r="E64" s="331">
        <v>1.3875999999999999</v>
      </c>
      <c r="F64" s="23">
        <f>((D64-B64)/B64)</f>
        <v>-2.0471529049586067E-3</v>
      </c>
      <c r="G64" s="23">
        <f>((E64-C64)/C64)</f>
        <v>-2.085580726357515E-3</v>
      </c>
      <c r="H64" s="330">
        <v>339064704.94999999</v>
      </c>
      <c r="I64" s="331">
        <v>1.3834</v>
      </c>
      <c r="J64" s="23">
        <f t="shared" si="34"/>
        <v>-3.0381029554337391E-3</v>
      </c>
      <c r="K64" s="23">
        <f t="shared" si="35"/>
        <v>-3.0268088786393641E-3</v>
      </c>
      <c r="L64" s="330">
        <v>337462591.33999997</v>
      </c>
      <c r="M64" s="331">
        <v>1.377</v>
      </c>
      <c r="N64" s="23">
        <f t="shared" si="36"/>
        <v>-4.72509697002013E-3</v>
      </c>
      <c r="O64" s="23">
        <f t="shared" si="37"/>
        <v>-4.6262830706953603E-3</v>
      </c>
      <c r="P64" s="330">
        <v>338235600.37</v>
      </c>
      <c r="Q64" s="331">
        <v>1.3801000000000001</v>
      </c>
      <c r="R64" s="23">
        <f t="shared" si="38"/>
        <v>2.2906510227713203E-3</v>
      </c>
      <c r="S64" s="23">
        <f t="shared" si="39"/>
        <v>2.2512708787219339E-3</v>
      </c>
      <c r="T64" s="330">
        <v>340787570.67000002</v>
      </c>
      <c r="U64" s="331">
        <v>1.3917999999999999</v>
      </c>
      <c r="V64" s="23">
        <f t="shared" si="40"/>
        <v>7.5449488380536552E-3</v>
      </c>
      <c r="W64" s="23">
        <f t="shared" si="41"/>
        <v>8.4776465473515115E-3</v>
      </c>
      <c r="X64" s="330">
        <v>341383129.22000003</v>
      </c>
      <c r="Y64" s="331">
        <v>1.3942000000000001</v>
      </c>
      <c r="Z64" s="23">
        <f t="shared" si="42"/>
        <v>1.7475946931665479E-3</v>
      </c>
      <c r="AA64" s="23">
        <f t="shared" si="43"/>
        <v>1.7243856875989222E-3</v>
      </c>
      <c r="AB64" s="330">
        <v>342481464.06</v>
      </c>
      <c r="AC64" s="331">
        <v>1.3987000000000001</v>
      </c>
      <c r="AD64" s="23">
        <f t="shared" si="44"/>
        <v>3.2173084900518497E-3</v>
      </c>
      <c r="AE64" s="23">
        <f t="shared" si="45"/>
        <v>3.2276574379572144E-3</v>
      </c>
      <c r="AF64" s="330">
        <v>343261374.44</v>
      </c>
      <c r="AG64" s="331">
        <v>1.4018999999999999</v>
      </c>
      <c r="AH64" s="23">
        <f t="shared" si="46"/>
        <v>2.2772338413718099E-3</v>
      </c>
      <c r="AI64" s="23">
        <f t="shared" si="47"/>
        <v>2.2878387073710371E-3</v>
      </c>
      <c r="AJ64" s="24">
        <f t="shared" si="14"/>
        <v>9.0842300687533841E-4</v>
      </c>
      <c r="AK64" s="24">
        <f t="shared" si="15"/>
        <v>1.0287658229135475E-3</v>
      </c>
      <c r="AL64" s="25">
        <f t="shared" si="16"/>
        <v>9.3014874381946444E-3</v>
      </c>
      <c r="AM64" s="25">
        <f t="shared" si="17"/>
        <v>1.0305563562986437E-2</v>
      </c>
      <c r="AN64" s="26">
        <f t="shared" si="18"/>
        <v>3.9625006040888006E-3</v>
      </c>
      <c r="AO64" s="78">
        <f t="shared" si="19"/>
        <v>4.1749428926043108E-3</v>
      </c>
      <c r="AP64" s="30"/>
      <c r="AQ64" s="36">
        <v>0</v>
      </c>
      <c r="AR64" s="37">
        <v>0</v>
      </c>
      <c r="AS64" s="29" t="e">
        <f>(#REF!/AQ64)-1</f>
        <v>#REF!</v>
      </c>
      <c r="AT64" s="29" t="e">
        <f>(#REF!/AR64)-1</f>
        <v>#REF!</v>
      </c>
    </row>
    <row r="65" spans="1:46">
      <c r="A65" s="206" t="s">
        <v>243</v>
      </c>
      <c r="B65" s="330">
        <v>458389005.96999997</v>
      </c>
      <c r="C65" s="74">
        <v>1000</v>
      </c>
      <c r="D65" s="330">
        <v>457590097.81999999</v>
      </c>
      <c r="E65" s="74">
        <v>1000</v>
      </c>
      <c r="F65" s="23">
        <f>((D65-B65)/B65)</f>
        <v>-1.7428606262259747E-3</v>
      </c>
      <c r="G65" s="23">
        <f>((E65-C65)/C65)</f>
        <v>0</v>
      </c>
      <c r="H65" s="330">
        <v>503295743.56999999</v>
      </c>
      <c r="I65" s="74">
        <v>1000</v>
      </c>
      <c r="J65" s="23">
        <f t="shared" si="34"/>
        <v>9.9883380273624298E-2</v>
      </c>
      <c r="K65" s="23">
        <f t="shared" si="35"/>
        <v>0</v>
      </c>
      <c r="L65" s="330">
        <v>503470300.90999997</v>
      </c>
      <c r="M65" s="74">
        <v>1000</v>
      </c>
      <c r="N65" s="23">
        <f t="shared" si="36"/>
        <v>3.4682856398068418E-4</v>
      </c>
      <c r="O65" s="23">
        <f t="shared" si="37"/>
        <v>0</v>
      </c>
      <c r="P65" s="330">
        <v>528150193.79000002</v>
      </c>
      <c r="Q65" s="74">
        <v>1000</v>
      </c>
      <c r="R65" s="23">
        <f t="shared" si="38"/>
        <v>4.9019560509114948E-2</v>
      </c>
      <c r="S65" s="23">
        <f t="shared" si="39"/>
        <v>0</v>
      </c>
      <c r="T65" s="330">
        <v>532482007.37000006</v>
      </c>
      <c r="U65" s="74">
        <v>1000</v>
      </c>
      <c r="V65" s="23">
        <f t="shared" si="40"/>
        <v>8.2018593023984263E-3</v>
      </c>
      <c r="W65" s="23">
        <f t="shared" si="41"/>
        <v>0</v>
      </c>
      <c r="X65" s="330">
        <v>531561966.30000001</v>
      </c>
      <c r="Y65" s="74">
        <v>1000</v>
      </c>
      <c r="Z65" s="23">
        <f t="shared" si="42"/>
        <v>-1.7278350390546686E-3</v>
      </c>
      <c r="AA65" s="23">
        <f t="shared" si="43"/>
        <v>0</v>
      </c>
      <c r="AB65" s="330">
        <v>538228101.69000006</v>
      </c>
      <c r="AC65" s="74">
        <v>1000</v>
      </c>
      <c r="AD65" s="23">
        <f t="shared" si="44"/>
        <v>1.2540655300078125E-2</v>
      </c>
      <c r="AE65" s="23">
        <f t="shared" si="45"/>
        <v>0</v>
      </c>
      <c r="AF65" s="330">
        <v>538882249.6500001</v>
      </c>
      <c r="AG65" s="74">
        <v>1000</v>
      </c>
      <c r="AH65" s="23">
        <f t="shared" si="46"/>
        <v>1.2153731065807556E-3</v>
      </c>
      <c r="AI65" s="23">
        <f t="shared" si="47"/>
        <v>0</v>
      </c>
      <c r="AJ65" s="24">
        <f t="shared" si="14"/>
        <v>2.0967120173812075E-2</v>
      </c>
      <c r="AK65" s="24">
        <f t="shared" si="15"/>
        <v>0</v>
      </c>
      <c r="AL65" s="25">
        <f t="shared" si="16"/>
        <v>0.17765277749077868</v>
      </c>
      <c r="AM65" s="25">
        <f t="shared" si="17"/>
        <v>0</v>
      </c>
      <c r="AN65" s="26">
        <f t="shared" si="18"/>
        <v>3.604521935930903E-2</v>
      </c>
      <c r="AO65" s="78">
        <f t="shared" si="19"/>
        <v>0</v>
      </c>
      <c r="AP65" s="30"/>
      <c r="AQ65" s="28">
        <v>3320655667.8400002</v>
      </c>
      <c r="AR65" s="32">
        <v>177.09</v>
      </c>
      <c r="AS65" s="29" t="e">
        <f>(#REF!/AQ65)-1</f>
        <v>#REF!</v>
      </c>
      <c r="AT65" s="29" t="e">
        <f>(#REF!/AR65)-1</f>
        <v>#REF!</v>
      </c>
    </row>
    <row r="66" spans="1:46">
      <c r="A66" s="206" t="s">
        <v>103</v>
      </c>
      <c r="B66" s="330">
        <v>365388928.73000002</v>
      </c>
      <c r="C66" s="74">
        <v>1136.72</v>
      </c>
      <c r="D66" s="330">
        <v>366014735.10000002</v>
      </c>
      <c r="E66" s="74">
        <v>1138.07</v>
      </c>
      <c r="F66" s="23">
        <f>((D66-B66)/B66)</f>
        <v>1.7127130046746359E-3</v>
      </c>
      <c r="G66" s="23">
        <f>((E66-C66)/C66)</f>
        <v>1.1876275599971048E-3</v>
      </c>
      <c r="H66" s="330">
        <v>366527868.69999999</v>
      </c>
      <c r="I66" s="74">
        <v>1140.19</v>
      </c>
      <c r="J66" s="23">
        <f t="shared" si="34"/>
        <v>1.4019479293907919E-3</v>
      </c>
      <c r="K66" s="23">
        <f t="shared" si="35"/>
        <v>1.8628028152926606E-3</v>
      </c>
      <c r="L66" s="330">
        <v>367391132.01999998</v>
      </c>
      <c r="M66" s="74">
        <v>1141.69</v>
      </c>
      <c r="N66" s="23">
        <f t="shared" si="36"/>
        <v>2.3552460637217376E-3</v>
      </c>
      <c r="O66" s="23">
        <f t="shared" si="37"/>
        <v>1.3155702119822135E-3</v>
      </c>
      <c r="P66" s="330">
        <v>313116037.93000001</v>
      </c>
      <c r="Q66" s="74">
        <v>1141.69</v>
      </c>
      <c r="R66" s="23">
        <f t="shared" si="38"/>
        <v>-0.14773109462817779</v>
      </c>
      <c r="S66" s="23">
        <f t="shared" si="39"/>
        <v>0</v>
      </c>
      <c r="T66" s="330">
        <v>313935607.06999999</v>
      </c>
      <c r="U66" s="74">
        <v>1148.69</v>
      </c>
      <c r="V66" s="23">
        <f t="shared" si="40"/>
        <v>2.617461390410184E-3</v>
      </c>
      <c r="W66" s="23">
        <f t="shared" si="41"/>
        <v>6.1312615508588141E-3</v>
      </c>
      <c r="X66" s="330">
        <v>314541731.98000002</v>
      </c>
      <c r="Y66" s="74">
        <v>1151.0999999999999</v>
      </c>
      <c r="Z66" s="23">
        <f t="shared" si="42"/>
        <v>1.9307300489328537E-3</v>
      </c>
      <c r="AA66" s="23">
        <f t="shared" si="43"/>
        <v>2.0980421175424654E-3</v>
      </c>
      <c r="AB66" s="330">
        <v>312162311.66000003</v>
      </c>
      <c r="AC66" s="74">
        <v>1153.1600000000001</v>
      </c>
      <c r="AD66" s="23">
        <f t="shared" si="44"/>
        <v>-7.5647206016888312E-3</v>
      </c>
      <c r="AE66" s="23">
        <f t="shared" si="45"/>
        <v>1.7895925636349343E-3</v>
      </c>
      <c r="AF66" s="330">
        <v>312162311.66000003</v>
      </c>
      <c r="AG66" s="74">
        <v>1157.52</v>
      </c>
      <c r="AH66" s="23">
        <f t="shared" si="46"/>
        <v>0</v>
      </c>
      <c r="AI66" s="23">
        <f t="shared" si="47"/>
        <v>3.7809150508167988E-3</v>
      </c>
      <c r="AJ66" s="24">
        <f t="shared" si="14"/>
        <v>-1.8159714599092054E-2</v>
      </c>
      <c r="AK66" s="24">
        <f t="shared" si="15"/>
        <v>2.2707264837656237E-3</v>
      </c>
      <c r="AL66" s="25">
        <f t="shared" si="16"/>
        <v>-0.14713184545777047</v>
      </c>
      <c r="AM66" s="25">
        <f t="shared" si="17"/>
        <v>1.7090337149735998E-2</v>
      </c>
      <c r="AN66" s="26">
        <f t="shared" si="18"/>
        <v>5.2460222064999389E-2</v>
      </c>
      <c r="AO66" s="78">
        <f t="shared" si="19"/>
        <v>1.8842860534020105E-3</v>
      </c>
      <c r="AP66" s="30"/>
      <c r="AQ66" s="46">
        <v>1300500308</v>
      </c>
      <c r="AR66" s="32">
        <v>1.19</v>
      </c>
      <c r="AS66" s="29" t="e">
        <f>(#REF!/AQ66)-1</f>
        <v>#REF!</v>
      </c>
      <c r="AT66" s="29" t="e">
        <f>(#REF!/AR66)-1</f>
        <v>#REF!</v>
      </c>
    </row>
    <row r="67" spans="1:46">
      <c r="A67" s="206" t="s">
        <v>174</v>
      </c>
      <c r="B67" s="330">
        <v>693703744.47000003</v>
      </c>
      <c r="C67" s="315">
        <v>1.0923</v>
      </c>
      <c r="D67" s="330">
        <v>695563931.83000004</v>
      </c>
      <c r="E67" s="315">
        <v>1.0945</v>
      </c>
      <c r="F67" s="23">
        <f>((D67-B67)/B67)</f>
        <v>2.6815299395871435E-3</v>
      </c>
      <c r="G67" s="23">
        <f>((E67-C67)/C67)</f>
        <v>2.0140986908358323E-3</v>
      </c>
      <c r="H67" s="330">
        <v>696719584.15999997</v>
      </c>
      <c r="I67" s="315">
        <v>1.0964</v>
      </c>
      <c r="J67" s="23">
        <f t="shared" si="34"/>
        <v>1.6614609773676016E-3</v>
      </c>
      <c r="K67" s="23">
        <f t="shared" si="35"/>
        <v>1.7359524897213455E-3</v>
      </c>
      <c r="L67" s="330">
        <v>697726554.75</v>
      </c>
      <c r="M67" s="315">
        <v>1.099</v>
      </c>
      <c r="N67" s="23">
        <f t="shared" si="36"/>
        <v>1.4453025476728742E-3</v>
      </c>
      <c r="O67" s="23">
        <f t="shared" si="37"/>
        <v>2.3713973002553227E-3</v>
      </c>
      <c r="P67" s="330">
        <v>699363091.37</v>
      </c>
      <c r="Q67" s="315">
        <v>1.1008</v>
      </c>
      <c r="R67" s="23">
        <f t="shared" si="38"/>
        <v>2.345527210995125E-3</v>
      </c>
      <c r="S67" s="23">
        <f t="shared" si="39"/>
        <v>1.6378525932666276E-3</v>
      </c>
      <c r="T67" s="330">
        <v>701085602.53999996</v>
      </c>
      <c r="U67" s="315">
        <v>1.1026</v>
      </c>
      <c r="V67" s="23">
        <f t="shared" si="40"/>
        <v>2.4629712251838833E-3</v>
      </c>
      <c r="W67" s="23">
        <f t="shared" si="41"/>
        <v>1.6351744186046727E-3</v>
      </c>
      <c r="X67" s="330">
        <v>703767099.83000004</v>
      </c>
      <c r="Y67" s="315">
        <v>1.1048</v>
      </c>
      <c r="Z67" s="23">
        <f t="shared" si="42"/>
        <v>3.8247787150173149E-3</v>
      </c>
      <c r="AA67" s="23">
        <f t="shared" si="43"/>
        <v>1.9952838744784871E-3</v>
      </c>
      <c r="AB67" s="330">
        <v>705652857.17999995</v>
      </c>
      <c r="AC67" s="315">
        <v>1.0418000000000001</v>
      </c>
      <c r="AD67" s="23">
        <f t="shared" si="44"/>
        <v>2.6795190489231776E-3</v>
      </c>
      <c r="AE67" s="23">
        <f t="shared" si="45"/>
        <v>-5.7023895727733476E-2</v>
      </c>
      <c r="AF67" s="330">
        <v>707276606.19000006</v>
      </c>
      <c r="AG67" s="315">
        <v>1.0438000000000001</v>
      </c>
      <c r="AH67" s="23">
        <f t="shared" si="46"/>
        <v>2.3010592155597539E-3</v>
      </c>
      <c r="AI67" s="23">
        <f t="shared" si="47"/>
        <v>1.9197542714532556E-3</v>
      </c>
      <c r="AJ67" s="24">
        <f t="shared" si="14"/>
        <v>2.4252686100383596E-3</v>
      </c>
      <c r="AK67" s="24">
        <f t="shared" si="15"/>
        <v>-5.4642977611397414E-3</v>
      </c>
      <c r="AL67" s="25">
        <f t="shared" si="16"/>
        <v>1.6839105399246983E-2</v>
      </c>
      <c r="AM67" s="25">
        <f t="shared" si="17"/>
        <v>-4.6322521699406087E-2</v>
      </c>
      <c r="AN67" s="26">
        <f t="shared" si="18"/>
        <v>7.2268205055242335E-4</v>
      </c>
      <c r="AO67" s="78">
        <f t="shared" si="19"/>
        <v>2.0834630869320664E-2</v>
      </c>
      <c r="AP67" s="30"/>
      <c r="AQ67" s="31">
        <v>776682398.99000001</v>
      </c>
      <c r="AR67" s="35">
        <v>2.4700000000000002</v>
      </c>
      <c r="AS67" s="29" t="e">
        <f>(#REF!/AQ67)-1</f>
        <v>#REF!</v>
      </c>
      <c r="AT67" s="29" t="e">
        <f>(#REF!/AR67)-1</f>
        <v>#REF!</v>
      </c>
    </row>
    <row r="68" spans="1:46">
      <c r="A68" s="206" t="s">
        <v>215</v>
      </c>
      <c r="B68" s="330">
        <v>64168047203.940002</v>
      </c>
      <c r="C68" s="330">
        <v>1510.32</v>
      </c>
      <c r="D68" s="330">
        <v>64319937726.480003</v>
      </c>
      <c r="E68" s="330">
        <v>1513.38</v>
      </c>
      <c r="F68" s="23">
        <f>((D68-B68)/B68)</f>
        <v>2.367074099313944E-3</v>
      </c>
      <c r="G68" s="23">
        <f>((E68-C68)/C68)</f>
        <v>2.0260607023678246E-3</v>
      </c>
      <c r="H68" s="330">
        <v>63676589046.669998</v>
      </c>
      <c r="I68" s="330">
        <v>1516.24</v>
      </c>
      <c r="J68" s="23">
        <f t="shared" si="34"/>
        <v>-1.000232124828603E-2</v>
      </c>
      <c r="K68" s="23">
        <f t="shared" si="35"/>
        <v>1.8898095653437337E-3</v>
      </c>
      <c r="L68" s="330">
        <v>63774472441.470001</v>
      </c>
      <c r="M68" s="330">
        <v>1520.03</v>
      </c>
      <c r="N68" s="23">
        <f t="shared" si="36"/>
        <v>1.5371959501201001E-3</v>
      </c>
      <c r="O68" s="23">
        <f t="shared" si="37"/>
        <v>2.4996042842821476E-3</v>
      </c>
      <c r="P68" s="330">
        <v>64415746721.839996</v>
      </c>
      <c r="Q68" s="330">
        <v>1522.85</v>
      </c>
      <c r="R68" s="23">
        <f t="shared" si="38"/>
        <v>1.0055344337948611E-2</v>
      </c>
      <c r="S68" s="23">
        <f t="shared" si="39"/>
        <v>1.8552265415813743E-3</v>
      </c>
      <c r="T68" s="330">
        <v>65135460613.57</v>
      </c>
      <c r="U68" s="330">
        <v>1526.63</v>
      </c>
      <c r="V68" s="23">
        <f t="shared" si="40"/>
        <v>1.1172949602491935E-2</v>
      </c>
      <c r="W68" s="23">
        <f t="shared" si="41"/>
        <v>2.4821880027581181E-3</v>
      </c>
      <c r="X68" s="330">
        <v>65196292622.389999</v>
      </c>
      <c r="Y68" s="330">
        <v>1529.95</v>
      </c>
      <c r="Z68" s="23">
        <f t="shared" si="42"/>
        <v>9.339307382947447E-4</v>
      </c>
      <c r="AA68" s="23">
        <f t="shared" si="43"/>
        <v>2.1747247204626768E-3</v>
      </c>
      <c r="AB68" s="330">
        <v>66292805221.339996</v>
      </c>
      <c r="AC68" s="330">
        <v>1533.3</v>
      </c>
      <c r="AD68" s="23">
        <f t="shared" si="44"/>
        <v>1.681863423279114E-2</v>
      </c>
      <c r="AE68" s="23">
        <f t="shared" si="45"/>
        <v>2.1896140396744398E-3</v>
      </c>
      <c r="AF68" s="330">
        <v>66728090200.639999</v>
      </c>
      <c r="AG68" s="330">
        <v>1536.72</v>
      </c>
      <c r="AH68" s="23">
        <f t="shared" si="46"/>
        <v>6.5660968463570552E-3</v>
      </c>
      <c r="AI68" s="23">
        <f t="shared" si="47"/>
        <v>2.230483271375512E-3</v>
      </c>
      <c r="AJ68" s="24">
        <f t="shared" si="14"/>
        <v>4.9311130698789377E-3</v>
      </c>
      <c r="AK68" s="24">
        <f t="shared" si="15"/>
        <v>2.1684638909807282E-3</v>
      </c>
      <c r="AL68" s="25">
        <f t="shared" si="16"/>
        <v>3.7440217750219912E-2</v>
      </c>
      <c r="AM68" s="25">
        <f t="shared" si="17"/>
        <v>1.5422431907386061E-2</v>
      </c>
      <c r="AN68" s="26">
        <f t="shared" si="18"/>
        <v>8.1616043338987275E-3</v>
      </c>
      <c r="AO68" s="78">
        <f t="shared" si="19"/>
        <v>2.4155870244503869E-4</v>
      </c>
      <c r="AP68" s="30"/>
      <c r="AQ68" s="28">
        <v>8144502990.9799995</v>
      </c>
      <c r="AR68" s="28">
        <v>2263.5700000000002</v>
      </c>
      <c r="AS68" s="29" t="e">
        <f>(#REF!/AQ68)-1</f>
        <v>#REF!</v>
      </c>
      <c r="AT68" s="29" t="e">
        <f>(#REF!/AR68)-1</f>
        <v>#REF!</v>
      </c>
    </row>
    <row r="69" spans="1:46">
      <c r="A69" s="206" t="s">
        <v>178</v>
      </c>
      <c r="B69" s="330">
        <v>21266499.98</v>
      </c>
      <c r="C69" s="330">
        <v>0.63439999999999996</v>
      </c>
      <c r="D69" s="330">
        <v>21328124.23</v>
      </c>
      <c r="E69" s="330">
        <v>0.63629999999999998</v>
      </c>
      <c r="F69" s="23">
        <f>((D69-B69)/B69)</f>
        <v>2.8977147183577123E-3</v>
      </c>
      <c r="G69" s="23">
        <f>((E69-C69)/C69)</f>
        <v>2.9949558638083431E-3</v>
      </c>
      <c r="H69" s="330">
        <v>21373812.640000001</v>
      </c>
      <c r="I69" s="330">
        <v>0.63759999999999994</v>
      </c>
      <c r="J69" s="23">
        <f t="shared" si="34"/>
        <v>2.1421672861289473E-3</v>
      </c>
      <c r="K69" s="23">
        <f t="shared" si="35"/>
        <v>2.0430614490019928E-3</v>
      </c>
      <c r="L69" s="330">
        <v>21421835.140000001</v>
      </c>
      <c r="M69" s="330">
        <v>0.6391</v>
      </c>
      <c r="N69" s="23">
        <f t="shared" si="36"/>
        <v>2.2467914736993781E-3</v>
      </c>
      <c r="O69" s="23">
        <f t="shared" si="37"/>
        <v>2.3525721455458859E-3</v>
      </c>
      <c r="P69" s="330">
        <v>21442406.440000001</v>
      </c>
      <c r="Q69" s="330">
        <v>0.63970000000000005</v>
      </c>
      <c r="R69" s="23">
        <f t="shared" si="38"/>
        <v>9.6029587874051504E-4</v>
      </c>
      <c r="S69" s="23">
        <f t="shared" si="39"/>
        <v>9.3882021592871993E-4</v>
      </c>
      <c r="T69" s="330">
        <v>21256349.329999998</v>
      </c>
      <c r="U69" s="330">
        <v>0.63970000000000005</v>
      </c>
      <c r="V69" s="23">
        <f t="shared" si="40"/>
        <v>-8.6770629276441934E-3</v>
      </c>
      <c r="W69" s="23">
        <f t="shared" si="41"/>
        <v>0</v>
      </c>
      <c r="X69" s="330">
        <v>21256349.329999998</v>
      </c>
      <c r="Y69" s="330">
        <v>0.63560000000000005</v>
      </c>
      <c r="Z69" s="23">
        <f t="shared" si="42"/>
        <v>0</v>
      </c>
      <c r="AA69" s="23">
        <f t="shared" si="43"/>
        <v>-6.4092543379709113E-3</v>
      </c>
      <c r="AB69" s="330">
        <v>21343973.510000002</v>
      </c>
      <c r="AC69" s="330">
        <v>0.63670000000000004</v>
      </c>
      <c r="AD69" s="23">
        <f t="shared" si="44"/>
        <v>4.1222591254809525E-3</v>
      </c>
      <c r="AE69" s="23">
        <f t="shared" si="45"/>
        <v>1.7306482064191155E-3</v>
      </c>
      <c r="AF69" s="330">
        <v>21385156.890000001</v>
      </c>
      <c r="AG69" s="330">
        <v>0.63800000000000001</v>
      </c>
      <c r="AH69" s="23">
        <f t="shared" si="46"/>
        <v>1.9295085791173733E-3</v>
      </c>
      <c r="AI69" s="23">
        <f t="shared" si="47"/>
        <v>2.0417779173864735E-3</v>
      </c>
      <c r="AJ69" s="24">
        <f t="shared" si="14"/>
        <v>7.0270926673508555E-4</v>
      </c>
      <c r="AK69" s="24">
        <f t="shared" si="15"/>
        <v>7.1157268251495248E-4</v>
      </c>
      <c r="AL69" s="25">
        <f t="shared" si="16"/>
        <v>2.6740588804231732E-3</v>
      </c>
      <c r="AM69" s="25">
        <f t="shared" si="17"/>
        <v>2.6716957410027266E-3</v>
      </c>
      <c r="AN69" s="26">
        <f t="shared" si="18"/>
        <v>3.9823344476058098E-3</v>
      </c>
      <c r="AO69" s="78">
        <f t="shared" si="19"/>
        <v>3.0178444482181657E-3</v>
      </c>
      <c r="AP69" s="30"/>
      <c r="AQ69" s="28"/>
      <c r="AR69" s="28"/>
      <c r="AS69" s="29"/>
      <c r="AT69" s="29"/>
    </row>
    <row r="70" spans="1:46">
      <c r="A70" s="206" t="s">
        <v>106</v>
      </c>
      <c r="B70" s="330">
        <v>786291758.03999996</v>
      </c>
      <c r="C70" s="331">
        <v>200.799667</v>
      </c>
      <c r="D70" s="330">
        <v>999353843.46000004</v>
      </c>
      <c r="E70" s="331">
        <v>201.56763100000001</v>
      </c>
      <c r="F70" s="23">
        <f>((D70-B70)/B70)</f>
        <v>0.27097077292416594</v>
      </c>
      <c r="G70" s="23">
        <f>((E70-C70)/C70)</f>
        <v>3.8245282548202949E-3</v>
      </c>
      <c r="H70" s="330">
        <v>789656823.55999994</v>
      </c>
      <c r="I70" s="331">
        <v>200.332033</v>
      </c>
      <c r="J70" s="23">
        <f t="shared" si="34"/>
        <v>-0.20983260460977393</v>
      </c>
      <c r="K70" s="23">
        <f t="shared" si="35"/>
        <v>-6.1299425600731009E-3</v>
      </c>
      <c r="L70" s="330">
        <v>790952271.98000002</v>
      </c>
      <c r="M70" s="331">
        <v>200.87907000000001</v>
      </c>
      <c r="N70" s="23">
        <f t="shared" si="36"/>
        <v>1.6405207697184486E-3</v>
      </c>
      <c r="O70" s="23">
        <f t="shared" si="37"/>
        <v>2.7306516676742221E-3</v>
      </c>
      <c r="P70" s="330">
        <v>793597828.27999997</v>
      </c>
      <c r="Q70" s="331">
        <v>201.634435</v>
      </c>
      <c r="R70" s="23">
        <f t="shared" si="38"/>
        <v>3.3447736275885528E-3</v>
      </c>
      <c r="S70" s="23">
        <f t="shared" si="39"/>
        <v>3.7602971777994758E-3</v>
      </c>
      <c r="T70" s="330">
        <v>794419420.58000004</v>
      </c>
      <c r="U70" s="331">
        <v>202.07501300000001</v>
      </c>
      <c r="V70" s="23">
        <f t="shared" si="40"/>
        <v>1.0352753885185715E-3</v>
      </c>
      <c r="W70" s="23">
        <f t="shared" si="41"/>
        <v>2.1850335236638344E-3</v>
      </c>
      <c r="X70" s="330">
        <v>757080412.45000005</v>
      </c>
      <c r="Y70" s="331">
        <v>200.50473099999999</v>
      </c>
      <c r="Z70" s="23">
        <f t="shared" si="42"/>
        <v>-4.7001630577886741E-2</v>
      </c>
      <c r="AA70" s="23">
        <f t="shared" si="43"/>
        <v>-7.7707875738205201E-3</v>
      </c>
      <c r="AB70" s="330">
        <v>742098925.64999998</v>
      </c>
      <c r="AC70" s="331">
        <v>202.98336800000001</v>
      </c>
      <c r="AD70" s="23">
        <f t="shared" si="44"/>
        <v>-1.9788501397781832E-2</v>
      </c>
      <c r="AE70" s="23">
        <f t="shared" si="45"/>
        <v>1.2361987608162824E-2</v>
      </c>
      <c r="AF70" s="330">
        <v>745411120.92999995</v>
      </c>
      <c r="AG70" s="331">
        <v>204.46580700000001</v>
      </c>
      <c r="AH70" s="23">
        <f t="shared" si="46"/>
        <v>4.4632799826503445E-3</v>
      </c>
      <c r="AI70" s="23">
        <f t="shared" si="47"/>
        <v>7.3032535355310457E-3</v>
      </c>
      <c r="AJ70" s="24">
        <f t="shared" ref="AJ70:AJ133" si="48">AVERAGE(F70,J70,N70,R70,V70,Z70,AD70,AH70)</f>
        <v>6.039857633999172E-4</v>
      </c>
      <c r="AK70" s="24">
        <f t="shared" ref="AK70:AK133" si="49">AVERAGE(G70,K70,O70,S70,W70,AA70,AE70,AI70)</f>
        <v>2.2831277042197591E-3</v>
      </c>
      <c r="AL70" s="25">
        <f t="shared" ref="AL70:AL133" si="50">((AF70-D70)/D70)</f>
        <v>-0.254106915375229</v>
      </c>
      <c r="AM70" s="25">
        <f t="shared" ref="AM70:AM133" si="51">((AG70-E70)/E70)</f>
        <v>1.437818158412551E-2</v>
      </c>
      <c r="AN70" s="26">
        <f t="shared" ref="AN70:AN133" si="52">STDEV(F70,J70,N70,R70,V70,Z70,AD70,AH70)</f>
        <v>0.13097850035838593</v>
      </c>
      <c r="AO70" s="78">
        <f t="shared" ref="AO70:AO133" si="53">STDEV(G70,K70,O70,S70,W70,AA70,AE70,AI70)</f>
        <v>6.5836799250944631E-3</v>
      </c>
      <c r="AP70" s="30"/>
      <c r="AQ70" s="28">
        <v>421796041.39999998</v>
      </c>
      <c r="AR70" s="28">
        <v>2004.5</v>
      </c>
      <c r="AS70" s="29" t="e">
        <f>(#REF!/AQ70)-1</f>
        <v>#REF!</v>
      </c>
      <c r="AT70" s="29" t="e">
        <f>(#REF!/AR70)-1</f>
        <v>#REF!</v>
      </c>
    </row>
    <row r="71" spans="1:46">
      <c r="A71" s="206" t="s">
        <v>113</v>
      </c>
      <c r="B71" s="330">
        <v>1425107169.76</v>
      </c>
      <c r="C71" s="331">
        <v>3.53</v>
      </c>
      <c r="D71" s="330">
        <v>1411626638.6099999</v>
      </c>
      <c r="E71" s="331">
        <v>3.53</v>
      </c>
      <c r="F71" s="23">
        <f>((D71-B71)/B71)</f>
        <v>-9.4593104547150159E-3</v>
      </c>
      <c r="G71" s="23">
        <f>((E71-C71)/C71)</f>
        <v>0</v>
      </c>
      <c r="H71" s="330">
        <v>1412833667.97</v>
      </c>
      <c r="I71" s="331">
        <v>3.54</v>
      </c>
      <c r="J71" s="23">
        <f t="shared" si="34"/>
        <v>8.55062753129022E-4</v>
      </c>
      <c r="K71" s="23">
        <f t="shared" si="35"/>
        <v>2.8328611898017653E-3</v>
      </c>
      <c r="L71" s="330">
        <v>1414466170.78</v>
      </c>
      <c r="M71" s="331">
        <v>3.54</v>
      </c>
      <c r="N71" s="23">
        <f t="shared" si="36"/>
        <v>1.1554812480832012E-3</v>
      </c>
      <c r="O71" s="23">
        <f t="shared" si="37"/>
        <v>0</v>
      </c>
      <c r="P71" s="330">
        <v>1401759105.8099999</v>
      </c>
      <c r="Q71" s="331">
        <v>3.54</v>
      </c>
      <c r="R71" s="23">
        <f t="shared" si="38"/>
        <v>-8.9836471401735854E-3</v>
      </c>
      <c r="S71" s="23">
        <f t="shared" si="39"/>
        <v>0</v>
      </c>
      <c r="T71" s="330">
        <v>1353876211.78</v>
      </c>
      <c r="U71" s="331">
        <v>3.55</v>
      </c>
      <c r="V71" s="23">
        <f t="shared" si="40"/>
        <v>-3.4159146055506497E-2</v>
      </c>
      <c r="W71" s="23">
        <f t="shared" si="41"/>
        <v>2.8248587570620866E-3</v>
      </c>
      <c r="X71" s="330">
        <v>1355220008.55</v>
      </c>
      <c r="Y71" s="331">
        <v>3.55</v>
      </c>
      <c r="Z71" s="23">
        <f t="shared" si="42"/>
        <v>9.9255512306640863E-4</v>
      </c>
      <c r="AA71" s="23">
        <f t="shared" si="43"/>
        <v>0</v>
      </c>
      <c r="AB71" s="330">
        <v>1355564768.8499999</v>
      </c>
      <c r="AC71" s="331">
        <v>3.56</v>
      </c>
      <c r="AD71" s="23">
        <f t="shared" si="44"/>
        <v>2.5439434027307796E-4</v>
      </c>
      <c r="AE71" s="23">
        <f t="shared" si="45"/>
        <v>2.8169014084507694E-3</v>
      </c>
      <c r="AF71" s="330">
        <v>1356912544.1400001</v>
      </c>
      <c r="AG71" s="331">
        <v>3.56</v>
      </c>
      <c r="AH71" s="23">
        <f t="shared" si="46"/>
        <v>9.9425370219941023E-4</v>
      </c>
      <c r="AI71" s="23">
        <f t="shared" si="47"/>
        <v>0</v>
      </c>
      <c r="AJ71" s="24">
        <f t="shared" si="48"/>
        <v>-6.043794560455497E-3</v>
      </c>
      <c r="AK71" s="24">
        <f t="shared" si="49"/>
        <v>1.0593276694143277E-3</v>
      </c>
      <c r="AL71" s="25">
        <f t="shared" si="50"/>
        <v>-3.8759607514828175E-2</v>
      </c>
      <c r="AM71" s="25">
        <f t="shared" si="51"/>
        <v>8.4985835694051694E-3</v>
      </c>
      <c r="AN71" s="26">
        <f t="shared" si="52"/>
        <v>1.2241129731657063E-2</v>
      </c>
      <c r="AO71" s="78">
        <f t="shared" si="53"/>
        <v>1.4620173036631382E-3</v>
      </c>
      <c r="AP71" s="30"/>
      <c r="AQ71" s="28"/>
      <c r="AR71" s="28"/>
      <c r="AS71" s="29"/>
      <c r="AT71" s="29"/>
    </row>
    <row r="72" spans="1:46">
      <c r="A72" s="206" t="s">
        <v>86</v>
      </c>
      <c r="B72" s="330">
        <v>15583760859.870001</v>
      </c>
      <c r="C72" s="330">
        <v>1182.93</v>
      </c>
      <c r="D72" s="330">
        <v>15651466057.75</v>
      </c>
      <c r="E72" s="330">
        <v>1184.77</v>
      </c>
      <c r="F72" s="23">
        <f>((D72-B72)/B72)</f>
        <v>4.3445993870675935E-3</v>
      </c>
      <c r="G72" s="23">
        <f>((E72-C72)/C72)</f>
        <v>1.555459748252152E-3</v>
      </c>
      <c r="H72" s="330">
        <v>15651466057.75</v>
      </c>
      <c r="I72" s="330">
        <v>1184.77</v>
      </c>
      <c r="J72" s="23">
        <f t="shared" si="34"/>
        <v>0</v>
      </c>
      <c r="K72" s="23">
        <f t="shared" si="35"/>
        <v>0</v>
      </c>
      <c r="L72" s="330">
        <v>15818105182.459999</v>
      </c>
      <c r="M72" s="330">
        <v>1169.45</v>
      </c>
      <c r="N72" s="23">
        <f t="shared" si="36"/>
        <v>1.0646870018127525E-2</v>
      </c>
      <c r="O72" s="23">
        <f t="shared" si="37"/>
        <v>-1.2930779813803469E-2</v>
      </c>
      <c r="P72" s="330">
        <v>15908141027.219999</v>
      </c>
      <c r="Q72" s="330">
        <v>1171.44</v>
      </c>
      <c r="R72" s="23">
        <f t="shared" si="38"/>
        <v>5.691948796739385E-3</v>
      </c>
      <c r="S72" s="23">
        <f t="shared" si="39"/>
        <v>1.70165462396854E-3</v>
      </c>
      <c r="T72" s="330">
        <v>15891519879.780001</v>
      </c>
      <c r="U72" s="330">
        <v>1170.21</v>
      </c>
      <c r="V72" s="23">
        <f t="shared" si="40"/>
        <v>-1.044820222020827E-3</v>
      </c>
      <c r="W72" s="23">
        <f t="shared" si="41"/>
        <v>-1.0499897561975159E-3</v>
      </c>
      <c r="X72" s="330">
        <v>15911278976.85</v>
      </c>
      <c r="Y72" s="330">
        <v>1175.8</v>
      </c>
      <c r="Z72" s="23">
        <f t="shared" si="42"/>
        <v>1.2433736495614061E-3</v>
      </c>
      <c r="AA72" s="23">
        <f t="shared" si="43"/>
        <v>4.7769203818117415E-3</v>
      </c>
      <c r="AB72" s="330">
        <v>15915159275.120001</v>
      </c>
      <c r="AC72" s="330">
        <v>1177.8599999999999</v>
      </c>
      <c r="AD72" s="23">
        <f t="shared" si="44"/>
        <v>2.4387092173080928E-4</v>
      </c>
      <c r="AE72" s="23">
        <f t="shared" si="45"/>
        <v>1.7519986392243116E-3</v>
      </c>
      <c r="AF72" s="330">
        <v>16286957930.43</v>
      </c>
      <c r="AG72" s="330">
        <v>1179.81</v>
      </c>
      <c r="AH72" s="23">
        <f t="shared" si="46"/>
        <v>2.3361290256845142E-2</v>
      </c>
      <c r="AI72" s="23">
        <f t="shared" si="47"/>
        <v>1.6555448015893618E-3</v>
      </c>
      <c r="AJ72" s="24">
        <f t="shared" si="48"/>
        <v>5.5608916010063793E-3</v>
      </c>
      <c r="AK72" s="24">
        <f t="shared" si="49"/>
        <v>-3.1739892189435966E-4</v>
      </c>
      <c r="AL72" s="25">
        <f t="shared" si="50"/>
        <v>4.0602705863795378E-2</v>
      </c>
      <c r="AM72" s="25">
        <f t="shared" si="51"/>
        <v>-4.1864665715708842E-3</v>
      </c>
      <c r="AN72" s="26">
        <f t="shared" si="52"/>
        <v>8.1564043702424278E-3</v>
      </c>
      <c r="AO72" s="78">
        <f t="shared" si="53"/>
        <v>5.3645128672470928E-3</v>
      </c>
      <c r="AP72" s="30"/>
      <c r="AQ72" s="28"/>
      <c r="AR72" s="28"/>
      <c r="AS72" s="29"/>
      <c r="AT72" s="29"/>
    </row>
    <row r="73" spans="1:46">
      <c r="A73" s="206" t="s">
        <v>17</v>
      </c>
      <c r="B73" s="330">
        <v>1533857195.3299999</v>
      </c>
      <c r="C73" s="331">
        <v>331.26679999999999</v>
      </c>
      <c r="D73" s="330">
        <v>1536963040.5899999</v>
      </c>
      <c r="E73" s="331">
        <v>331.91590000000002</v>
      </c>
      <c r="F73" s="23">
        <f>((D73-B73)/B73)</f>
        <v>2.0248594650506477E-3</v>
      </c>
      <c r="G73" s="23">
        <f>((E73-C73)/C73)</f>
        <v>1.9594477925346963E-3</v>
      </c>
      <c r="H73" s="330">
        <v>1540008604.6199999</v>
      </c>
      <c r="I73" s="331">
        <v>332.5736</v>
      </c>
      <c r="J73" s="23">
        <f t="shared" si="34"/>
        <v>1.9815466927759428E-3</v>
      </c>
      <c r="K73" s="23">
        <f t="shared" si="35"/>
        <v>1.9815260431934024E-3</v>
      </c>
      <c r="L73" s="330">
        <v>1991555396.0899999</v>
      </c>
      <c r="M73" s="331">
        <v>102.56</v>
      </c>
      <c r="N73" s="23">
        <f t="shared" si="36"/>
        <v>0.29321056396397216</v>
      </c>
      <c r="O73" s="23">
        <f t="shared" si="37"/>
        <v>-0.69161713377129153</v>
      </c>
      <c r="P73" s="330">
        <v>2004722365.72</v>
      </c>
      <c r="Q73" s="331">
        <v>101.72</v>
      </c>
      <c r="R73" s="23">
        <f t="shared" si="38"/>
        <v>6.6114001427480702E-3</v>
      </c>
      <c r="S73" s="23">
        <f t="shared" si="39"/>
        <v>-8.1903276131045574E-3</v>
      </c>
      <c r="T73" s="330">
        <v>2014224540.49</v>
      </c>
      <c r="U73" s="331">
        <v>102.98</v>
      </c>
      <c r="V73" s="23">
        <f t="shared" si="40"/>
        <v>4.7398956246927767E-3</v>
      </c>
      <c r="W73" s="23">
        <f t="shared" si="41"/>
        <v>1.238694455367681E-2</v>
      </c>
      <c r="X73" s="330">
        <v>2080171735.4400001</v>
      </c>
      <c r="Y73" s="331">
        <v>103.17</v>
      </c>
      <c r="Z73" s="23">
        <f t="shared" si="42"/>
        <v>3.2740736508928191E-2</v>
      </c>
      <c r="AA73" s="23">
        <f t="shared" si="43"/>
        <v>1.8450184501844797E-3</v>
      </c>
      <c r="AB73" s="330">
        <v>2180810306</v>
      </c>
      <c r="AC73" s="331">
        <v>103.36</v>
      </c>
      <c r="AD73" s="23">
        <f t="shared" si="44"/>
        <v>4.8379933659041266E-2</v>
      </c>
      <c r="AE73" s="23">
        <f t="shared" si="45"/>
        <v>1.8416206261509908E-3</v>
      </c>
      <c r="AF73" s="330">
        <v>2185516775</v>
      </c>
      <c r="AG73" s="331">
        <v>103.56</v>
      </c>
      <c r="AH73" s="23">
        <f t="shared" si="46"/>
        <v>2.1581285575601092E-3</v>
      </c>
      <c r="AI73" s="23">
        <f t="shared" si="47"/>
        <v>1.9349845201238666E-3</v>
      </c>
      <c r="AJ73" s="24">
        <f t="shared" si="48"/>
        <v>4.8980883076846143E-2</v>
      </c>
      <c r="AK73" s="24">
        <f t="shared" si="49"/>
        <v>-8.4732239924816474E-2</v>
      </c>
      <c r="AL73" s="25">
        <f t="shared" si="50"/>
        <v>0.42197093702463873</v>
      </c>
      <c r="AM73" s="25">
        <f t="shared" si="51"/>
        <v>-0.68799325371276276</v>
      </c>
      <c r="AN73" s="26">
        <f t="shared" si="52"/>
        <v>0.10019328085296643</v>
      </c>
      <c r="AO73" s="78">
        <f t="shared" si="53"/>
        <v>0.24528020810965392</v>
      </c>
      <c r="AP73" s="30"/>
      <c r="AQ73" s="28"/>
      <c r="AR73" s="28"/>
      <c r="AS73" s="29"/>
      <c r="AT73" s="29"/>
    </row>
    <row r="74" spans="1:46">
      <c r="A74" s="206" t="s">
        <v>225</v>
      </c>
      <c r="B74" s="330">
        <v>1931307706.05</v>
      </c>
      <c r="C74" s="331">
        <v>102.09</v>
      </c>
      <c r="D74" s="330">
        <v>1833627805.4200001</v>
      </c>
      <c r="E74" s="331">
        <v>102.27</v>
      </c>
      <c r="F74" s="23">
        <f>((D74-B74)/B74)</f>
        <v>-5.057707807202786E-2</v>
      </c>
      <c r="G74" s="23">
        <f>((E74-C74)/C74)</f>
        <v>1.7631501616220257E-3</v>
      </c>
      <c r="H74" s="330">
        <v>2004548680.4000001</v>
      </c>
      <c r="I74" s="331">
        <v>102.45</v>
      </c>
      <c r="J74" s="23">
        <f t="shared" si="34"/>
        <v>9.3214595936414638E-2</v>
      </c>
      <c r="K74" s="23">
        <f t="shared" si="35"/>
        <v>1.760046934584989E-3</v>
      </c>
      <c r="L74" s="330">
        <v>1543143523.01</v>
      </c>
      <c r="M74" s="331">
        <v>333.25060000000002</v>
      </c>
      <c r="N74" s="23">
        <f t="shared" si="36"/>
        <v>-0.23017907317567785</v>
      </c>
      <c r="O74" s="23">
        <f t="shared" si="37"/>
        <v>2.252812103465105</v>
      </c>
      <c r="P74" s="330">
        <v>1545672328.24</v>
      </c>
      <c r="Q74" s="331">
        <v>333.76</v>
      </c>
      <c r="R74" s="23">
        <f t="shared" si="38"/>
        <v>1.6387362499292503E-3</v>
      </c>
      <c r="S74" s="23">
        <f t="shared" si="39"/>
        <v>1.528579393405356E-3</v>
      </c>
      <c r="T74" s="330">
        <v>1549372595.52</v>
      </c>
      <c r="U74" s="331">
        <v>334.55900000000003</v>
      </c>
      <c r="V74" s="23">
        <f t="shared" si="40"/>
        <v>2.3939532411849083E-3</v>
      </c>
      <c r="W74" s="23">
        <f t="shared" si="41"/>
        <v>2.3939357622244578E-3</v>
      </c>
      <c r="X74" s="330">
        <v>1552767234.51</v>
      </c>
      <c r="Y74" s="331">
        <v>335.15839999999997</v>
      </c>
      <c r="Z74" s="23">
        <f t="shared" si="42"/>
        <v>2.1909765280576049E-3</v>
      </c>
      <c r="AA74" s="23">
        <f t="shared" si="43"/>
        <v>1.7916122417867878E-3</v>
      </c>
      <c r="AB74" s="330">
        <v>1555885335.6700001</v>
      </c>
      <c r="AC74" s="331">
        <v>335.8014</v>
      </c>
      <c r="AD74" s="23">
        <f t="shared" si="44"/>
        <v>2.0080930938654509E-3</v>
      </c>
      <c r="AE74" s="23">
        <f t="shared" si="45"/>
        <v>1.9184958515138786E-3</v>
      </c>
      <c r="AF74" s="330">
        <v>1559022409.8199999</v>
      </c>
      <c r="AG74" s="331">
        <v>336.4341</v>
      </c>
      <c r="AH74" s="23">
        <f t="shared" si="46"/>
        <v>2.0162630741994625E-3</v>
      </c>
      <c r="AI74" s="23">
        <f t="shared" si="47"/>
        <v>1.8841493811520733E-3</v>
      </c>
      <c r="AJ74" s="24">
        <f t="shared" si="48"/>
        <v>-2.2161691640506798E-2</v>
      </c>
      <c r="AK74" s="24">
        <f t="shared" si="49"/>
        <v>0.28323150914892425</v>
      </c>
      <c r="AL74" s="25">
        <f t="shared" si="50"/>
        <v>-0.14976070650123058</v>
      </c>
      <c r="AM74" s="25">
        <f t="shared" si="51"/>
        <v>2.2896655910824291</v>
      </c>
      <c r="AN74" s="26">
        <f t="shared" si="52"/>
        <v>9.2829796202033979E-2</v>
      </c>
      <c r="AO74" s="78">
        <f t="shared" si="53"/>
        <v>0.79583077757841048</v>
      </c>
      <c r="AP74" s="30"/>
      <c r="AQ74" s="28"/>
      <c r="AR74" s="28"/>
      <c r="AS74" s="29"/>
      <c r="AT74" s="29"/>
    </row>
    <row r="75" spans="1:46" s="88" customFormat="1">
      <c r="A75" s="207" t="s">
        <v>92</v>
      </c>
      <c r="B75" s="330">
        <v>52843655.850000001</v>
      </c>
      <c r="C75" s="330">
        <v>11.72</v>
      </c>
      <c r="D75" s="330">
        <v>52920166.770000003</v>
      </c>
      <c r="E75" s="330">
        <v>11.741146000000001</v>
      </c>
      <c r="F75" s="23">
        <f>((D75-B75)/B75)</f>
        <v>1.4478733306640022E-3</v>
      </c>
      <c r="G75" s="23">
        <f>((E75-C75)/C75)</f>
        <v>1.8042662116040859E-3</v>
      </c>
      <c r="H75" s="330">
        <v>53001570.979999997</v>
      </c>
      <c r="I75" s="330">
        <v>11.76</v>
      </c>
      <c r="J75" s="23">
        <f t="shared" si="34"/>
        <v>1.5382455303625537E-3</v>
      </c>
      <c r="K75" s="23">
        <f t="shared" si="35"/>
        <v>1.605805770578039E-3</v>
      </c>
      <c r="L75" s="330">
        <v>53078036.479999997</v>
      </c>
      <c r="M75" s="330">
        <v>11.789804999999999</v>
      </c>
      <c r="N75" s="23">
        <f t="shared" si="36"/>
        <v>1.4427025196829366E-3</v>
      </c>
      <c r="O75" s="23">
        <f t="shared" si="37"/>
        <v>2.5344387755101734E-3</v>
      </c>
      <c r="P75" s="330">
        <v>53019660.119999997</v>
      </c>
      <c r="Q75" s="330">
        <v>11.786987</v>
      </c>
      <c r="R75" s="23">
        <f t="shared" si="38"/>
        <v>-1.0998213926394175E-3</v>
      </c>
      <c r="S75" s="23">
        <f t="shared" si="39"/>
        <v>-2.3902006861008671E-4</v>
      </c>
      <c r="T75" s="330">
        <v>68232218.510000005</v>
      </c>
      <c r="U75" s="330">
        <v>15.14</v>
      </c>
      <c r="V75" s="23">
        <f t="shared" si="40"/>
        <v>0.28692297075404205</v>
      </c>
      <c r="W75" s="23">
        <f t="shared" si="41"/>
        <v>0.28446735370116222</v>
      </c>
      <c r="X75" s="330">
        <v>53101176.450000003</v>
      </c>
      <c r="Y75" s="330">
        <v>11.818387</v>
      </c>
      <c r="Z75" s="23">
        <f t="shared" si="42"/>
        <v>-0.22175802561340463</v>
      </c>
      <c r="AA75" s="23">
        <f t="shared" si="43"/>
        <v>-0.21939319682959055</v>
      </c>
      <c r="AB75" s="330">
        <v>96156931.060000002</v>
      </c>
      <c r="AC75" s="330">
        <v>21.393173000000001</v>
      </c>
      <c r="AD75" s="23">
        <f t="shared" si="44"/>
        <v>0.81082487222371125</v>
      </c>
      <c r="AE75" s="23">
        <f t="shared" si="45"/>
        <v>0.81016013437366718</v>
      </c>
      <c r="AF75" s="330">
        <v>96115700.5</v>
      </c>
      <c r="AG75" s="330">
        <v>21.398900000000001</v>
      </c>
      <c r="AH75" s="23">
        <f t="shared" si="46"/>
        <v>-4.2878406731050242E-4</v>
      </c>
      <c r="AI75" s="23">
        <f t="shared" si="47"/>
        <v>2.6770222444329596E-4</v>
      </c>
      <c r="AJ75" s="24">
        <f t="shared" si="48"/>
        <v>0.10986125416063852</v>
      </c>
      <c r="AK75" s="24">
        <f t="shared" si="49"/>
        <v>0.11015093551984555</v>
      </c>
      <c r="AL75" s="25">
        <f t="shared" si="50"/>
        <v>0.81623956171066303</v>
      </c>
      <c r="AM75" s="25">
        <f t="shared" si="51"/>
        <v>0.82255633308707687</v>
      </c>
      <c r="AN75" s="26">
        <f t="shared" si="52"/>
        <v>0.31450422721456528</v>
      </c>
      <c r="AO75" s="78">
        <f t="shared" si="53"/>
        <v>0.31358777555933132</v>
      </c>
      <c r="AP75" s="30"/>
      <c r="AQ75" s="28"/>
      <c r="AR75" s="28"/>
      <c r="AS75" s="29"/>
      <c r="AT75" s="29"/>
    </row>
    <row r="76" spans="1:46" s="88" customFormat="1">
      <c r="A76" s="206" t="s">
        <v>35</v>
      </c>
      <c r="B76" s="330">
        <v>6726909090.79</v>
      </c>
      <c r="C76" s="331">
        <v>1.02</v>
      </c>
      <c r="D76" s="330">
        <v>6602679460.8900003</v>
      </c>
      <c r="E76" s="331">
        <v>1.02</v>
      </c>
      <c r="F76" s="23">
        <f>((D76-B76)/B76)</f>
        <v>-1.8467564853832483E-2</v>
      </c>
      <c r="G76" s="23">
        <f>((E76-C76)/C76)</f>
        <v>0</v>
      </c>
      <c r="H76" s="330">
        <v>6663181285.5500002</v>
      </c>
      <c r="I76" s="331">
        <v>1.03</v>
      </c>
      <c r="J76" s="23">
        <f t="shared" si="34"/>
        <v>9.1632230548784766E-3</v>
      </c>
      <c r="K76" s="23">
        <f t="shared" si="35"/>
        <v>9.8039215686274595E-3</v>
      </c>
      <c r="L76" s="330">
        <v>6586060803.3999996</v>
      </c>
      <c r="M76" s="331">
        <v>1.03</v>
      </c>
      <c r="N76" s="23">
        <f t="shared" si="36"/>
        <v>-1.1574123357148733E-2</v>
      </c>
      <c r="O76" s="23">
        <f t="shared" si="37"/>
        <v>0</v>
      </c>
      <c r="P76" s="330">
        <v>6594407376.3299999</v>
      </c>
      <c r="Q76" s="331">
        <v>1.03</v>
      </c>
      <c r="R76" s="23">
        <f t="shared" si="38"/>
        <v>1.2673088176913666E-3</v>
      </c>
      <c r="S76" s="23">
        <f t="shared" si="39"/>
        <v>0</v>
      </c>
      <c r="T76" s="330">
        <v>6660003986.04</v>
      </c>
      <c r="U76" s="331">
        <v>1.04</v>
      </c>
      <c r="V76" s="23">
        <f t="shared" si="40"/>
        <v>9.9473092829316014E-3</v>
      </c>
      <c r="W76" s="23">
        <f t="shared" si="41"/>
        <v>9.7087378640776777E-3</v>
      </c>
      <c r="X76" s="330">
        <v>6755116533.3999996</v>
      </c>
      <c r="Y76" s="331">
        <v>1.04</v>
      </c>
      <c r="Z76" s="23">
        <f t="shared" si="42"/>
        <v>1.4281154719931787E-2</v>
      </c>
      <c r="AA76" s="23">
        <f t="shared" si="43"/>
        <v>0</v>
      </c>
      <c r="AB76" s="330">
        <v>6821437756.9899998</v>
      </c>
      <c r="AC76" s="331">
        <v>1.04</v>
      </c>
      <c r="AD76" s="23">
        <f t="shared" si="44"/>
        <v>9.8179244224850127E-3</v>
      </c>
      <c r="AE76" s="23">
        <f t="shared" si="45"/>
        <v>0</v>
      </c>
      <c r="AF76" s="330">
        <v>6816381535.5600004</v>
      </c>
      <c r="AG76" s="331">
        <v>1.04</v>
      </c>
      <c r="AH76" s="23">
        <f t="shared" si="46"/>
        <v>-7.4122518010491078E-4</v>
      </c>
      <c r="AI76" s="23">
        <f t="shared" si="47"/>
        <v>0</v>
      </c>
      <c r="AJ76" s="24">
        <f t="shared" si="48"/>
        <v>1.7117508633540147E-3</v>
      </c>
      <c r="AK76" s="24">
        <f t="shared" si="49"/>
        <v>2.4390824290881422E-3</v>
      </c>
      <c r="AL76" s="25">
        <f t="shared" si="50"/>
        <v>3.2365962324209865E-2</v>
      </c>
      <c r="AM76" s="25">
        <f t="shared" si="51"/>
        <v>1.9607843137254919E-2</v>
      </c>
      <c r="AN76" s="26">
        <f t="shared" si="52"/>
        <v>1.1569557839448998E-2</v>
      </c>
      <c r="AO76" s="78">
        <f t="shared" si="53"/>
        <v>4.516374719840211E-3</v>
      </c>
      <c r="AP76" s="30"/>
      <c r="AQ76" s="28"/>
      <c r="AR76" s="28"/>
      <c r="AS76" s="29"/>
      <c r="AT76" s="29"/>
    </row>
    <row r="77" spans="1:46" s="88" customFormat="1">
      <c r="A77" s="207" t="s">
        <v>69</v>
      </c>
      <c r="B77" s="330">
        <v>37036343649.5</v>
      </c>
      <c r="C77" s="330">
        <v>4661.43</v>
      </c>
      <c r="D77" s="330">
        <v>32044636277.84</v>
      </c>
      <c r="E77" s="330">
        <v>4669.12</v>
      </c>
      <c r="F77" s="23">
        <f>((D77-B77)/B77)</f>
        <v>-0.13477862228787774</v>
      </c>
      <c r="G77" s="23">
        <f>((E77-C77)/C77)</f>
        <v>1.649708351299837E-3</v>
      </c>
      <c r="H77" s="330">
        <v>32213780290.040001</v>
      </c>
      <c r="I77" s="330">
        <v>4677.2700000000004</v>
      </c>
      <c r="J77" s="23">
        <f t="shared" si="34"/>
        <v>5.2783876444548643E-3</v>
      </c>
      <c r="K77" s="23">
        <f t="shared" si="35"/>
        <v>1.7455109313961831E-3</v>
      </c>
      <c r="L77" s="330">
        <v>32321415970.709999</v>
      </c>
      <c r="M77" s="330">
        <v>4686.95</v>
      </c>
      <c r="N77" s="23">
        <f t="shared" si="36"/>
        <v>3.3412930646726192E-3</v>
      </c>
      <c r="O77" s="23">
        <f t="shared" si="37"/>
        <v>2.0695833253157035E-3</v>
      </c>
      <c r="P77" s="330">
        <v>32348534741.830002</v>
      </c>
      <c r="Q77" s="330">
        <v>4691.49</v>
      </c>
      <c r="R77" s="23">
        <f t="shared" si="38"/>
        <v>8.3903412971071743E-4</v>
      </c>
      <c r="S77" s="23">
        <f t="shared" si="39"/>
        <v>9.6864698791324078E-4</v>
      </c>
      <c r="T77" s="330">
        <v>32287027760.279999</v>
      </c>
      <c r="U77" s="330">
        <v>4698.83</v>
      </c>
      <c r="V77" s="23">
        <f t="shared" si="40"/>
        <v>-1.9013838506406339E-3</v>
      </c>
      <c r="W77" s="23">
        <f t="shared" si="41"/>
        <v>1.5645349345304255E-3</v>
      </c>
      <c r="X77" s="330">
        <v>32079223039.369999</v>
      </c>
      <c r="Y77" s="330">
        <v>4707.3599999999997</v>
      </c>
      <c r="Z77" s="23">
        <f t="shared" si="42"/>
        <v>-6.4361675671380453E-3</v>
      </c>
      <c r="AA77" s="23">
        <f t="shared" si="43"/>
        <v>1.8153455221831276E-3</v>
      </c>
      <c r="AB77" s="330">
        <v>32114586818.380001</v>
      </c>
      <c r="AC77" s="330">
        <v>4715.96</v>
      </c>
      <c r="AD77" s="23">
        <f t="shared" si="44"/>
        <v>1.1023888878668004E-3</v>
      </c>
      <c r="AE77" s="23">
        <f t="shared" si="45"/>
        <v>1.8269263451277074E-3</v>
      </c>
      <c r="AF77" s="330">
        <v>31296332331.400002</v>
      </c>
      <c r="AG77" s="330">
        <v>4720.1899999999996</v>
      </c>
      <c r="AH77" s="23">
        <f t="shared" si="46"/>
        <v>-2.5479215772182737E-2</v>
      </c>
      <c r="AI77" s="23">
        <f t="shared" si="47"/>
        <v>8.969541726392004E-4</v>
      </c>
      <c r="AJ77" s="24">
        <f t="shared" si="48"/>
        <v>-1.9754285718891765E-2</v>
      </c>
      <c r="AK77" s="24">
        <f t="shared" si="49"/>
        <v>1.5671513213006783E-3</v>
      </c>
      <c r="AL77" s="25">
        <f t="shared" si="50"/>
        <v>-2.3351925106963291E-2</v>
      </c>
      <c r="AM77" s="25">
        <f t="shared" si="51"/>
        <v>1.0937821259680562E-2</v>
      </c>
      <c r="AN77" s="26">
        <f t="shared" si="52"/>
        <v>4.7477208662344811E-2</v>
      </c>
      <c r="AO77" s="78">
        <f t="shared" si="53"/>
        <v>4.1876138063298663E-4</v>
      </c>
      <c r="AP77" s="30"/>
      <c r="AQ77" s="28"/>
      <c r="AR77" s="28"/>
      <c r="AS77" s="29"/>
      <c r="AT77" s="29"/>
    </row>
    <row r="78" spans="1:46" s="105" customFormat="1" ht="15.75" customHeight="1">
      <c r="A78" s="206" t="s">
        <v>16</v>
      </c>
      <c r="B78" s="330">
        <v>41959766006.419998</v>
      </c>
      <c r="C78" s="331">
        <v>247.28</v>
      </c>
      <c r="D78" s="330">
        <v>41859566309.639999</v>
      </c>
      <c r="E78" s="331">
        <v>247.56</v>
      </c>
      <c r="F78" s="23">
        <f>((D78-B78)/B78)</f>
        <v>-2.3879946509870399E-3</v>
      </c>
      <c r="G78" s="23">
        <f>((E78-C78)/C78)</f>
        <v>1.1323196376577206E-3</v>
      </c>
      <c r="H78" s="330">
        <v>41849252258.809998</v>
      </c>
      <c r="I78" s="331">
        <v>247.81</v>
      </c>
      <c r="J78" s="23">
        <f t="shared" si="34"/>
        <v>-2.4639650477283059E-4</v>
      </c>
      <c r="K78" s="23">
        <f t="shared" si="35"/>
        <v>1.0098561964776217E-3</v>
      </c>
      <c r="L78" s="330">
        <v>41880981512.400002</v>
      </c>
      <c r="M78" s="331">
        <v>248.13</v>
      </c>
      <c r="N78" s="23">
        <f t="shared" si="36"/>
        <v>7.5817970160564597E-4</v>
      </c>
      <c r="O78" s="23">
        <f t="shared" si="37"/>
        <v>1.2913118921754295E-3</v>
      </c>
      <c r="P78" s="330">
        <v>41256414330</v>
      </c>
      <c r="Q78" s="331">
        <v>248.21</v>
      </c>
      <c r="R78" s="23">
        <f t="shared" si="38"/>
        <v>-1.4912907000880136E-2</v>
      </c>
      <c r="S78" s="23">
        <f t="shared" si="39"/>
        <v>3.2241163906022047E-4</v>
      </c>
      <c r="T78" s="330">
        <v>40829332961.010002</v>
      </c>
      <c r="U78" s="331">
        <v>248.38</v>
      </c>
      <c r="V78" s="23">
        <f t="shared" si="40"/>
        <v>-1.0351878027350563E-2</v>
      </c>
      <c r="W78" s="23">
        <f t="shared" si="41"/>
        <v>6.8490391200994114E-4</v>
      </c>
      <c r="X78" s="330">
        <v>40603770319.120003</v>
      </c>
      <c r="Y78" s="331">
        <v>248.58</v>
      </c>
      <c r="Z78" s="23">
        <f t="shared" si="42"/>
        <v>-5.5245242949572698E-3</v>
      </c>
      <c r="AA78" s="23">
        <f t="shared" si="43"/>
        <v>8.052178114180572E-4</v>
      </c>
      <c r="AB78" s="330">
        <v>40527889205.389999</v>
      </c>
      <c r="AC78" s="331">
        <v>248.87</v>
      </c>
      <c r="AD78" s="23">
        <f t="shared" si="44"/>
        <v>-1.8688194010956546E-3</v>
      </c>
      <c r="AE78" s="23">
        <f t="shared" si="45"/>
        <v>1.1666264381687667E-3</v>
      </c>
      <c r="AF78" s="330">
        <v>40608967761.57</v>
      </c>
      <c r="AG78" s="331">
        <v>249.03</v>
      </c>
      <c r="AH78" s="23">
        <f t="shared" si="46"/>
        <v>2.0005620270304447E-3</v>
      </c>
      <c r="AI78" s="23">
        <f t="shared" si="47"/>
        <v>6.4290593482539714E-4</v>
      </c>
      <c r="AJ78" s="24">
        <f t="shared" si="48"/>
        <v>-4.0667222689259258E-3</v>
      </c>
      <c r="AK78" s="24">
        <f t="shared" si="49"/>
        <v>8.8194418272414426E-4</v>
      </c>
      <c r="AL78" s="25">
        <f t="shared" si="50"/>
        <v>-2.9876051242843253E-2</v>
      </c>
      <c r="AM78" s="25">
        <f t="shared" si="51"/>
        <v>5.93795443528841E-3</v>
      </c>
      <c r="AN78" s="26">
        <f t="shared" si="52"/>
        <v>5.8749286077550821E-3</v>
      </c>
      <c r="AO78" s="78">
        <f t="shared" si="53"/>
        <v>3.2570868129939675E-4</v>
      </c>
      <c r="AP78" s="30"/>
      <c r="AQ78" s="28"/>
      <c r="AR78" s="28"/>
      <c r="AS78" s="29"/>
      <c r="AT78" s="29"/>
    </row>
    <row r="79" spans="1:46" s="105" customFormat="1" ht="15.75" customHeight="1">
      <c r="A79" s="207" t="s">
        <v>70</v>
      </c>
      <c r="B79" s="330">
        <v>248114061.63</v>
      </c>
      <c r="C79" s="330">
        <v>4402.25</v>
      </c>
      <c r="D79" s="330">
        <v>248816723.06999999</v>
      </c>
      <c r="E79" s="330">
        <v>4414.7</v>
      </c>
      <c r="F79" s="23">
        <f>((D79-B79)/B79)</f>
        <v>2.8320097433568326E-3</v>
      </c>
      <c r="G79" s="23">
        <f>((E79-C79)/C79)</f>
        <v>2.8280992674200281E-3</v>
      </c>
      <c r="H79" s="330">
        <v>248407157.61000001</v>
      </c>
      <c r="I79" s="330">
        <v>4407.3500000000004</v>
      </c>
      <c r="J79" s="23">
        <f t="shared" si="34"/>
        <v>-1.6460527851448106E-3</v>
      </c>
      <c r="K79" s="23">
        <f t="shared" si="35"/>
        <v>-1.6648922916618241E-3</v>
      </c>
      <c r="L79" s="330">
        <v>247897615.19999999</v>
      </c>
      <c r="M79" s="330">
        <v>4398.22</v>
      </c>
      <c r="N79" s="23">
        <f t="shared" si="36"/>
        <v>-2.0512388407100948E-3</v>
      </c>
      <c r="O79" s="23">
        <f t="shared" si="37"/>
        <v>-2.0715395872803631E-3</v>
      </c>
      <c r="P79" s="330">
        <v>248877469.30000001</v>
      </c>
      <c r="Q79" s="330">
        <v>4415.63</v>
      </c>
      <c r="R79" s="23">
        <f t="shared" si="38"/>
        <v>3.9526564191006541E-3</v>
      </c>
      <c r="S79" s="23">
        <f t="shared" si="39"/>
        <v>3.958419542451231E-3</v>
      </c>
      <c r="T79" s="330">
        <v>250022980.03999999</v>
      </c>
      <c r="U79" s="330">
        <v>4435.9799999999996</v>
      </c>
      <c r="V79" s="23">
        <f t="shared" si="40"/>
        <v>4.6027096917285303E-3</v>
      </c>
      <c r="W79" s="23">
        <f t="shared" si="41"/>
        <v>4.6086288932721837E-3</v>
      </c>
      <c r="X79" s="330">
        <v>251502426.25</v>
      </c>
      <c r="Y79" s="330">
        <v>4462.28</v>
      </c>
      <c r="Z79" s="23">
        <f t="shared" si="42"/>
        <v>5.9172409262673326E-3</v>
      </c>
      <c r="AA79" s="23">
        <f t="shared" si="43"/>
        <v>5.9287913831893259E-3</v>
      </c>
      <c r="AB79" s="330">
        <v>251564123.09999999</v>
      </c>
      <c r="AC79" s="330">
        <v>4463.32</v>
      </c>
      <c r="AD79" s="23">
        <f t="shared" si="44"/>
        <v>2.453131403935871E-4</v>
      </c>
      <c r="AE79" s="23">
        <f t="shared" si="45"/>
        <v>2.3306471131349078E-4</v>
      </c>
      <c r="AF79" s="330">
        <v>252413526.38999999</v>
      </c>
      <c r="AG79" s="330">
        <v>4478.3999999999996</v>
      </c>
      <c r="AH79" s="23">
        <f t="shared" si="46"/>
        <v>3.3764881873173261E-3</v>
      </c>
      <c r="AI79" s="23">
        <f t="shared" si="47"/>
        <v>3.3786508697561295E-3</v>
      </c>
      <c r="AJ79" s="24">
        <f t="shared" si="48"/>
        <v>2.15364081028867E-3</v>
      </c>
      <c r="AK79" s="24">
        <f t="shared" si="49"/>
        <v>2.1499028485575254E-3</v>
      </c>
      <c r="AL79" s="25">
        <f t="shared" si="50"/>
        <v>1.4455633349805425E-2</v>
      </c>
      <c r="AM79" s="25">
        <f t="shared" si="51"/>
        <v>1.4429066527736838E-2</v>
      </c>
      <c r="AN79" s="26">
        <f t="shared" si="52"/>
        <v>2.9547787031201709E-3</v>
      </c>
      <c r="AO79" s="78">
        <f t="shared" si="53"/>
        <v>2.9668006741198688E-3</v>
      </c>
      <c r="AP79" s="30"/>
      <c r="AQ79" s="28"/>
      <c r="AR79" s="28"/>
      <c r="AS79" s="29"/>
      <c r="AT79" s="29"/>
    </row>
    <row r="80" spans="1:46" s="289" customFormat="1" ht="15.75" customHeight="1">
      <c r="A80" s="206" t="s">
        <v>169</v>
      </c>
      <c r="B80" s="330">
        <v>19660167052.049999</v>
      </c>
      <c r="C80" s="331">
        <v>117.27</v>
      </c>
      <c r="D80" s="330">
        <v>19716459192.169998</v>
      </c>
      <c r="E80" s="331">
        <v>117.48</v>
      </c>
      <c r="F80" s="23">
        <f>((D80-B80)/B80)</f>
        <v>2.8632584845777929E-3</v>
      </c>
      <c r="G80" s="23">
        <f>((E80-C80)/C80)</f>
        <v>1.7907393195191266E-3</v>
      </c>
      <c r="H80" s="330">
        <v>19464382442.799999</v>
      </c>
      <c r="I80" s="331">
        <v>117.66</v>
      </c>
      <c r="J80" s="23">
        <f t="shared" si="34"/>
        <v>-1.2785092237560901E-2</v>
      </c>
      <c r="K80" s="23">
        <f t="shared" si="35"/>
        <v>1.5321756894789973E-3</v>
      </c>
      <c r="L80" s="330">
        <v>19575287918.790001</v>
      </c>
      <c r="M80" s="331">
        <v>117.9</v>
      </c>
      <c r="N80" s="23">
        <f t="shared" si="36"/>
        <v>5.6978676983931919E-3</v>
      </c>
      <c r="O80" s="23">
        <f t="shared" si="37"/>
        <v>2.0397756246813624E-3</v>
      </c>
      <c r="P80" s="330">
        <v>19623366148.799999</v>
      </c>
      <c r="Q80" s="331">
        <v>117.9</v>
      </c>
      <c r="R80" s="23">
        <f t="shared" si="38"/>
        <v>2.4560675791567188E-3</v>
      </c>
      <c r="S80" s="23">
        <f t="shared" si="39"/>
        <v>0</v>
      </c>
      <c r="T80" s="330">
        <v>19442758991.52</v>
      </c>
      <c r="U80" s="331">
        <v>118.33</v>
      </c>
      <c r="V80" s="23">
        <f t="shared" si="40"/>
        <v>-9.2036787119239068E-3</v>
      </c>
      <c r="W80" s="23">
        <f t="shared" si="41"/>
        <v>3.6471586089906072E-3</v>
      </c>
      <c r="X80" s="330">
        <v>19932872774.810001</v>
      </c>
      <c r="Y80" s="331">
        <v>118.54</v>
      </c>
      <c r="Z80" s="23">
        <f t="shared" si="42"/>
        <v>2.5208036755676757E-2</v>
      </c>
      <c r="AA80" s="23">
        <f t="shared" si="43"/>
        <v>1.7746978788135549E-3</v>
      </c>
      <c r="AB80" s="330">
        <v>19942192679.689999</v>
      </c>
      <c r="AC80" s="331">
        <v>118.76</v>
      </c>
      <c r="AD80" s="23">
        <f t="shared" si="44"/>
        <v>4.6756455957393174E-4</v>
      </c>
      <c r="AE80" s="23">
        <f t="shared" si="45"/>
        <v>1.8559136156571525E-3</v>
      </c>
      <c r="AF80" s="330">
        <v>19587138388.970001</v>
      </c>
      <c r="AG80" s="331">
        <v>118.83</v>
      </c>
      <c r="AH80" s="23">
        <f t="shared" si="46"/>
        <v>-1.7804175118696964E-2</v>
      </c>
      <c r="AI80" s="23">
        <f t="shared" si="47"/>
        <v>5.8942404850112137E-4</v>
      </c>
      <c r="AJ80" s="24">
        <f t="shared" si="48"/>
        <v>-3.8751887385042225E-4</v>
      </c>
      <c r="AK80" s="24">
        <f t="shared" si="49"/>
        <v>1.6537355982052403E-3</v>
      </c>
      <c r="AL80" s="25">
        <f t="shared" si="50"/>
        <v>-6.5590277615036555E-3</v>
      </c>
      <c r="AM80" s="25">
        <f t="shared" si="51"/>
        <v>1.1491317671092903E-2</v>
      </c>
      <c r="AN80" s="26">
        <f t="shared" si="52"/>
        <v>1.3343342465685547E-2</v>
      </c>
      <c r="AO80" s="78">
        <f t="shared" si="53"/>
        <v>1.0743381591013701E-3</v>
      </c>
      <c r="AP80" s="30"/>
      <c r="AQ80" s="28"/>
      <c r="AR80" s="28"/>
      <c r="AS80" s="29"/>
      <c r="AT80" s="29"/>
    </row>
    <row r="81" spans="1:46" s="289" customFormat="1" ht="15.75" customHeight="1">
      <c r="A81" s="206" t="s">
        <v>64</v>
      </c>
      <c r="B81" s="330">
        <v>15026247728.280001</v>
      </c>
      <c r="C81" s="331">
        <v>337.15</v>
      </c>
      <c r="D81" s="330">
        <v>14957015967.440001</v>
      </c>
      <c r="E81" s="331">
        <v>337.54</v>
      </c>
      <c r="F81" s="23">
        <f>((D81-B81)/B81)</f>
        <v>-4.6073884905879197E-3</v>
      </c>
      <c r="G81" s="23">
        <f>((E81-C81)/C81)</f>
        <v>1.1567551534926389E-3</v>
      </c>
      <c r="H81" s="330">
        <v>14889598657.879999</v>
      </c>
      <c r="I81" s="331">
        <v>337.9</v>
      </c>
      <c r="J81" s="23">
        <f t="shared" si="34"/>
        <v>-4.5074037299126001E-3</v>
      </c>
      <c r="K81" s="23">
        <f t="shared" si="35"/>
        <v>1.0665402618947584E-3</v>
      </c>
      <c r="L81" s="330">
        <v>14919937285.01</v>
      </c>
      <c r="M81" s="331">
        <v>338.34</v>
      </c>
      <c r="N81" s="23">
        <f t="shared" si="36"/>
        <v>2.0375718531503201E-3</v>
      </c>
      <c r="O81" s="23">
        <f t="shared" si="37"/>
        <v>1.302160402485936E-3</v>
      </c>
      <c r="P81" s="330">
        <v>14889597778.9</v>
      </c>
      <c r="Q81" s="331">
        <v>338.58</v>
      </c>
      <c r="R81" s="23">
        <f t="shared" si="38"/>
        <v>-2.0334875093933934E-3</v>
      </c>
      <c r="S81" s="23">
        <f t="shared" si="39"/>
        <v>7.0934562865759029E-4</v>
      </c>
      <c r="T81" s="330">
        <v>14917564432.26</v>
      </c>
      <c r="U81" s="331">
        <v>339.03</v>
      </c>
      <c r="V81" s="23">
        <f t="shared" si="40"/>
        <v>1.8782678871038453E-3</v>
      </c>
      <c r="W81" s="23">
        <f t="shared" si="41"/>
        <v>1.3290802764486639E-3</v>
      </c>
      <c r="X81" s="330">
        <v>14916045769.65</v>
      </c>
      <c r="Y81" s="331">
        <v>339.32</v>
      </c>
      <c r="Z81" s="23">
        <f t="shared" si="42"/>
        <v>-1.0180365681655273E-4</v>
      </c>
      <c r="AA81" s="23">
        <f t="shared" si="43"/>
        <v>8.5538152965820282E-4</v>
      </c>
      <c r="AB81" s="330">
        <v>14885535672.709999</v>
      </c>
      <c r="AC81" s="331">
        <v>339.72</v>
      </c>
      <c r="AD81" s="23">
        <f t="shared" si="44"/>
        <v>-2.0454547680512007E-3</v>
      </c>
      <c r="AE81" s="23">
        <f t="shared" si="45"/>
        <v>1.1788282447248442E-3</v>
      </c>
      <c r="AF81" s="330">
        <v>14862305342.799999</v>
      </c>
      <c r="AG81" s="331">
        <v>339.99</v>
      </c>
      <c r="AH81" s="23">
        <f t="shared" si="46"/>
        <v>-1.5605975102789586E-3</v>
      </c>
      <c r="AI81" s="23">
        <f t="shared" si="47"/>
        <v>7.9477216531255673E-4</v>
      </c>
      <c r="AJ81" s="24">
        <f t="shared" si="48"/>
        <v>-1.3675369905983075E-3</v>
      </c>
      <c r="AK81" s="24">
        <f t="shared" si="49"/>
        <v>1.0491079578343989E-3</v>
      </c>
      <c r="AL81" s="25">
        <f t="shared" si="50"/>
        <v>-6.3321871719718226E-3</v>
      </c>
      <c r="AM81" s="25">
        <f t="shared" si="51"/>
        <v>7.2583990045623882E-3</v>
      </c>
      <c r="AN81" s="26">
        <f t="shared" si="52"/>
        <v>2.5362467282948149E-3</v>
      </c>
      <c r="AO81" s="78">
        <f t="shared" si="53"/>
        <v>2.3567358188287003E-4</v>
      </c>
      <c r="AP81" s="30"/>
      <c r="AQ81" s="28"/>
      <c r="AR81" s="28"/>
      <c r="AS81" s="29"/>
      <c r="AT81" s="29"/>
    </row>
    <row r="82" spans="1:46" s="292" customFormat="1" ht="15.75" customHeight="1">
      <c r="A82" s="206" t="s">
        <v>252</v>
      </c>
      <c r="B82" s="330">
        <v>56191792.5</v>
      </c>
      <c r="C82" s="74">
        <v>104.0162</v>
      </c>
      <c r="D82" s="330">
        <v>56796798.340000004</v>
      </c>
      <c r="E82" s="74">
        <v>104.18989999999999</v>
      </c>
      <c r="F82" s="23">
        <f>((D82-B82)/B82)</f>
        <v>1.0766800863311195E-2</v>
      </c>
      <c r="G82" s="23">
        <f>((E82-C82)/C82)</f>
        <v>1.6699321836405928E-3</v>
      </c>
      <c r="H82" s="330">
        <v>56941662.649999999</v>
      </c>
      <c r="I82" s="74">
        <v>104.3455</v>
      </c>
      <c r="J82" s="23">
        <f t="shared" si="34"/>
        <v>2.5505717616827717E-3</v>
      </c>
      <c r="K82" s="23">
        <f>((I82-E82)/E82)</f>
        <v>1.4934269060629375E-3</v>
      </c>
      <c r="L82" s="330">
        <v>57077825.68</v>
      </c>
      <c r="M82" s="74">
        <v>104.5492</v>
      </c>
      <c r="N82" s="23">
        <f t="shared" si="36"/>
        <v>2.3912724648900148E-3</v>
      </c>
      <c r="O82" s="23">
        <f>((M82-I82)/I82)</f>
        <v>1.9521685170898388E-3</v>
      </c>
      <c r="P82" s="330">
        <v>57152283.390000001</v>
      </c>
      <c r="Q82" s="74">
        <v>104.68559999999999</v>
      </c>
      <c r="R82" s="23">
        <f t="shared" si="38"/>
        <v>1.3044945057549867E-3</v>
      </c>
      <c r="S82" s="23">
        <f>((Q82-M82)/M82)</f>
        <v>1.3046489117085043E-3</v>
      </c>
      <c r="T82" s="330">
        <v>57315351.109999999</v>
      </c>
      <c r="U82" s="74">
        <v>104.9109</v>
      </c>
      <c r="V82" s="23">
        <f t="shared" si="40"/>
        <v>2.8532144356725902E-3</v>
      </c>
      <c r="W82" s="23">
        <f>((U82-Q82)/Q82)</f>
        <v>2.1521584630551315E-3</v>
      </c>
      <c r="X82" s="330">
        <v>57549172.159999996</v>
      </c>
      <c r="Y82" s="74">
        <v>105.04559999999999</v>
      </c>
      <c r="Z82" s="23">
        <f t="shared" si="42"/>
        <v>4.0795536531085036E-3</v>
      </c>
      <c r="AA82" s="23">
        <f>((Y82-U82)/U82)</f>
        <v>1.2839466633113924E-3</v>
      </c>
      <c r="AB82" s="330">
        <v>57752216.039999999</v>
      </c>
      <c r="AC82" s="74">
        <v>105.1422</v>
      </c>
      <c r="AD82" s="23">
        <f t="shared" si="44"/>
        <v>3.5281807257886138E-3</v>
      </c>
      <c r="AE82" s="23">
        <f>((AC82-Y82)/Y82)</f>
        <v>9.1960063058337861E-4</v>
      </c>
      <c r="AF82" s="330">
        <v>65607962.390000001</v>
      </c>
      <c r="AG82" s="74">
        <v>105.3723</v>
      </c>
      <c r="AH82" s="23">
        <f t="shared" si="46"/>
        <v>0.13602502014050857</v>
      </c>
      <c r="AI82" s="23">
        <f>((AG82-AC82)/AC82)</f>
        <v>2.1884647648612362E-3</v>
      </c>
      <c r="AJ82" s="24">
        <f t="shared" si="48"/>
        <v>2.0437388568839657E-2</v>
      </c>
      <c r="AK82" s="24">
        <f t="shared" si="49"/>
        <v>1.6205433800391266E-3</v>
      </c>
      <c r="AL82" s="25">
        <f t="shared" si="50"/>
        <v>0.15513487216751445</v>
      </c>
      <c r="AM82" s="25">
        <f t="shared" si="51"/>
        <v>1.1348508828590884E-2</v>
      </c>
      <c r="AN82" s="26">
        <f t="shared" si="52"/>
        <v>4.6794981796025932E-2</v>
      </c>
      <c r="AO82" s="78">
        <f t="shared" si="53"/>
        <v>4.5326274027921538E-4</v>
      </c>
      <c r="AP82" s="30"/>
      <c r="AQ82" s="28"/>
      <c r="AR82" s="28"/>
      <c r="AS82" s="29"/>
      <c r="AT82" s="29"/>
    </row>
    <row r="83" spans="1:46" s="306" customFormat="1" ht="15.75" customHeight="1">
      <c r="A83" s="206" t="s">
        <v>160</v>
      </c>
      <c r="B83" s="330">
        <v>100780052811.61</v>
      </c>
      <c r="C83" s="330">
        <v>1.9834000000000001</v>
      </c>
      <c r="D83" s="330">
        <v>100886259435.62</v>
      </c>
      <c r="E83" s="330">
        <v>1.9861</v>
      </c>
      <c r="F83" s="23">
        <f>((D83-B83)/B83)</f>
        <v>1.053845687187012E-3</v>
      </c>
      <c r="G83" s="23">
        <f>((E83-C83)/C83)</f>
        <v>1.3612987798729075E-3</v>
      </c>
      <c r="H83" s="330">
        <v>100984005975.89</v>
      </c>
      <c r="I83" s="330">
        <v>1.9885999999999999</v>
      </c>
      <c r="J83" s="23">
        <f>((H83-D83)/D83)</f>
        <v>9.688786244709636E-4</v>
      </c>
      <c r="K83" s="23">
        <f>((I83-E83)/E83)</f>
        <v>1.2587483006897672E-3</v>
      </c>
      <c r="L83" s="330">
        <v>101141179358.55</v>
      </c>
      <c r="M83" s="330">
        <v>1.9916</v>
      </c>
      <c r="N83" s="23">
        <f>((L83-H83)/H83)</f>
        <v>1.5564185748140049E-3</v>
      </c>
      <c r="O83" s="23">
        <f>((M83-I83)/I83)</f>
        <v>1.5085990143820344E-3</v>
      </c>
      <c r="P83" s="330">
        <v>101263706918.3</v>
      </c>
      <c r="Q83" s="330">
        <v>1.9943</v>
      </c>
      <c r="R83" s="23">
        <f>((P83-L83)/L83)</f>
        <v>1.2114507713582648E-3</v>
      </c>
      <c r="S83" s="23">
        <f>((Q83-M83)/M83)</f>
        <v>1.3556939144406129E-3</v>
      </c>
      <c r="T83" s="330">
        <v>101405197593.45</v>
      </c>
      <c r="U83" s="330">
        <v>1.9974000000000001</v>
      </c>
      <c r="V83" s="23">
        <f>((T83-P83)/P83)</f>
        <v>1.3972496114935747E-3</v>
      </c>
      <c r="W83" s="23">
        <f>((U83-Q83)/Q83)</f>
        <v>1.5544301258587489E-3</v>
      </c>
      <c r="X83" s="330">
        <v>102523698297.03999</v>
      </c>
      <c r="Y83" s="330">
        <v>2</v>
      </c>
      <c r="Z83" s="23">
        <f>((X83-T83)/T83)</f>
        <v>1.1030013550925154E-2</v>
      </c>
      <c r="AA83" s="23">
        <f>((Y83-U83)/U83)</f>
        <v>1.3016921998597855E-3</v>
      </c>
      <c r="AB83" s="330">
        <v>101582871782.85001</v>
      </c>
      <c r="AC83" s="330">
        <v>2.0026999999999999</v>
      </c>
      <c r="AD83" s="23">
        <f>((AB83-X83)/X83)</f>
        <v>-9.1766735868632834E-3</v>
      </c>
      <c r="AE83" s="23">
        <f>((AC83-Y83)/Y83)</f>
        <v>1.3499999999999623E-3</v>
      </c>
      <c r="AF83" s="330">
        <v>101704149704.03999</v>
      </c>
      <c r="AG83" s="330">
        <v>2.0053999999999998</v>
      </c>
      <c r="AH83" s="23">
        <f>((AF83-AB83)/AB83)</f>
        <v>1.1938815969806265E-3</v>
      </c>
      <c r="AI83" s="23">
        <f>((AG83-AC83)/AC83)</f>
        <v>1.3481799570579341E-3</v>
      </c>
      <c r="AJ83" s="24">
        <f t="shared" si="48"/>
        <v>1.15438310379579E-3</v>
      </c>
      <c r="AK83" s="24">
        <f t="shared" si="49"/>
        <v>1.3798302865202193E-3</v>
      </c>
      <c r="AL83" s="25">
        <f t="shared" si="50"/>
        <v>8.1070531606133173E-3</v>
      </c>
      <c r="AM83" s="25">
        <f t="shared" si="51"/>
        <v>9.7175368813251471E-3</v>
      </c>
      <c r="AN83" s="26">
        <f t="shared" si="52"/>
        <v>5.4054042041015516E-3</v>
      </c>
      <c r="AO83" s="78">
        <f t="shared" si="53"/>
        <v>1.0046354534039143E-4</v>
      </c>
      <c r="AP83" s="30"/>
      <c r="AQ83" s="28"/>
      <c r="AR83" s="28"/>
      <c r="AS83" s="29"/>
      <c r="AT83" s="29"/>
    </row>
    <row r="84" spans="1:46" s="306" customFormat="1" ht="15.75" customHeight="1">
      <c r="A84" s="206" t="s">
        <v>49</v>
      </c>
      <c r="B84" s="330">
        <v>9866152181.8999996</v>
      </c>
      <c r="C84" s="331">
        <v>1</v>
      </c>
      <c r="D84" s="330">
        <v>9865789687.8999996</v>
      </c>
      <c r="E84" s="331">
        <v>1</v>
      </c>
      <c r="F84" s="23">
        <f>((D84-B84)/B84)</f>
        <v>-3.6741172578405511E-5</v>
      </c>
      <c r="G84" s="23">
        <f>((E84-C84)/C84)</f>
        <v>0</v>
      </c>
      <c r="H84" s="330">
        <v>9857997468.7700005</v>
      </c>
      <c r="I84" s="331">
        <v>1</v>
      </c>
      <c r="J84" s="23">
        <f>((H84-D84)/D84)</f>
        <v>-7.8982214059924766E-4</v>
      </c>
      <c r="K84" s="23">
        <f>((I84-E84)/E84)</f>
        <v>0</v>
      </c>
      <c r="L84" s="330">
        <v>9863356245.0499992</v>
      </c>
      <c r="M84" s="331">
        <v>1</v>
      </c>
      <c r="N84" s="23">
        <f>((L84-H84)/H84)</f>
        <v>5.4359684073518062E-4</v>
      </c>
      <c r="O84" s="23">
        <f>((M84-I84)/I84)</f>
        <v>0</v>
      </c>
      <c r="P84" s="330">
        <v>9705460621.6700001</v>
      </c>
      <c r="Q84" s="331">
        <v>1</v>
      </c>
      <c r="R84" s="23">
        <f>((P84-L84)/L84)</f>
        <v>-1.6008305840036985E-2</v>
      </c>
      <c r="S84" s="23">
        <f>((Q84-M84)/M84)</f>
        <v>0</v>
      </c>
      <c r="T84" s="330">
        <v>9688548268.0100002</v>
      </c>
      <c r="U84" s="331">
        <v>1</v>
      </c>
      <c r="V84" s="23">
        <f>((T84-P84)/P84)</f>
        <v>-1.7425606387231698E-3</v>
      </c>
      <c r="W84" s="23">
        <f>((U84-Q84)/Q84)</f>
        <v>0</v>
      </c>
      <c r="X84" s="330">
        <v>9688464346.5499992</v>
      </c>
      <c r="Y84" s="331">
        <v>1</v>
      </c>
      <c r="Z84" s="23">
        <f>((X84-T84)/T84)</f>
        <v>-8.6619230951335335E-6</v>
      </c>
      <c r="AA84" s="23">
        <f>((Y84-U84)/U84)</f>
        <v>0</v>
      </c>
      <c r="AB84" s="330">
        <v>9651379398.7800007</v>
      </c>
      <c r="AC84" s="331">
        <v>1</v>
      </c>
      <c r="AD84" s="23">
        <f>((AB84-X84)/X84)</f>
        <v>-3.8277426064125698E-3</v>
      </c>
      <c r="AE84" s="23">
        <f>((AC84-Y84)/Y84)</f>
        <v>0</v>
      </c>
      <c r="AF84" s="330">
        <v>9656763576.3600006</v>
      </c>
      <c r="AG84" s="331">
        <v>1</v>
      </c>
      <c r="AH84" s="23">
        <f>((AF84-AB84)/AB84)</f>
        <v>5.5786612022324191E-4</v>
      </c>
      <c r="AI84" s="23">
        <f>((AG84-AC84)/AC84)</f>
        <v>0</v>
      </c>
      <c r="AJ84" s="24">
        <f t="shared" si="48"/>
        <v>-2.6640464200608865E-3</v>
      </c>
      <c r="AK84" s="24">
        <f t="shared" si="49"/>
        <v>0</v>
      </c>
      <c r="AL84" s="25">
        <f t="shared" si="50"/>
        <v>-2.118696203268566E-2</v>
      </c>
      <c r="AM84" s="25">
        <f t="shared" si="51"/>
        <v>0</v>
      </c>
      <c r="AN84" s="26">
        <f t="shared" si="52"/>
        <v>5.5858085023263188E-3</v>
      </c>
      <c r="AO84" s="78">
        <f t="shared" si="53"/>
        <v>0</v>
      </c>
      <c r="AP84" s="30"/>
      <c r="AQ84" s="28"/>
      <c r="AR84" s="28"/>
      <c r="AS84" s="29"/>
      <c r="AT84" s="29"/>
    </row>
    <row r="85" spans="1:46" s="110" customFormat="1" ht="15.75" customHeight="1">
      <c r="A85" s="206" t="s">
        <v>19</v>
      </c>
      <c r="B85" s="330">
        <v>3310508943.7600002</v>
      </c>
      <c r="C85" s="331">
        <v>23.9253</v>
      </c>
      <c r="D85" s="330">
        <v>3317337901.4200001</v>
      </c>
      <c r="E85" s="331">
        <v>23.953099999999999</v>
      </c>
      <c r="F85" s="23">
        <f>((D85-B85)/B85)</f>
        <v>2.0628120255865171E-3</v>
      </c>
      <c r="G85" s="23">
        <f>((E85-C85)/C85)</f>
        <v>1.1619499024045324E-3</v>
      </c>
      <c r="H85" s="330">
        <v>3321098491.3000002</v>
      </c>
      <c r="I85" s="331">
        <v>23.9803</v>
      </c>
      <c r="J85" s="23">
        <f>((H85-D85)/D85)</f>
        <v>1.1336167709627585E-3</v>
      </c>
      <c r="K85" s="23">
        <f>((I85-E85)/E85)</f>
        <v>1.1355523919659902E-3</v>
      </c>
      <c r="L85" s="330">
        <v>3326377950.4299998</v>
      </c>
      <c r="M85" s="331">
        <v>24.0075</v>
      </c>
      <c r="N85" s="23">
        <f>((L85-H85)/H85)</f>
        <v>1.589672556784988E-3</v>
      </c>
      <c r="O85" s="23">
        <f>((M85-I85)/I85)</f>
        <v>1.1342643753414494E-3</v>
      </c>
      <c r="P85" s="330">
        <v>3229097686.6599998</v>
      </c>
      <c r="Q85" s="331">
        <v>24.0351</v>
      </c>
      <c r="R85" s="23">
        <f>((P85-L85)/L85)</f>
        <v>-2.9245102396564585E-2</v>
      </c>
      <c r="S85" s="23">
        <f>((Q85-M85)/M85)</f>
        <v>1.1496407372695876E-3</v>
      </c>
      <c r="T85" s="330">
        <v>2615876692.9899998</v>
      </c>
      <c r="U85" s="331">
        <v>24.063400000000001</v>
      </c>
      <c r="V85" s="23">
        <f>((T85-P85)/P85)</f>
        <v>-0.18990475147386512</v>
      </c>
      <c r="W85" s="23">
        <f>((U85-Q85)/Q85)</f>
        <v>1.1774446538604601E-3</v>
      </c>
      <c r="X85" s="330">
        <v>2619514763.6799998</v>
      </c>
      <c r="Y85" s="331">
        <v>24.122399999999999</v>
      </c>
      <c r="Z85" s="23">
        <f>((X85-T85)/T85)</f>
        <v>1.3907653597546562E-3</v>
      </c>
      <c r="AA85" s="23">
        <f>((Y85-U85)/U85)</f>
        <v>2.4518563461521439E-3</v>
      </c>
      <c r="AB85" s="330">
        <v>2623245741.79</v>
      </c>
      <c r="AC85" s="331">
        <v>24.156099999999999</v>
      </c>
      <c r="AD85" s="23">
        <f>((AB85-X85)/X85)</f>
        <v>1.4243012338509232E-3</v>
      </c>
      <c r="AE85" s="23">
        <f>((AC85-Y85)/Y85)</f>
        <v>1.3970417537226654E-3</v>
      </c>
      <c r="AF85" s="330">
        <v>2625605143.5300002</v>
      </c>
      <c r="AG85" s="331">
        <v>24.1905</v>
      </c>
      <c r="AH85" s="23">
        <f>((AF85-AB85)/AB85)</f>
        <v>8.9942078334997501E-4</v>
      </c>
      <c r="AI85" s="23">
        <f>((AG85-AC85)/AC85)</f>
        <v>1.4240709386035635E-3</v>
      </c>
      <c r="AJ85" s="24">
        <f t="shared" si="48"/>
        <v>-2.6331158142517484E-2</v>
      </c>
      <c r="AK85" s="24">
        <f t="shared" si="49"/>
        <v>1.3789776374150493E-3</v>
      </c>
      <c r="AL85" s="25">
        <f t="shared" si="50"/>
        <v>-0.2085204397158037</v>
      </c>
      <c r="AM85" s="25">
        <f t="shared" si="51"/>
        <v>9.9110344798794704E-3</v>
      </c>
      <c r="AN85" s="26">
        <f t="shared" si="52"/>
        <v>6.6959786111661479E-2</v>
      </c>
      <c r="AO85" s="78">
        <f t="shared" si="53"/>
        <v>4.4926620608667526E-4</v>
      </c>
      <c r="AP85" s="30"/>
      <c r="AQ85" s="28"/>
      <c r="AR85" s="28"/>
      <c r="AS85" s="29"/>
      <c r="AT85" s="29"/>
    </row>
    <row r="86" spans="1:46">
      <c r="A86" s="208" t="s">
        <v>42</v>
      </c>
      <c r="B86" s="76">
        <f>SUM(B56:B85)</f>
        <v>329560582532.39905</v>
      </c>
      <c r="C86" s="87"/>
      <c r="D86" s="76">
        <f>SUM(D56:D85)</f>
        <v>325274738811.00592</v>
      </c>
      <c r="E86" s="87"/>
      <c r="F86" s="23">
        <f>((D85-B86)/B86)</f>
        <v>-0.98993405741691254</v>
      </c>
      <c r="G86" s="23"/>
      <c r="H86" s="76">
        <f>SUM(H56:H85)</f>
        <v>324645636399.64471</v>
      </c>
      <c r="I86" s="87"/>
      <c r="J86" s="23">
        <f>((H85-D86)/D86)</f>
        <v>-0.98978986654961354</v>
      </c>
      <c r="K86" s="23"/>
      <c r="L86" s="76">
        <f>SUM(L56:L85)</f>
        <v>325325671083.40485</v>
      </c>
      <c r="M86" s="87"/>
      <c r="N86" s="23">
        <f>((L85-H86)/H86)</f>
        <v>-0.98975381900302162</v>
      </c>
      <c r="O86" s="23"/>
      <c r="P86" s="76">
        <f>SUM(P56:P85)</f>
        <v>325304566651.13672</v>
      </c>
      <c r="Q86" s="87"/>
      <c r="R86" s="23">
        <f>((P85-L86)/L86)</f>
        <v>-0.99007426104461294</v>
      </c>
      <c r="S86" s="23"/>
      <c r="T86" s="76">
        <f>SUM(T56:T85)</f>
        <v>324966477016.1626</v>
      </c>
      <c r="U86" s="87"/>
      <c r="V86" s="23">
        <f>((T85-P86)/P86)</f>
        <v>-0.99195868438024326</v>
      </c>
      <c r="W86" s="23"/>
      <c r="X86" s="76">
        <f>SUM(X56:X85)</f>
        <v>326343931654.87665</v>
      </c>
      <c r="Y86" s="87"/>
      <c r="Z86" s="23">
        <f>((X85-T86)/T86)</f>
        <v>-0.99193912311284427</v>
      </c>
      <c r="AA86" s="23"/>
      <c r="AB86" s="76">
        <f>SUM(AB56:AB85)</f>
        <v>326621734089.72247</v>
      </c>
      <c r="AC86" s="87"/>
      <c r="AD86" s="23">
        <f>((AB85-X86)/X86)</f>
        <v>-0.99196171435305203</v>
      </c>
      <c r="AE86" s="23"/>
      <c r="AF86" s="76">
        <f>SUM(AF56:AF85)</f>
        <v>326437563760.66541</v>
      </c>
      <c r="AG86" s="87"/>
      <c r="AH86" s="23">
        <f>((AF85-AB86)/AB86)</f>
        <v>-0.99196132752510346</v>
      </c>
      <c r="AI86" s="23"/>
      <c r="AJ86" s="24">
        <f t="shared" si="48"/>
        <v>-0.99092160667317553</v>
      </c>
      <c r="AK86" s="24" t="e">
        <f t="shared" si="49"/>
        <v>#DIV/0!</v>
      </c>
      <c r="AL86" s="25">
        <f t="shared" si="50"/>
        <v>3.5749008789001595E-3</v>
      </c>
      <c r="AM86" s="25" t="e">
        <f t="shared" si="51"/>
        <v>#DIV/0!</v>
      </c>
      <c r="AN86" s="26">
        <f t="shared" si="52"/>
        <v>1.1091518773239154E-3</v>
      </c>
      <c r="AO86" s="78" t="e">
        <f t="shared" si="53"/>
        <v>#DIV/0!</v>
      </c>
      <c r="AP86" s="30"/>
      <c r="AQ86" s="40"/>
      <c r="AR86" s="13"/>
      <c r="AS86" s="29" t="e">
        <f>(#REF!/AQ86)-1</f>
        <v>#REF!</v>
      </c>
      <c r="AT86" s="29" t="e">
        <f>(#REF!/AR86)-1</f>
        <v>#REF!</v>
      </c>
    </row>
    <row r="87" spans="1:46" s="110" customFormat="1" ht="7.5" customHeight="1">
      <c r="A87" s="208"/>
      <c r="B87" s="87"/>
      <c r="C87" s="87"/>
      <c r="D87" s="87"/>
      <c r="E87" s="87"/>
      <c r="F87" s="23"/>
      <c r="G87" s="23"/>
      <c r="H87" s="87"/>
      <c r="I87" s="87"/>
      <c r="J87" s="23"/>
      <c r="K87" s="23"/>
      <c r="L87" s="87"/>
      <c r="M87" s="87"/>
      <c r="N87" s="23"/>
      <c r="O87" s="23"/>
      <c r="P87" s="87"/>
      <c r="Q87" s="87"/>
      <c r="R87" s="23"/>
      <c r="S87" s="23"/>
      <c r="T87" s="87"/>
      <c r="U87" s="87"/>
      <c r="V87" s="23"/>
      <c r="W87" s="23"/>
      <c r="X87" s="87"/>
      <c r="Y87" s="87"/>
      <c r="Z87" s="23"/>
      <c r="AA87" s="23"/>
      <c r="AB87" s="87"/>
      <c r="AC87" s="87"/>
      <c r="AD87" s="23"/>
      <c r="AE87" s="23"/>
      <c r="AF87" s="87"/>
      <c r="AG87" s="87"/>
      <c r="AH87" s="23"/>
      <c r="AI87" s="23"/>
      <c r="AJ87" s="24" t="e">
        <f t="shared" si="48"/>
        <v>#DIV/0!</v>
      </c>
      <c r="AK87" s="24" t="e">
        <f t="shared" si="49"/>
        <v>#DIV/0!</v>
      </c>
      <c r="AL87" s="25" t="e">
        <f t="shared" si="50"/>
        <v>#DIV/0!</v>
      </c>
      <c r="AM87" s="25" t="e">
        <f t="shared" si="51"/>
        <v>#DIV/0!</v>
      </c>
      <c r="AN87" s="26" t="e">
        <f t="shared" si="52"/>
        <v>#DIV/0!</v>
      </c>
      <c r="AO87" s="78" t="e">
        <f t="shared" si="53"/>
        <v>#DIV/0!</v>
      </c>
      <c r="AP87" s="30"/>
      <c r="AQ87" s="40"/>
      <c r="AR87" s="13"/>
      <c r="AS87" s="29"/>
      <c r="AT87" s="29"/>
    </row>
    <row r="88" spans="1:46" s="110" customFormat="1">
      <c r="A88" s="205" t="s">
        <v>199</v>
      </c>
      <c r="B88" s="87"/>
      <c r="C88" s="87"/>
      <c r="D88" s="87"/>
      <c r="E88" s="87"/>
      <c r="F88" s="23"/>
      <c r="G88" s="23"/>
      <c r="H88" s="87"/>
      <c r="I88" s="87"/>
      <c r="J88" s="23"/>
      <c r="K88" s="23"/>
      <c r="L88" s="87"/>
      <c r="M88" s="87"/>
      <c r="N88" s="23"/>
      <c r="O88" s="23"/>
      <c r="P88" s="87"/>
      <c r="Q88" s="87"/>
      <c r="R88" s="23"/>
      <c r="S88" s="23"/>
      <c r="T88" s="87"/>
      <c r="U88" s="87"/>
      <c r="V88" s="23"/>
      <c r="W88" s="23"/>
      <c r="X88" s="87"/>
      <c r="Y88" s="87"/>
      <c r="Z88" s="23"/>
      <c r="AA88" s="23"/>
      <c r="AB88" s="87"/>
      <c r="AC88" s="87"/>
      <c r="AD88" s="23"/>
      <c r="AE88" s="23"/>
      <c r="AF88" s="87"/>
      <c r="AG88" s="87"/>
      <c r="AH88" s="23"/>
      <c r="AI88" s="23"/>
      <c r="AJ88" s="24" t="e">
        <f t="shared" si="48"/>
        <v>#DIV/0!</v>
      </c>
      <c r="AK88" s="24" t="e">
        <f t="shared" si="49"/>
        <v>#DIV/0!</v>
      </c>
      <c r="AL88" s="25" t="e">
        <f t="shared" si="50"/>
        <v>#DIV/0!</v>
      </c>
      <c r="AM88" s="25" t="e">
        <f t="shared" si="51"/>
        <v>#DIV/0!</v>
      </c>
      <c r="AN88" s="26" t="e">
        <f t="shared" si="52"/>
        <v>#DIV/0!</v>
      </c>
      <c r="AO88" s="78" t="e">
        <f t="shared" si="53"/>
        <v>#DIV/0!</v>
      </c>
      <c r="AP88" s="30"/>
      <c r="AQ88" s="40"/>
      <c r="AR88" s="13"/>
      <c r="AS88" s="29"/>
      <c r="AT88" s="29"/>
    </row>
    <row r="89" spans="1:46" s="110" customFormat="1">
      <c r="A89" s="204" t="s">
        <v>200</v>
      </c>
      <c r="B89" s="87"/>
      <c r="C89" s="87"/>
      <c r="D89" s="87"/>
      <c r="E89" s="87"/>
      <c r="F89" s="23"/>
      <c r="G89" s="23"/>
      <c r="H89" s="87"/>
      <c r="I89" s="87"/>
      <c r="J89" s="23"/>
      <c r="K89" s="23"/>
      <c r="L89" s="87"/>
      <c r="M89" s="87"/>
      <c r="N89" s="23"/>
      <c r="O89" s="23"/>
      <c r="P89" s="87"/>
      <c r="Q89" s="87"/>
      <c r="R89" s="23"/>
      <c r="S89" s="23"/>
      <c r="T89" s="87"/>
      <c r="U89" s="87"/>
      <c r="V89" s="23"/>
      <c r="W89" s="23"/>
      <c r="X89" s="87"/>
      <c r="Y89" s="87"/>
      <c r="Z89" s="23"/>
      <c r="AA89" s="23"/>
      <c r="AB89" s="87"/>
      <c r="AC89" s="87"/>
      <c r="AD89" s="23"/>
      <c r="AE89" s="23"/>
      <c r="AF89" s="87"/>
      <c r="AG89" s="87"/>
      <c r="AH89" s="23"/>
      <c r="AI89" s="23"/>
      <c r="AJ89" s="24" t="e">
        <f t="shared" si="48"/>
        <v>#DIV/0!</v>
      </c>
      <c r="AK89" s="24" t="e">
        <f t="shared" si="49"/>
        <v>#DIV/0!</v>
      </c>
      <c r="AL89" s="25" t="e">
        <f t="shared" si="50"/>
        <v>#DIV/0!</v>
      </c>
      <c r="AM89" s="25" t="e">
        <f t="shared" si="51"/>
        <v>#DIV/0!</v>
      </c>
      <c r="AN89" s="26" t="e">
        <f t="shared" si="52"/>
        <v>#DIV/0!</v>
      </c>
      <c r="AO89" s="78" t="e">
        <f t="shared" si="53"/>
        <v>#DIV/0!</v>
      </c>
      <c r="AP89" s="30"/>
      <c r="AQ89" s="40"/>
      <c r="AR89" s="13"/>
      <c r="AS89" s="29"/>
      <c r="AT89" s="29"/>
    </row>
    <row r="90" spans="1:46">
      <c r="A90" s="206" t="s">
        <v>148</v>
      </c>
      <c r="B90" s="330">
        <v>792837584.21000004</v>
      </c>
      <c r="C90" s="330">
        <f>107.208*460.4</f>
        <v>49358.563199999997</v>
      </c>
      <c r="D90" s="330">
        <v>795871730.70000005</v>
      </c>
      <c r="E90" s="330">
        <f>107.307*460.85</f>
        <v>49452.430950000002</v>
      </c>
      <c r="F90" s="23">
        <f>((D103-B90)/B90)</f>
        <v>2.7279106297313711</v>
      </c>
      <c r="G90" s="23">
        <f>((E90-C90)/C90)</f>
        <v>1.9017520753117241E-3</v>
      </c>
      <c r="H90" s="330">
        <v>796712638.04999995</v>
      </c>
      <c r="I90" s="330">
        <f>107.4297*460.36</f>
        <v>49456.336691999997</v>
      </c>
      <c r="J90" s="23">
        <f>((H103-D90)/D90)</f>
        <v>2.7392571224590681</v>
      </c>
      <c r="K90" s="23">
        <f t="shared" ref="K90:K99" si="54">((I90-E90)/E90)</f>
        <v>7.8979777636095576E-5</v>
      </c>
      <c r="L90" s="330">
        <v>793224099.02999997</v>
      </c>
      <c r="M90" s="330">
        <f>107.551*460.36</f>
        <v>49512.178360000005</v>
      </c>
      <c r="N90" s="23">
        <f>((L103-H90)/H90)</f>
        <v>2.7358777998575019</v>
      </c>
      <c r="O90" s="23">
        <f t="shared" ref="O90:O99" si="55">((M90-I90)/I90)</f>
        <v>1.1291104787597643E-3</v>
      </c>
      <c r="P90" s="330">
        <v>794416847.38999999</v>
      </c>
      <c r="Q90" s="330">
        <f>107.6729*460.53</f>
        <v>49586.600636999996</v>
      </c>
      <c r="R90" s="23">
        <f>((P103-L90)/L90)</f>
        <v>2.7466024843245491</v>
      </c>
      <c r="S90" s="23">
        <f t="shared" ref="S90:S99" si="56">((Q90-M90)/M90)</f>
        <v>1.5031105369444821E-3</v>
      </c>
      <c r="T90" s="330">
        <v>795930564.35000002</v>
      </c>
      <c r="U90" s="330">
        <f>107.5721*460.31</f>
        <v>49516.513351000001</v>
      </c>
      <c r="V90" s="23">
        <f>((T103-P90)/P90)</f>
        <v>2.6972363794763257</v>
      </c>
      <c r="W90" s="23">
        <f t="shared" ref="W90:W99" si="57">((U90-Q90)/Q90)</f>
        <v>-1.413431957416688E-3</v>
      </c>
      <c r="X90" s="330">
        <v>795010939.25999999</v>
      </c>
      <c r="Y90" s="330">
        <f>108.026*460.5</f>
        <v>49745.972999999998</v>
      </c>
      <c r="Z90" s="23">
        <f>((X103-T90)/T90)</f>
        <v>2.6917264358601711</v>
      </c>
      <c r="AA90" s="23">
        <f t="shared" ref="AA90:AA99" si="58">((Y90-U90)/U90)</f>
        <v>4.634002547260584E-3</v>
      </c>
      <c r="AB90" s="330">
        <v>792032015.80999994</v>
      </c>
      <c r="AC90" s="330">
        <f>108.1469*461.03</f>
        <v>49858.965306999999</v>
      </c>
      <c r="AD90" s="23">
        <f>((AB103-X90)/X90)</f>
        <v>2.7341729791113165</v>
      </c>
      <c r="AE90" s="23">
        <f t="shared" ref="AE90:AE99" si="59">((AC90-Y90)/Y90)</f>
        <v>2.2713860074663819E-3</v>
      </c>
      <c r="AF90" s="330">
        <v>799837469.70000005</v>
      </c>
      <c r="AG90" s="330">
        <f>108.2735*460.53</f>
        <v>49863.194954999999</v>
      </c>
      <c r="AH90" s="23">
        <f>((AF103-AB90)/AB90)</f>
        <v>2.638621936865666</v>
      </c>
      <c r="AI90" s="23">
        <f t="shared" ref="AI90:AI99" si="60">((AG90-AC90)/AC90)</f>
        <v>8.4832245794852601E-5</v>
      </c>
      <c r="AJ90" s="24">
        <f t="shared" si="48"/>
        <v>2.7139257209607464</v>
      </c>
      <c r="AK90" s="24">
        <f t="shared" si="49"/>
        <v>1.2737177139696496E-3</v>
      </c>
      <c r="AL90" s="25">
        <f t="shared" si="50"/>
        <v>4.9828871249290117E-3</v>
      </c>
      <c r="AM90" s="25">
        <f t="shared" si="51"/>
        <v>8.3062449531613423E-3</v>
      </c>
      <c r="AN90" s="26">
        <f t="shared" si="52"/>
        <v>3.6329594285866684E-2</v>
      </c>
      <c r="AO90" s="78">
        <f t="shared" si="53"/>
        <v>1.8054060252795921E-3</v>
      </c>
      <c r="AP90" s="30"/>
      <c r="AQ90" s="49">
        <v>31507613595.857655</v>
      </c>
      <c r="AR90" s="49">
        <v>11.808257597614354</v>
      </c>
      <c r="AS90" s="29" t="e">
        <f>(#REF!/AQ90)-1</f>
        <v>#REF!</v>
      </c>
      <c r="AT90" s="29" t="e">
        <f>(#REF!/AR90)-1</f>
        <v>#REF!</v>
      </c>
    </row>
    <row r="91" spans="1:46">
      <c r="A91" s="206" t="s">
        <v>149</v>
      </c>
      <c r="B91" s="330">
        <f>11301341.53*460.4</f>
        <v>5203137640.4119997</v>
      </c>
      <c r="C91" s="330">
        <f>1.1386*460.4</f>
        <v>524.21144000000004</v>
      </c>
      <c r="D91" s="330">
        <f>11634515.93*460.35</f>
        <v>5355949408.3754997</v>
      </c>
      <c r="E91" s="330">
        <f>1.1401*460.35</f>
        <v>524.84503499999994</v>
      </c>
      <c r="F91" s="23">
        <f>((D104-B91)/B91)</f>
        <v>0.17906881957368789</v>
      </c>
      <c r="G91" s="23">
        <f>((E91-C91)/C91)</f>
        <v>1.2086630539766552E-3</v>
      </c>
      <c r="H91" s="330">
        <f>11646169.51*460.36</f>
        <v>5361430595.6236</v>
      </c>
      <c r="I91" s="330">
        <f>1.1412*460.36</f>
        <v>525.36283200000003</v>
      </c>
      <c r="J91" s="23">
        <f>((H104-D91)/D91)</f>
        <v>0.13773274964862803</v>
      </c>
      <c r="K91" s="23">
        <f t="shared" si="54"/>
        <v>9.865712076329101E-4</v>
      </c>
      <c r="L91" s="330">
        <f>11671298.13*460.43</f>
        <v>5373815797.9959002</v>
      </c>
      <c r="M91" s="330">
        <f>1.1424*460.43</f>
        <v>525.9952320000001</v>
      </c>
      <c r="N91" s="23">
        <f>((L104-H91)/H91)</f>
        <v>6.5222639523085491E-2</v>
      </c>
      <c r="O91" s="23">
        <f t="shared" si="55"/>
        <v>1.2037395138757648E-3</v>
      </c>
      <c r="P91" s="330">
        <f>11777992.92*460.47</f>
        <v>5423412399.8724003</v>
      </c>
      <c r="Q91" s="330">
        <f>1.1436*460.47</f>
        <v>526.59349199999997</v>
      </c>
      <c r="R91" s="23">
        <f>((P104-L91)/L91)</f>
        <v>6.7237440255925818E-2</v>
      </c>
      <c r="S91" s="23">
        <f t="shared" si="56"/>
        <v>1.1373867358551802E-3</v>
      </c>
      <c r="T91" s="330">
        <f>11798899.38*460.31</f>
        <v>5431151373.6078005</v>
      </c>
      <c r="U91" s="330">
        <f>1.1446*460.31</f>
        <v>526.87082600000008</v>
      </c>
      <c r="V91" s="23">
        <f>((T104-P91)/P91)</f>
        <v>4.8607993182263255E-2</v>
      </c>
      <c r="W91" s="23">
        <f t="shared" si="57"/>
        <v>5.266567175883554E-4</v>
      </c>
      <c r="X91" s="330">
        <f>11799004.44*461</f>
        <v>5439341046.8400002</v>
      </c>
      <c r="Y91" s="330">
        <f>1.146*461</f>
        <v>528.30599999999993</v>
      </c>
      <c r="Z91" s="23">
        <f>((X104-T91)/T91)</f>
        <v>5.2084533164887419E-2</v>
      </c>
      <c r="AA91" s="23">
        <f t="shared" si="58"/>
        <v>2.7239579972489253E-3</v>
      </c>
      <c r="AB91" s="330">
        <f>11820551.48*460.57</f>
        <v>5444191395.1436005</v>
      </c>
      <c r="AC91" s="330">
        <f>1.1471*460.57</f>
        <v>528.31984699999998</v>
      </c>
      <c r="AD91" s="23">
        <f>((AB104-X91)/X91)</f>
        <v>4.5381615249774659E-2</v>
      </c>
      <c r="AE91" s="23">
        <f t="shared" si="59"/>
        <v>2.6210188792206096E-5</v>
      </c>
      <c r="AF91" s="330">
        <f>11850638.38*460.81</f>
        <v>5460892671.8878002</v>
      </c>
      <c r="AG91" s="330">
        <f>1.1486*460.81</f>
        <v>529.28636600000004</v>
      </c>
      <c r="AH91" s="23">
        <f>((AF104-AB91)/AB91)</f>
        <v>4.3436196987369606E-2</v>
      </c>
      <c r="AI91" s="23">
        <f t="shared" si="60"/>
        <v>1.8294201996921424E-3</v>
      </c>
      <c r="AJ91" s="24">
        <f t="shared" si="48"/>
        <v>7.9846498448202768E-2</v>
      </c>
      <c r="AK91" s="24">
        <f t="shared" si="49"/>
        <v>1.2053257018327676E-3</v>
      </c>
      <c r="AL91" s="25">
        <f t="shared" si="50"/>
        <v>1.9593774233227976E-2</v>
      </c>
      <c r="AM91" s="25">
        <f t="shared" si="51"/>
        <v>8.4621758877839164E-3</v>
      </c>
      <c r="AN91" s="26">
        <f t="shared" si="52"/>
        <v>5.0467587674690159E-2</v>
      </c>
      <c r="AO91" s="78">
        <f t="shared" si="53"/>
        <v>8.1056645624700966E-4</v>
      </c>
      <c r="AP91" s="30"/>
      <c r="AQ91" s="40">
        <f>SUM(AQ90:AQ90)</f>
        <v>31507613595.857655</v>
      </c>
      <c r="AR91" s="13"/>
      <c r="AS91" s="29" t="e">
        <f>(#REF!/AQ91)-1</f>
        <v>#REF!</v>
      </c>
      <c r="AT91" s="29" t="e">
        <f>(#REF!/AR91)-1</f>
        <v>#REF!</v>
      </c>
    </row>
    <row r="92" spans="1:46">
      <c r="A92" s="206" t="s">
        <v>175</v>
      </c>
      <c r="B92" s="330">
        <v>1010765628.0919999</v>
      </c>
      <c r="C92" s="330">
        <v>48893.839059999998</v>
      </c>
      <c r="D92" s="330">
        <v>1007932957.0115</v>
      </c>
      <c r="E92" s="330">
        <v>48927.753225</v>
      </c>
      <c r="F92" s="23">
        <f>((D92-B92)/B92)</f>
        <v>-2.8025004034288922E-3</v>
      </c>
      <c r="G92" s="23">
        <f>((E92-C92)/C92)</f>
        <v>6.936285972223258E-4</v>
      </c>
      <c r="H92" s="330">
        <v>1008850362.1182001</v>
      </c>
      <c r="I92" s="330">
        <v>48972.274008</v>
      </c>
      <c r="J92" s="23">
        <f>((H92-D92)/D92)</f>
        <v>9.1018465099122227E-4</v>
      </c>
      <c r="K92" s="23">
        <f t="shared" si="54"/>
        <v>9.0992902934385533E-4</v>
      </c>
      <c r="L92" s="330">
        <v>1017893723.7982001</v>
      </c>
      <c r="M92" s="330">
        <v>49037.328653999997</v>
      </c>
      <c r="N92" s="23">
        <f>((L92-H92)/H92)</f>
        <v>8.9640267968110407E-3</v>
      </c>
      <c r="O92" s="23">
        <f t="shared" si="55"/>
        <v>1.3283974926173467E-3</v>
      </c>
      <c r="P92" s="330">
        <v>1018874693.8449</v>
      </c>
      <c r="Q92" s="330">
        <v>49084.592667000004</v>
      </c>
      <c r="R92" s="23">
        <f>((P92-L92)/L92)</f>
        <v>9.6372541038907246E-4</v>
      </c>
      <c r="S92" s="23">
        <f t="shared" si="56"/>
        <v>9.6383743359054091E-4</v>
      </c>
      <c r="T92" s="330">
        <v>1011302796.119</v>
      </c>
      <c r="U92" s="330">
        <v>49122.345999999998</v>
      </c>
      <c r="V92" s="23">
        <f>((T92-P92)/P92)</f>
        <v>-7.4316280222116293E-3</v>
      </c>
      <c r="W92" s="23">
        <f t="shared" si="57"/>
        <v>7.6914834062329258E-4</v>
      </c>
      <c r="X92" s="330">
        <v>1013070328.72</v>
      </c>
      <c r="Y92" s="330">
        <v>49193.263900000005</v>
      </c>
      <c r="Z92" s="23">
        <f>((X92-T92)/T92)</f>
        <v>1.7477778245874494E-3</v>
      </c>
      <c r="AA92" s="23">
        <f t="shared" si="58"/>
        <v>1.4436993705473197E-3</v>
      </c>
      <c r="AB92" s="330">
        <v>1112084505.4552</v>
      </c>
      <c r="AC92" s="330">
        <v>47605.035739999992</v>
      </c>
      <c r="AD92" s="23">
        <f>((AB92-X92)/X92)</f>
        <v>9.7736725603545155E-2</v>
      </c>
      <c r="AE92" s="23">
        <f t="shared" si="59"/>
        <v>-3.2285480451725287E-2</v>
      </c>
      <c r="AF92" s="330">
        <v>1114031644.3122001</v>
      </c>
      <c r="AG92" s="330">
        <v>47688.382560000005</v>
      </c>
      <c r="AH92" s="23">
        <f>((AF92-AB92)/AB92)</f>
        <v>1.7508910945603967E-3</v>
      </c>
      <c r="AI92" s="23">
        <f t="shared" si="60"/>
        <v>1.7507983914815438E-3</v>
      </c>
      <c r="AJ92" s="24">
        <f t="shared" si="48"/>
        <v>1.2729900369405476E-2</v>
      </c>
      <c r="AK92" s="24">
        <f t="shared" si="49"/>
        <v>-3.053255224537383E-3</v>
      </c>
      <c r="AL92" s="25">
        <f t="shared" si="50"/>
        <v>0.10526363540614889</v>
      </c>
      <c r="AM92" s="25">
        <f t="shared" si="51"/>
        <v>-2.5330626961360844E-2</v>
      </c>
      <c r="AN92" s="26">
        <f t="shared" si="52"/>
        <v>3.4656228164405035E-2</v>
      </c>
      <c r="AO92" s="78">
        <f t="shared" si="53"/>
        <v>1.1817161698657614E-2</v>
      </c>
      <c r="AP92" s="30"/>
      <c r="AQ92" s="40"/>
      <c r="AR92" s="13"/>
      <c r="AS92" s="29" t="e">
        <f>(#REF!/AQ92)-1</f>
        <v>#REF!</v>
      </c>
      <c r="AT92" s="29" t="e">
        <f>(#REF!/AR92)-1</f>
        <v>#REF!</v>
      </c>
    </row>
    <row r="93" spans="1:46">
      <c r="A93" s="206" t="s">
        <v>244</v>
      </c>
      <c r="B93" s="330">
        <v>13158806006.07</v>
      </c>
      <c r="C93" s="330">
        <v>56356.07</v>
      </c>
      <c r="D93" s="330">
        <v>13160232187.540001</v>
      </c>
      <c r="E93" s="330">
        <v>56436</v>
      </c>
      <c r="F93" s="23">
        <f>((D93-B93)/B93)</f>
        <v>1.0838228554652605E-4</v>
      </c>
      <c r="G93" s="23">
        <f>((E93-C93)/C93)</f>
        <v>1.4183032990057734E-3</v>
      </c>
      <c r="H93" s="330">
        <v>13421788517.82</v>
      </c>
      <c r="I93" s="330">
        <v>56715.7</v>
      </c>
      <c r="J93" s="23">
        <f>((H93-D93)/D93)</f>
        <v>1.9874750426336563E-2</v>
      </c>
      <c r="K93" s="23">
        <f t="shared" si="54"/>
        <v>4.9560564178892392E-3</v>
      </c>
      <c r="L93" s="330">
        <v>13234964096.879999</v>
      </c>
      <c r="M93" s="330">
        <v>56895.68</v>
      </c>
      <c r="N93" s="23">
        <f>((L93-H93)/H93)</f>
        <v>-1.3919487756192497E-2</v>
      </c>
      <c r="O93" s="23">
        <f t="shared" si="55"/>
        <v>3.1733717471529614E-3</v>
      </c>
      <c r="P93" s="330">
        <v>13225551299.139999</v>
      </c>
      <c r="Q93" s="330">
        <v>56924.77</v>
      </c>
      <c r="R93" s="23">
        <f>((P93-L93)/L93)</f>
        <v>-7.1120689645230977E-4</v>
      </c>
      <c r="S93" s="23">
        <f t="shared" si="56"/>
        <v>5.1128662140950785E-4</v>
      </c>
      <c r="T93" s="330">
        <v>13206440467.370001</v>
      </c>
      <c r="U93" s="330">
        <v>56935.11</v>
      </c>
      <c r="V93" s="23">
        <f>((T93-P93)/P93)</f>
        <v>-1.4449932057835082E-3</v>
      </c>
      <c r="W93" s="23">
        <f t="shared" si="57"/>
        <v>1.8164324598946618E-4</v>
      </c>
      <c r="X93" s="330">
        <v>13184477272.639999</v>
      </c>
      <c r="Y93" s="330">
        <v>56919</v>
      </c>
      <c r="Z93" s="23">
        <f>((X93-T93)/T93)</f>
        <v>-1.663066954662562E-3</v>
      </c>
      <c r="AA93" s="23">
        <f t="shared" si="58"/>
        <v>-2.8295369939569068E-4</v>
      </c>
      <c r="AB93" s="330">
        <v>13187329635.59</v>
      </c>
      <c r="AC93" s="330">
        <v>57009.91</v>
      </c>
      <c r="AD93" s="23">
        <f>((AB93-X93)/X93)</f>
        <v>2.163425133220787E-4</v>
      </c>
      <c r="AE93" s="23">
        <f t="shared" si="59"/>
        <v>1.5971819603296526E-3</v>
      </c>
      <c r="AF93" s="330">
        <v>13206440467.370001</v>
      </c>
      <c r="AG93" s="330">
        <v>57152.72</v>
      </c>
      <c r="AH93" s="23">
        <f>((AF93-AB93)/AB93)</f>
        <v>1.4491813208660775E-3</v>
      </c>
      <c r="AI93" s="23">
        <f t="shared" si="60"/>
        <v>2.5050030775350752E-3</v>
      </c>
      <c r="AJ93" s="24">
        <f t="shared" si="48"/>
        <v>4.8873771662254597E-4</v>
      </c>
      <c r="AK93" s="24">
        <f t="shared" si="49"/>
        <v>1.7574865837394981E-3</v>
      </c>
      <c r="AL93" s="25">
        <f t="shared" si="50"/>
        <v>3.5112055145766759E-3</v>
      </c>
      <c r="AM93" s="25">
        <f t="shared" si="51"/>
        <v>1.269969522999506E-2</v>
      </c>
      <c r="AN93" s="26">
        <f t="shared" si="52"/>
        <v>9.2146251537775781E-3</v>
      </c>
      <c r="AO93" s="78">
        <f t="shared" si="53"/>
        <v>1.7376008370170342E-3</v>
      </c>
      <c r="AP93" s="30"/>
      <c r="AQ93" s="28">
        <v>885354617.76999998</v>
      </c>
      <c r="AR93" s="28">
        <v>1763.14</v>
      </c>
      <c r="AS93" s="29" t="e">
        <f>(#REF!/AQ93)-1</f>
        <v>#REF!</v>
      </c>
      <c r="AT93" s="29" t="e">
        <f>(#REF!/AR93)-1</f>
        <v>#REF!</v>
      </c>
    </row>
    <row r="94" spans="1:46" s="374" customFormat="1">
      <c r="A94" s="206" t="s">
        <v>276</v>
      </c>
      <c r="B94" s="330">
        <v>0</v>
      </c>
      <c r="C94" s="330">
        <v>0</v>
      </c>
      <c r="D94" s="330">
        <v>0</v>
      </c>
      <c r="E94" s="330">
        <v>0</v>
      </c>
      <c r="F94" s="23" t="e">
        <f>((D94-B94)/B94)</f>
        <v>#DIV/0!</v>
      </c>
      <c r="G94" s="23" t="e">
        <f>((E94-C94)/C94)</f>
        <v>#DIV/0!</v>
      </c>
      <c r="H94" s="330">
        <v>0</v>
      </c>
      <c r="I94" s="330">
        <v>0</v>
      </c>
      <c r="J94" s="23" t="e">
        <f>((H94-D94)/D94)</f>
        <v>#DIV/0!</v>
      </c>
      <c r="K94" s="23" t="e">
        <f t="shared" ref="K94" si="61">((I94-E94)/E94)</f>
        <v>#DIV/0!</v>
      </c>
      <c r="L94" s="330">
        <v>0</v>
      </c>
      <c r="M94" s="330">
        <v>0</v>
      </c>
      <c r="N94" s="23" t="e">
        <f>((L94-H94)/H94)</f>
        <v>#DIV/0!</v>
      </c>
      <c r="O94" s="23" t="e">
        <f t="shared" ref="O94" si="62">((M94-I94)/I94)</f>
        <v>#DIV/0!</v>
      </c>
      <c r="P94" s="330">
        <v>7153819328.8199997</v>
      </c>
      <c r="Q94" s="330">
        <v>49686.879999999997</v>
      </c>
      <c r="R94" s="23" t="e">
        <f>((P94-L94)/L94)</f>
        <v>#DIV/0!</v>
      </c>
      <c r="S94" s="23" t="e">
        <f t="shared" ref="S94" si="63">((Q94-M94)/M94)</f>
        <v>#DIV/0!</v>
      </c>
      <c r="T94" s="330">
        <v>7182895927.8599997</v>
      </c>
      <c r="U94" s="330">
        <v>49730.83</v>
      </c>
      <c r="V94" s="23">
        <f>((T94-P94)/P94)</f>
        <v>4.064486074293416E-3</v>
      </c>
      <c r="W94" s="23">
        <f t="shared" si="57"/>
        <v>8.8453933915762814E-4</v>
      </c>
      <c r="X94" s="330">
        <v>7470822431.4300003</v>
      </c>
      <c r="Y94" s="330">
        <v>49740.57</v>
      </c>
      <c r="Z94" s="23">
        <f>((X94-T94)/T94)</f>
        <v>4.0085016748360798E-2</v>
      </c>
      <c r="AA94" s="23">
        <f t="shared" si="58"/>
        <v>1.958543623743654E-4</v>
      </c>
      <c r="AB94" s="330">
        <v>7636845106.1330996</v>
      </c>
      <c r="AC94" s="330">
        <v>49848.42</v>
      </c>
      <c r="AD94" s="23">
        <f>((AB94-X94)/X94)</f>
        <v>2.22228109725425E-2</v>
      </c>
      <c r="AE94" s="23">
        <f t="shared" si="59"/>
        <v>2.1682501828989603E-3</v>
      </c>
      <c r="AF94" s="330">
        <v>7852544963.21</v>
      </c>
      <c r="AG94" s="330">
        <v>50022.52</v>
      </c>
      <c r="AH94" s="23">
        <f>((AF94-AB94)/AB94)</f>
        <v>2.824462904238733E-2</v>
      </c>
      <c r="AI94" s="23">
        <f t="shared" si="60"/>
        <v>3.4925881301754108E-3</v>
      </c>
      <c r="AJ94" s="24" t="e">
        <f t="shared" si="48"/>
        <v>#DIV/0!</v>
      </c>
      <c r="AK94" s="24" t="e">
        <f t="shared" si="49"/>
        <v>#DIV/0!</v>
      </c>
      <c r="AL94" s="25" t="e">
        <f t="shared" si="50"/>
        <v>#DIV/0!</v>
      </c>
      <c r="AM94" s="25" t="e">
        <f t="shared" si="51"/>
        <v>#DIV/0!</v>
      </c>
      <c r="AN94" s="26" t="e">
        <f t="shared" si="52"/>
        <v>#DIV/0!</v>
      </c>
      <c r="AO94" s="78" t="e">
        <f t="shared" si="53"/>
        <v>#DIV/0!</v>
      </c>
      <c r="AP94" s="30"/>
      <c r="AQ94" s="28"/>
      <c r="AR94" s="28"/>
      <c r="AS94" s="29"/>
      <c r="AT94" s="29"/>
    </row>
    <row r="95" spans="1:46">
      <c r="A95" s="206" t="s">
        <v>241</v>
      </c>
      <c r="B95" s="330">
        <f>80070.43*460.9</f>
        <v>36904461.186999992</v>
      </c>
      <c r="C95" s="330">
        <f>101.32*460.9</f>
        <v>46698.387999999992</v>
      </c>
      <c r="D95" s="330">
        <f>80123.38*460.85</f>
        <v>36924859.673</v>
      </c>
      <c r="E95" s="330">
        <f>101.39*460.85</f>
        <v>46725.5815</v>
      </c>
      <c r="F95" s="23">
        <f>((D95-B95)/B95)</f>
        <v>5.5273767300508577E-4</v>
      </c>
      <c r="G95" s="23">
        <f>((E95-C95)/C95)</f>
        <v>5.8232202790401463E-4</v>
      </c>
      <c r="H95" s="330">
        <f>80176.31*460.86</f>
        <v>36950054.226599999</v>
      </c>
      <c r="I95" s="330">
        <f>101.46*460.86</f>
        <v>46758.855599999995</v>
      </c>
      <c r="J95" s="23">
        <f>((H95-D95)/D95)</f>
        <v>6.8231954902785944E-4</v>
      </c>
      <c r="K95" s="23">
        <f t="shared" si="54"/>
        <v>7.1211740831936114E-4</v>
      </c>
      <c r="L95" s="330">
        <f>80229.23*460.93</f>
        <v>36980058.983899996</v>
      </c>
      <c r="M95" s="330">
        <f>101.52*460.93</f>
        <v>46793.613599999997</v>
      </c>
      <c r="N95" s="23">
        <f>((L95-H95)/H95)</f>
        <v>8.120355417069122E-4</v>
      </c>
      <c r="O95" s="23">
        <f t="shared" si="55"/>
        <v>7.4334582303168324E-4</v>
      </c>
      <c r="P95" s="330">
        <f>80282.13*460.97</f>
        <v>37007653.466100007</v>
      </c>
      <c r="Q95" s="330">
        <f>101.59*460.97</f>
        <v>46829.942300000002</v>
      </c>
      <c r="R95" s="23">
        <f>((P95-L95)/L95)</f>
        <v>7.4619897745499585E-4</v>
      </c>
      <c r="S95" s="23">
        <f t="shared" si="56"/>
        <v>7.763602168139775E-4</v>
      </c>
      <c r="T95" s="330">
        <f>84323.95*460.81</f>
        <v>38857319.399499997</v>
      </c>
      <c r="U95" s="330">
        <f>101.88*460.81</f>
        <v>46947.322800000002</v>
      </c>
      <c r="V95" s="23">
        <f>((T95-P95)/P95)</f>
        <v>4.9980632657359192E-2</v>
      </c>
      <c r="W95" s="23">
        <f t="shared" si="57"/>
        <v>2.5065266843175096E-3</v>
      </c>
      <c r="X95" s="330">
        <f>84375.74*461</f>
        <v>38897216.140000001</v>
      </c>
      <c r="Y95" s="330">
        <f>101.72*461</f>
        <v>46892.92</v>
      </c>
      <c r="Z95" s="23">
        <f>((X95-T95)/T95)</f>
        <v>1.0267496861998276E-3</v>
      </c>
      <c r="AA95" s="23">
        <f t="shared" si="58"/>
        <v>-1.1588051619421307E-3</v>
      </c>
      <c r="AB95" s="330">
        <f>84427.53*461.03</f>
        <v>38923624.155899994</v>
      </c>
      <c r="AC95" s="330">
        <f>101.78*461.03</f>
        <v>46923.633399999999</v>
      </c>
      <c r="AD95" s="23">
        <f>((AB95-X95)/X95)</f>
        <v>6.7891788977763787E-4</v>
      </c>
      <c r="AE95" s="23">
        <f t="shared" si="59"/>
        <v>6.5496880979048751E-4</v>
      </c>
      <c r="AF95" s="330">
        <f>84479.3*461.31</f>
        <v>38971145.883000001</v>
      </c>
      <c r="AG95" s="330">
        <f>101.84*461.31</f>
        <v>46979.810400000002</v>
      </c>
      <c r="AH95" s="23">
        <f>((AF95-AB95)/AB95)</f>
        <v>1.220896772347545E-3</v>
      </c>
      <c r="AI95" s="23">
        <f t="shared" si="60"/>
        <v>1.1972005560848859E-3</v>
      </c>
      <c r="AJ95" s="24">
        <f t="shared" si="48"/>
        <v>6.9625610933598814E-3</v>
      </c>
      <c r="AK95" s="24">
        <f t="shared" si="49"/>
        <v>7.5175454553997375E-4</v>
      </c>
      <c r="AL95" s="25">
        <f t="shared" si="50"/>
        <v>5.5417575804527039E-2</v>
      </c>
      <c r="AM95" s="25">
        <f t="shared" si="51"/>
        <v>5.4408932289050672E-3</v>
      </c>
      <c r="AN95" s="26">
        <f t="shared" si="52"/>
        <v>1.7383237458970659E-2</v>
      </c>
      <c r="AO95" s="78">
        <f t="shared" si="53"/>
        <v>9.9772655201652667E-4</v>
      </c>
      <c r="AP95" s="30"/>
      <c r="AQ95" s="33">
        <v>113791197</v>
      </c>
      <c r="AR95" s="32">
        <v>81.52</v>
      </c>
      <c r="AS95" s="29" t="e">
        <f>(#REF!/AQ95)-1</f>
        <v>#REF!</v>
      </c>
      <c r="AT95" s="29" t="e">
        <f>(#REF!/AR95)-1</f>
        <v>#REF!</v>
      </c>
    </row>
    <row r="96" spans="1:46">
      <c r="A96" s="206" t="s">
        <v>122</v>
      </c>
      <c r="B96" s="330">
        <v>5813282404.3199997</v>
      </c>
      <c r="C96" s="330">
        <v>460.4</v>
      </c>
      <c r="D96" s="330">
        <v>5822418592.3299999</v>
      </c>
      <c r="E96" s="330">
        <v>460.35</v>
      </c>
      <c r="F96" s="23">
        <f>((D96-B96)/B96)</f>
        <v>1.571605742602646E-3</v>
      </c>
      <c r="G96" s="23">
        <f>((E96-C96)/C96)</f>
        <v>-1.0860121633352417E-4</v>
      </c>
      <c r="H96" s="330">
        <v>5830206478.21</v>
      </c>
      <c r="I96" s="330">
        <v>460.36</v>
      </c>
      <c r="J96" s="23">
        <f t="shared" ref="J96" si="64">((H96-D96)/D96)</f>
        <v>1.33756887391423E-3</v>
      </c>
      <c r="K96" s="23">
        <f t="shared" si="54"/>
        <v>2.1722602367743901E-5</v>
      </c>
      <c r="L96" s="330">
        <v>5829468228.9700003</v>
      </c>
      <c r="M96" s="330">
        <v>460.43</v>
      </c>
      <c r="N96" s="23">
        <f t="shared" ref="N96" si="65">((L96-H96)/H96)</f>
        <v>-1.2662488760199615E-4</v>
      </c>
      <c r="O96" s="23">
        <f t="shared" si="55"/>
        <v>1.5205491354590577E-4</v>
      </c>
      <c r="P96" s="330">
        <v>5830614986.2200003</v>
      </c>
      <c r="Q96" s="330">
        <v>460.47</v>
      </c>
      <c r="R96" s="23">
        <f t="shared" ref="R96" si="66">((P96-L96)/L96)</f>
        <v>1.9671729992473409E-4</v>
      </c>
      <c r="S96" s="23">
        <f t="shared" si="56"/>
        <v>8.6875312208197687E-5</v>
      </c>
      <c r="T96" s="330">
        <v>5839257050.3199997</v>
      </c>
      <c r="U96" s="330">
        <v>460.31</v>
      </c>
      <c r="V96" s="23">
        <f t="shared" ref="V96" si="67">((T96-P96)/P96)</f>
        <v>1.4821874056894461E-3</v>
      </c>
      <c r="W96" s="23">
        <f t="shared" si="57"/>
        <v>-3.4747106217565749E-4</v>
      </c>
      <c r="X96" s="330">
        <v>5848133666.3100004</v>
      </c>
      <c r="Y96" s="330">
        <v>460.5</v>
      </c>
      <c r="Z96" s="23">
        <f t="shared" ref="Z96" si="68">((X96-T96)/T96)</f>
        <v>1.5201618824974101E-3</v>
      </c>
      <c r="AA96" s="23">
        <f t="shared" si="58"/>
        <v>4.1276531033433494E-4</v>
      </c>
      <c r="AB96" s="330">
        <v>5891862899.6499996</v>
      </c>
      <c r="AC96" s="330">
        <v>460.53</v>
      </c>
      <c r="AD96" s="23">
        <f t="shared" ref="AD96" si="69">((AB96-X96)/X96)</f>
        <v>7.4774681693606116E-3</v>
      </c>
      <c r="AE96" s="23">
        <f t="shared" si="59"/>
        <v>6.5146579804501004E-5</v>
      </c>
      <c r="AF96" s="330">
        <v>5904820210.9300003</v>
      </c>
      <c r="AG96" s="330">
        <v>460.81</v>
      </c>
      <c r="AH96" s="23">
        <f t="shared" ref="AH96" si="70">((AF96-AB96)/AB96)</f>
        <v>2.1991875066832262E-3</v>
      </c>
      <c r="AI96" s="23">
        <f t="shared" si="60"/>
        <v>6.0799513603897594E-4</v>
      </c>
      <c r="AJ96" s="24">
        <f t="shared" si="48"/>
        <v>1.9572839991337885E-3</v>
      </c>
      <c r="AK96" s="24">
        <f t="shared" si="49"/>
        <v>1.1131094697380969E-4</v>
      </c>
      <c r="AL96" s="25">
        <f t="shared" si="50"/>
        <v>1.415247242933544E-2</v>
      </c>
      <c r="AM96" s="25">
        <f t="shared" si="51"/>
        <v>9.9923970891708375E-4</v>
      </c>
      <c r="AN96" s="26">
        <f t="shared" si="52"/>
        <v>2.3580503145822348E-3</v>
      </c>
      <c r="AO96" s="78">
        <f t="shared" si="53"/>
        <v>2.949156295063723E-4</v>
      </c>
      <c r="AP96" s="30"/>
      <c r="AQ96" s="28">
        <v>1066913090.3099999</v>
      </c>
      <c r="AR96" s="32">
        <v>1.1691</v>
      </c>
      <c r="AS96" s="29" t="e">
        <f>(#REF!/AQ96)-1</f>
        <v>#REF!</v>
      </c>
      <c r="AT96" s="29" t="e">
        <f>(#REF!/AR96)-1</f>
        <v>#REF!</v>
      </c>
    </row>
    <row r="97" spans="1:46" s="306" customFormat="1">
      <c r="A97" s="217" t="s">
        <v>255</v>
      </c>
      <c r="B97" s="330">
        <f>1225411.12*460.9</f>
        <v>564791985.20800006</v>
      </c>
      <c r="C97" s="330">
        <f>102.54*460.9</f>
        <v>47260.686000000002</v>
      </c>
      <c r="D97" s="330">
        <f>1261446.31*460.85</f>
        <v>581337531.96350002</v>
      </c>
      <c r="E97" s="330">
        <f>102.65*460.85</f>
        <v>47306.252500000002</v>
      </c>
      <c r="F97" s="23">
        <f>((D97-B97)/B97)</f>
        <v>2.9294939002023214E-2</v>
      </c>
      <c r="G97" s="23">
        <f>((E97-C97)/C97)</f>
        <v>9.6415231890626416E-4</v>
      </c>
      <c r="H97" s="330">
        <f>1261205.8*460.86</f>
        <v>581239304.98800004</v>
      </c>
      <c r="I97" s="330">
        <f>100.48*460.86</f>
        <v>46307.212800000001</v>
      </c>
      <c r="J97" s="23">
        <f>((H97-D97)/D97)</f>
        <v>-1.68967200807112E-4</v>
      </c>
      <c r="K97" s="23">
        <f t="shared" si="54"/>
        <v>-2.1118555100089594E-2</v>
      </c>
      <c r="L97" s="330">
        <f>1522270.9*460.93</f>
        <v>701660325.93699992</v>
      </c>
      <c r="M97" s="330">
        <f>100.68*460.93</f>
        <v>46406.432400000005</v>
      </c>
      <c r="N97" s="23">
        <f>((L97-H97)/H97)</f>
        <v>0.20717976213168521</v>
      </c>
      <c r="O97" s="23">
        <f t="shared" si="55"/>
        <v>2.1426381334703E-3</v>
      </c>
      <c r="P97" s="330">
        <f>1558676.46*460.97</f>
        <v>718503087.76620007</v>
      </c>
      <c r="Q97" s="330">
        <f>100.84*460.97</f>
        <v>46484.214800000002</v>
      </c>
      <c r="R97" s="23">
        <f>((P97-L97)/L97)</f>
        <v>2.4004153016216584E-2</v>
      </c>
      <c r="S97" s="23">
        <f t="shared" si="56"/>
        <v>1.6761124692704541E-3</v>
      </c>
      <c r="T97" s="330">
        <f>1569661.91*460.81</f>
        <v>723315904.7471</v>
      </c>
      <c r="U97" s="330">
        <f>101.05*460.81</f>
        <v>46564.8505</v>
      </c>
      <c r="V97" s="23">
        <f>((T97-P97)/P97)</f>
        <v>6.6983942906394499E-3</v>
      </c>
      <c r="W97" s="23">
        <f t="shared" si="57"/>
        <v>1.7346899446820151E-3</v>
      </c>
      <c r="X97" s="330">
        <f>1573650.61*461</f>
        <v>725452931.21000004</v>
      </c>
      <c r="Y97" s="330">
        <f>101.24*461</f>
        <v>46671.64</v>
      </c>
      <c r="Z97" s="23">
        <f>((X97-T97)/T97)</f>
        <v>2.9544856526378081E-3</v>
      </c>
      <c r="AA97" s="23">
        <f t="shared" si="58"/>
        <v>2.2933500022726144E-3</v>
      </c>
      <c r="AB97" s="330">
        <f>1754294.48*461.03</f>
        <v>808782384.11439991</v>
      </c>
      <c r="AC97" s="330">
        <f>101.42*461.03</f>
        <v>46757.662599999996</v>
      </c>
      <c r="AD97" s="23">
        <f>((AB97-X97)/X97)</f>
        <v>0.11486541623784291</v>
      </c>
      <c r="AE97" s="23">
        <f t="shared" si="59"/>
        <v>1.8431450019754309E-3</v>
      </c>
      <c r="AF97" s="330">
        <f>1778343.24*461.31</f>
        <v>820367520.04439998</v>
      </c>
      <c r="AG97" s="330">
        <f>101.62*461.31</f>
        <v>46878.322200000002</v>
      </c>
      <c r="AH97" s="23">
        <f>((AF97-AB97)/AB97)</f>
        <v>1.4324169464553253E-2</v>
      </c>
      <c r="AI97" s="23">
        <f t="shared" si="60"/>
        <v>2.5805310464772106E-3</v>
      </c>
      <c r="AJ97" s="24">
        <f t="shared" si="48"/>
        <v>4.9894044074348907E-2</v>
      </c>
      <c r="AK97" s="24">
        <f t="shared" si="49"/>
        <v>-9.8549202287941335E-4</v>
      </c>
      <c r="AL97" s="25">
        <f t="shared" si="50"/>
        <v>0.41117246855464984</v>
      </c>
      <c r="AM97" s="25">
        <f t="shared" si="51"/>
        <v>-9.0459564515282618E-3</v>
      </c>
      <c r="AN97" s="26">
        <f t="shared" si="52"/>
        <v>7.3577358005179921E-2</v>
      </c>
      <c r="AO97" s="78">
        <f t="shared" si="53"/>
        <v>8.1493083106148195E-3</v>
      </c>
      <c r="AP97" s="30"/>
      <c r="AQ97" s="28"/>
      <c r="AR97" s="32"/>
      <c r="AS97" s="29"/>
      <c r="AT97" s="29"/>
    </row>
    <row r="98" spans="1:46" s="306" customFormat="1">
      <c r="A98" s="217" t="s">
        <v>130</v>
      </c>
      <c r="B98" s="330">
        <f>1692768.98*460.9</f>
        <v>780197222.88199997</v>
      </c>
      <c r="C98" s="330">
        <f>127.13*460.9</f>
        <v>58594.216999999997</v>
      </c>
      <c r="D98" s="330">
        <f>1698778.13*460.85</f>
        <v>782881901.2105</v>
      </c>
      <c r="E98" s="330">
        <f>127.51*460.85</f>
        <v>58762.983500000002</v>
      </c>
      <c r="F98" s="23">
        <f>((D110-B98)/B98)</f>
        <v>5.4971075793699136</v>
      </c>
      <c r="G98" s="23">
        <f>((E98-C98)/C98)</f>
        <v>2.8802586439546619E-3</v>
      </c>
      <c r="H98" s="330">
        <f>1692043.14*460.86</f>
        <v>779795001.50039995</v>
      </c>
      <c r="I98" s="330">
        <f>127.81*460.86</f>
        <v>58902.516600000003</v>
      </c>
      <c r="J98" s="23">
        <f>((H110-D98)/D98)</f>
        <v>5.5412280578997217</v>
      </c>
      <c r="K98" s="23">
        <f t="shared" si="54"/>
        <v>2.3745067334778971E-3</v>
      </c>
      <c r="L98" s="330">
        <f>1711379.01*460.93</f>
        <v>788825927.07930005</v>
      </c>
      <c r="M98" s="330">
        <f>128.27*460.93</f>
        <v>59123.491100000007</v>
      </c>
      <c r="N98" s="23">
        <f>((L110-H98)/H98)</f>
        <v>5.6988175755667774</v>
      </c>
      <c r="O98" s="23">
        <f t="shared" si="55"/>
        <v>3.7515290136177965E-3</v>
      </c>
      <c r="P98" s="330">
        <f>1734343.84*460.97</f>
        <v>799480479.92480004</v>
      </c>
      <c r="Q98" s="330">
        <f>128.53*460.97</f>
        <v>59248.474100000007</v>
      </c>
      <c r="R98" s="23">
        <f>((P110-L98)/L98)</f>
        <v>5.5923980098428263</v>
      </c>
      <c r="S98" s="23">
        <f t="shared" si="56"/>
        <v>2.1139313270355947E-3</v>
      </c>
      <c r="T98" s="330">
        <f>1719589.23*460.81</f>
        <v>792403913.07630002</v>
      </c>
      <c r="U98" s="330">
        <f>128.23*460.81</f>
        <v>59089.666299999997</v>
      </c>
      <c r="V98" s="23">
        <f>((T110-P98)/P98)</f>
        <v>5.700521859125165</v>
      </c>
      <c r="W98" s="23">
        <f t="shared" si="57"/>
        <v>-2.6803694510675945E-3</v>
      </c>
      <c r="X98" s="330">
        <f>1720954.35*461</f>
        <v>793359955.35000002</v>
      </c>
      <c r="Y98" s="330">
        <f>128.42*461</f>
        <v>59201.619999999995</v>
      </c>
      <c r="Z98" s="23">
        <f>((X110-T98)/T98)</f>
        <v>5.8477130795257946</v>
      </c>
      <c r="AA98" s="23">
        <f t="shared" si="58"/>
        <v>1.8946409247194921E-3</v>
      </c>
      <c r="AB98" s="330">
        <f>1722269.22*461.03</f>
        <v>794017778.49659991</v>
      </c>
      <c r="AC98" s="330">
        <f>128.553101*461.03</f>
        <v>59266.836154029996</v>
      </c>
      <c r="AD98" s="23">
        <f>((AB110-X98)/X98)</f>
        <v>5.9373329051778683</v>
      </c>
      <c r="AE98" s="23">
        <f t="shared" si="59"/>
        <v>1.1015940785066411E-3</v>
      </c>
      <c r="AF98" s="330">
        <f>1711619.73*461.31</f>
        <v>789587297.64629996</v>
      </c>
      <c r="AG98" s="330">
        <f>130.84*461.31</f>
        <v>60357.8004</v>
      </c>
      <c r="AH98" s="23">
        <f>((AF110-AB98)/AB98)</f>
        <v>5.9737403026344342</v>
      </c>
      <c r="AI98" s="23">
        <f t="shared" si="60"/>
        <v>1.8407668044480581E-2</v>
      </c>
      <c r="AJ98" s="24">
        <f t="shared" si="48"/>
        <v>5.7236074211428125</v>
      </c>
      <c r="AK98" s="24">
        <f t="shared" si="49"/>
        <v>3.7304699143406337E-3</v>
      </c>
      <c r="AL98" s="25">
        <f t="shared" si="50"/>
        <v>8.5650165439155046E-3</v>
      </c>
      <c r="AM98" s="25">
        <f t="shared" si="51"/>
        <v>2.7139821789341208E-2</v>
      </c>
      <c r="AN98" s="26">
        <f t="shared" si="52"/>
        <v>0.1799107139917468</v>
      </c>
      <c r="AO98" s="78">
        <f t="shared" si="53"/>
        <v>6.2332678703168644E-3</v>
      </c>
      <c r="AP98" s="30"/>
      <c r="AQ98" s="28"/>
      <c r="AR98" s="32"/>
      <c r="AS98" s="29"/>
      <c r="AT98" s="29"/>
    </row>
    <row r="99" spans="1:46">
      <c r="A99" s="217" t="s">
        <v>168</v>
      </c>
      <c r="B99" s="330">
        <v>67457423864.040001</v>
      </c>
      <c r="C99" s="330">
        <v>58536.73</v>
      </c>
      <c r="D99" s="330">
        <v>67650100725.160004</v>
      </c>
      <c r="E99" s="330">
        <v>58683.75</v>
      </c>
      <c r="F99" s="23">
        <f>((D111-B99)/B99)</f>
        <v>3.6814581659528778</v>
      </c>
      <c r="G99" s="23">
        <f>((E99-C99)/C99)</f>
        <v>2.5115854609575354E-3</v>
      </c>
      <c r="H99" s="330">
        <v>69523723907.869995</v>
      </c>
      <c r="I99" s="330">
        <v>58980.76</v>
      </c>
      <c r="J99" s="23">
        <f>((H111-D99)/D99)</f>
        <v>3.853932472567144</v>
      </c>
      <c r="K99" s="23">
        <f t="shared" si="54"/>
        <v>5.0611966685837565E-3</v>
      </c>
      <c r="L99" s="330">
        <v>69539948270.880005</v>
      </c>
      <c r="M99" s="330">
        <v>59155.22</v>
      </c>
      <c r="N99" s="23">
        <f>((L111-H99)/H99)</f>
        <v>3.736346379068419</v>
      </c>
      <c r="O99" s="23">
        <f t="shared" si="55"/>
        <v>2.9579137332241753E-3</v>
      </c>
      <c r="P99" s="330">
        <v>69882566645.910004</v>
      </c>
      <c r="Q99" s="330">
        <v>59181.31</v>
      </c>
      <c r="R99" s="23">
        <f>((P111-L99)/L99)</f>
        <v>3.792941712452548</v>
      </c>
      <c r="S99" s="23">
        <f t="shared" si="56"/>
        <v>4.4104307278371217E-4</v>
      </c>
      <c r="T99" s="330">
        <v>69076569590.919998</v>
      </c>
      <c r="U99" s="330">
        <v>59180.85</v>
      </c>
      <c r="V99" s="23">
        <f>((T111-P99)/P99)</f>
        <v>3.7605825391875056</v>
      </c>
      <c r="W99" s="23">
        <f t="shared" si="57"/>
        <v>-7.7727241928089612E-6</v>
      </c>
      <c r="X99" s="330">
        <v>68829528747.479996</v>
      </c>
      <c r="Y99" s="330">
        <v>59163.86</v>
      </c>
      <c r="Z99" s="23">
        <f>((X111-T99)/T99)</f>
        <v>3.8430177431957708</v>
      </c>
      <c r="AA99" s="23">
        <f t="shared" si="58"/>
        <v>-2.8708610978040979E-4</v>
      </c>
      <c r="AB99" s="330">
        <v>67931334769.089996</v>
      </c>
      <c r="AC99" s="330">
        <v>59234.32</v>
      </c>
      <c r="AD99" s="23">
        <f>((AB111-X99)/X99)</f>
        <v>3.8143956672398494</v>
      </c>
      <c r="AE99" s="23">
        <f t="shared" si="59"/>
        <v>1.1909297331174661E-3</v>
      </c>
      <c r="AF99" s="330">
        <v>68183648509.949997</v>
      </c>
      <c r="AG99" s="330">
        <v>59234.32</v>
      </c>
      <c r="AH99" s="23">
        <f>((AF111-AB99)/AB99)</f>
        <v>3.8526593944782639</v>
      </c>
      <c r="AI99" s="23">
        <f t="shared" si="60"/>
        <v>0</v>
      </c>
      <c r="AJ99" s="24">
        <f t="shared" si="48"/>
        <v>3.7919167592677971</v>
      </c>
      <c r="AK99" s="24">
        <f t="shared" si="49"/>
        <v>1.4834762293366782E-3</v>
      </c>
      <c r="AL99" s="25">
        <f t="shared" si="50"/>
        <v>7.8868734720384456E-3</v>
      </c>
      <c r="AM99" s="25">
        <f t="shared" si="51"/>
        <v>9.3819839393358417E-3</v>
      </c>
      <c r="AN99" s="26">
        <f t="shared" si="52"/>
        <v>6.2018753108632842E-2</v>
      </c>
      <c r="AO99" s="78">
        <f t="shared" si="53"/>
        <v>1.8808328165189022E-3</v>
      </c>
      <c r="AP99" s="30"/>
      <c r="AQ99" s="28">
        <v>4173976375.3699999</v>
      </c>
      <c r="AR99" s="32">
        <v>299.53579999999999</v>
      </c>
      <c r="AS99" s="29" t="e">
        <f>(#REF!/AQ99)-1</f>
        <v>#REF!</v>
      </c>
      <c r="AT99" s="29" t="e">
        <f>(#REF!/AR99)-1</f>
        <v>#REF!</v>
      </c>
    </row>
    <row r="100" spans="1:46" ht="6.75" customHeight="1">
      <c r="A100" s="208"/>
      <c r="B100" s="87"/>
      <c r="C100" s="87"/>
      <c r="D100" s="87"/>
      <c r="E100" s="87"/>
      <c r="F100" s="23"/>
      <c r="G100" s="23"/>
      <c r="H100" s="87"/>
      <c r="I100" s="87"/>
      <c r="J100" s="23"/>
      <c r="K100" s="23"/>
      <c r="L100" s="87"/>
      <c r="M100" s="87"/>
      <c r="N100" s="23"/>
      <c r="O100" s="23"/>
      <c r="P100" s="87"/>
      <c r="Q100" s="87"/>
      <c r="R100" s="23"/>
      <c r="S100" s="23"/>
      <c r="T100" s="87"/>
      <c r="U100" s="87"/>
      <c r="V100" s="23"/>
      <c r="W100" s="23"/>
      <c r="X100" s="87"/>
      <c r="Y100" s="87"/>
      <c r="Z100" s="23"/>
      <c r="AA100" s="23"/>
      <c r="AB100" s="87"/>
      <c r="AC100" s="87"/>
      <c r="AD100" s="23"/>
      <c r="AE100" s="23"/>
      <c r="AF100" s="87"/>
      <c r="AG100" s="87"/>
      <c r="AH100" s="23"/>
      <c r="AI100" s="23"/>
      <c r="AJ100" s="24" t="e">
        <f t="shared" si="48"/>
        <v>#DIV/0!</v>
      </c>
      <c r="AK100" s="24" t="e">
        <f t="shared" si="49"/>
        <v>#DIV/0!</v>
      </c>
      <c r="AL100" s="25" t="e">
        <f t="shared" si="50"/>
        <v>#DIV/0!</v>
      </c>
      <c r="AM100" s="25" t="e">
        <f t="shared" si="51"/>
        <v>#DIV/0!</v>
      </c>
      <c r="AN100" s="26" t="e">
        <f t="shared" si="52"/>
        <v>#DIV/0!</v>
      </c>
      <c r="AO100" s="78" t="e">
        <f t="shared" si="53"/>
        <v>#DIV/0!</v>
      </c>
      <c r="AP100" s="30"/>
      <c r="AQ100" s="50">
        <v>4131236617.7600002</v>
      </c>
      <c r="AR100" s="48">
        <v>103.24</v>
      </c>
      <c r="AS100" s="29" t="e">
        <f>(#REF!/AQ100)-1</f>
        <v>#REF!</v>
      </c>
      <c r="AT100" s="29" t="e">
        <f>(#REF!/AR100)-1</f>
        <v>#REF!</v>
      </c>
    </row>
    <row r="101" spans="1:46">
      <c r="A101" s="204" t="s">
        <v>201</v>
      </c>
      <c r="B101" s="87"/>
      <c r="C101" s="87"/>
      <c r="D101" s="87"/>
      <c r="E101" s="87"/>
      <c r="F101" s="23"/>
      <c r="G101" s="23"/>
      <c r="H101" s="87"/>
      <c r="I101" s="87"/>
      <c r="J101" s="23"/>
      <c r="K101" s="23"/>
      <c r="L101" s="87"/>
      <c r="M101" s="87"/>
      <c r="N101" s="23"/>
      <c r="O101" s="23"/>
      <c r="P101" s="87"/>
      <c r="Q101" s="87"/>
      <c r="R101" s="23"/>
      <c r="S101" s="23"/>
      <c r="T101" s="87"/>
      <c r="U101" s="87"/>
      <c r="V101" s="23"/>
      <c r="W101" s="23"/>
      <c r="X101" s="87"/>
      <c r="Y101" s="87"/>
      <c r="Z101" s="23"/>
      <c r="AA101" s="23"/>
      <c r="AB101" s="87"/>
      <c r="AC101" s="87"/>
      <c r="AD101" s="23"/>
      <c r="AE101" s="23"/>
      <c r="AF101" s="87"/>
      <c r="AG101" s="87"/>
      <c r="AH101" s="23"/>
      <c r="AI101" s="23"/>
      <c r="AJ101" s="24" t="e">
        <f t="shared" si="48"/>
        <v>#DIV/0!</v>
      </c>
      <c r="AK101" s="24" t="e">
        <f t="shared" si="49"/>
        <v>#DIV/0!</v>
      </c>
      <c r="AL101" s="25" t="e">
        <f t="shared" si="50"/>
        <v>#DIV/0!</v>
      </c>
      <c r="AM101" s="25" t="e">
        <f t="shared" si="51"/>
        <v>#DIV/0!</v>
      </c>
      <c r="AN101" s="26" t="e">
        <f t="shared" si="52"/>
        <v>#DIV/0!</v>
      </c>
      <c r="AO101" s="78" t="e">
        <f t="shared" si="53"/>
        <v>#DIV/0!</v>
      </c>
      <c r="AP101" s="30"/>
      <c r="AQ101" s="45">
        <v>2931134847.0043802</v>
      </c>
      <c r="AR101" s="49">
        <v>2254.1853324818899</v>
      </c>
      <c r="AS101" s="29" t="e">
        <f>(#REF!/AQ101)-1</f>
        <v>#REF!</v>
      </c>
      <c r="AT101" s="29" t="e">
        <f>(#REF!/AR101)-1</f>
        <v>#REF!</v>
      </c>
    </row>
    <row r="102" spans="1:46">
      <c r="A102" s="206" t="s">
        <v>151</v>
      </c>
      <c r="B102" s="329">
        <v>360557228.12</v>
      </c>
      <c r="C102" s="330">
        <v>43040.78</v>
      </c>
      <c r="D102" s="329">
        <v>382185147.95999998</v>
      </c>
      <c r="E102" s="330">
        <v>44414.57</v>
      </c>
      <c r="F102" s="23">
        <f>((D102-B102)/B102)</f>
        <v>5.9984707428474594E-2</v>
      </c>
      <c r="G102" s="23">
        <f>((E102-C102)/C102)</f>
        <v>3.1918334193757662E-2</v>
      </c>
      <c r="H102" s="329">
        <v>385055080.33999997</v>
      </c>
      <c r="I102" s="330">
        <v>44746.02</v>
      </c>
      <c r="J102" s="23">
        <f t="shared" ref="J102:K108" si="71">((H102-D102)/D102)</f>
        <v>7.5092723914545372E-3</v>
      </c>
      <c r="K102" s="23">
        <f t="shared" si="71"/>
        <v>7.462641200849115E-3</v>
      </c>
      <c r="L102" s="329">
        <v>378013764.69</v>
      </c>
      <c r="M102" s="330">
        <v>43931.199999999997</v>
      </c>
      <c r="N102" s="23">
        <f t="shared" ref="N102:O108" si="72">((L102-H102)/H102)</f>
        <v>-1.8286515383156513E-2</v>
      </c>
      <c r="O102" s="23">
        <f t="shared" si="72"/>
        <v>-1.8209887717388046E-2</v>
      </c>
      <c r="P102" s="329">
        <v>368864810.23000002</v>
      </c>
      <c r="Q102" s="330">
        <v>41505.160000000003</v>
      </c>
      <c r="R102" s="23">
        <f t="shared" ref="R102:R109" si="73">((P102-L102)/L102)</f>
        <v>-2.4202701897648664E-2</v>
      </c>
      <c r="S102" s="23">
        <f t="shared" ref="S102:S109" si="74">((Q102-M102)/M102)</f>
        <v>-5.5223622391375467E-2</v>
      </c>
      <c r="T102" s="329">
        <v>390563596.22000003</v>
      </c>
      <c r="U102" s="330">
        <v>42122.03</v>
      </c>
      <c r="V102" s="23">
        <f t="shared" ref="V102:V109" si="75">((T102-P102)/P102)</f>
        <v>5.8825849981379526E-2</v>
      </c>
      <c r="W102" s="23">
        <f t="shared" ref="W102:W109" si="76">((U102-Q102)/Q102)</f>
        <v>1.4862489386861666E-2</v>
      </c>
      <c r="X102" s="329">
        <v>390563596.22000003</v>
      </c>
      <c r="Y102" s="330">
        <v>42122.03</v>
      </c>
      <c r="Z102" s="23">
        <f t="shared" ref="Z102:Z109" si="77">((X102-T102)/T102)</f>
        <v>0</v>
      </c>
      <c r="AA102" s="23">
        <f t="shared" ref="AA102:AA109" si="78">((Y102-U102)/U102)</f>
        <v>0</v>
      </c>
      <c r="AB102" s="329">
        <v>390563596.22000003</v>
      </c>
      <c r="AC102" s="330">
        <v>42122.03</v>
      </c>
      <c r="AD102" s="23">
        <f t="shared" ref="AD102:AD109" si="79">((AB102-X102)/X102)</f>
        <v>0</v>
      </c>
      <c r="AE102" s="23">
        <f t="shared" ref="AE102:AE109" si="80">((AC102-Y102)/Y102)</f>
        <v>0</v>
      </c>
      <c r="AF102" s="329">
        <v>392500040.07999998</v>
      </c>
      <c r="AG102" s="330">
        <v>42333.79</v>
      </c>
      <c r="AH102" s="23">
        <f t="shared" ref="AH102:AH109" si="81">((AF102-AB102)/AB102)</f>
        <v>4.9580756597426912E-3</v>
      </c>
      <c r="AI102" s="23">
        <f t="shared" ref="AI102:AI109" si="82">((AG102-AC102)/AC102)</f>
        <v>5.027298067068516E-3</v>
      </c>
      <c r="AJ102" s="24">
        <f t="shared" si="48"/>
        <v>1.1098586022530773E-2</v>
      </c>
      <c r="AK102" s="24">
        <f t="shared" si="49"/>
        <v>-1.770343407528319E-3</v>
      </c>
      <c r="AL102" s="25">
        <f t="shared" si="50"/>
        <v>2.6989254226801027E-2</v>
      </c>
      <c r="AM102" s="25">
        <f t="shared" si="51"/>
        <v>-4.6849040753968771E-2</v>
      </c>
      <c r="AN102" s="26">
        <f t="shared" si="52"/>
        <v>3.1790285955252344E-2</v>
      </c>
      <c r="AO102" s="78">
        <f t="shared" si="53"/>
        <v>2.5847945324496743E-2</v>
      </c>
      <c r="AP102" s="30"/>
      <c r="AQ102" s="51">
        <v>1131224777.76</v>
      </c>
      <c r="AR102" s="52">
        <v>0.6573</v>
      </c>
      <c r="AS102" s="29" t="e">
        <f>(#REF!/AQ102)-1</f>
        <v>#REF!</v>
      </c>
      <c r="AT102" s="29" t="e">
        <f>(#REF!/AR102)-1</f>
        <v>#REF!</v>
      </c>
    </row>
    <row r="103" spans="1:46">
      <c r="A103" s="206" t="s">
        <v>232</v>
      </c>
      <c r="B103" s="330">
        <f>6536321.58*460.9</f>
        <v>3012590616.2220001</v>
      </c>
      <c r="C103" s="329">
        <f>126.13*460.9</f>
        <v>58133.316999999995</v>
      </c>
      <c r="D103" s="330">
        <f>6413426.62 *460.85</f>
        <v>2955627657.8270001</v>
      </c>
      <c r="E103" s="329">
        <f>126.23*460.85</f>
        <v>58173.095500000003</v>
      </c>
      <c r="F103" s="23">
        <f>((D103-B103)/B103)</f>
        <v>-1.8908297094291399E-2</v>
      </c>
      <c r="G103" s="23">
        <f>((E103-C103)/C103)</f>
        <v>6.8426338032642503E-4</v>
      </c>
      <c r="H103" s="330">
        <f>6457425.33*460.86</f>
        <v>2975969037.5838003</v>
      </c>
      <c r="I103" s="329">
        <f>126.38*460.86</f>
        <v>58243.486799999999</v>
      </c>
      <c r="J103" s="23">
        <f t="shared" si="71"/>
        <v>6.8822538261654083E-3</v>
      </c>
      <c r="K103" s="23">
        <f t="shared" si="71"/>
        <v>1.2100318780525557E-3</v>
      </c>
      <c r="L103" s="330">
        <f>6457425.33*460.93</f>
        <v>2976421057.3569002</v>
      </c>
      <c r="M103" s="329">
        <f>126.38*460.93</f>
        <v>58252.333399999996</v>
      </c>
      <c r="N103" s="23">
        <f t="shared" si="72"/>
        <v>1.5188994488561471E-4</v>
      </c>
      <c r="O103" s="23">
        <f t="shared" si="72"/>
        <v>1.518899448855992E-4</v>
      </c>
      <c r="P103" s="330">
        <f>6447047.27 *460.97</f>
        <v>2971895380.0518999</v>
      </c>
      <c r="Q103" s="329">
        <f>126.52*460.97</f>
        <v>58321.924400000004</v>
      </c>
      <c r="R103" s="23">
        <f t="shared" si="73"/>
        <v>-1.5205097725720178E-3</v>
      </c>
      <c r="S103" s="23">
        <f t="shared" si="74"/>
        <v>1.1946474233426609E-3</v>
      </c>
      <c r="T103" s="330">
        <f>6373878.32*460.81</f>
        <v>2937146868.6392002</v>
      </c>
      <c r="U103" s="329">
        <f>126.65*460.81</f>
        <v>58361.586500000005</v>
      </c>
      <c r="V103" s="23">
        <f t="shared" si="75"/>
        <v>-1.1692373710710122E-2</v>
      </c>
      <c r="W103" s="23">
        <f t="shared" si="76"/>
        <v>6.800547205537918E-4</v>
      </c>
      <c r="X103" s="330">
        <f>6373878.32  *461</f>
        <v>2938357905.52</v>
      </c>
      <c r="Y103" s="329">
        <f>126.65*461</f>
        <v>58385.65</v>
      </c>
      <c r="Z103" s="23">
        <f t="shared" si="77"/>
        <v>4.1231744102767726E-4</v>
      </c>
      <c r="AA103" s="23">
        <f t="shared" si="78"/>
        <v>4.1231744102769661E-4</v>
      </c>
      <c r="AB103" s="330">
        <f>6439295.42*461.03</f>
        <v>2968708367.4825997</v>
      </c>
      <c r="AC103" s="329">
        <f>126.86*461.03</f>
        <v>58486.265799999994</v>
      </c>
      <c r="AD103" s="23">
        <f t="shared" si="79"/>
        <v>1.0329055526416086E-2</v>
      </c>
      <c r="AE103" s="23">
        <f t="shared" si="80"/>
        <v>1.7232967347283502E-3</v>
      </c>
      <c r="AF103" s="330">
        <f>6247220.02 *461.31</f>
        <v>2881905067.4261999</v>
      </c>
      <c r="AG103" s="329">
        <f>126.96*461.31</f>
        <v>58567.917600000001</v>
      </c>
      <c r="AH103" s="23">
        <f t="shared" si="81"/>
        <v>-2.9239416376222613E-2</v>
      </c>
      <c r="AI103" s="23">
        <f t="shared" si="82"/>
        <v>1.3960850275383271E-3</v>
      </c>
      <c r="AJ103" s="24">
        <f t="shared" si="48"/>
        <v>-5.4481350269126707E-3</v>
      </c>
      <c r="AK103" s="24">
        <f t="shared" si="49"/>
        <v>9.3157331880692573E-4</v>
      </c>
      <c r="AL103" s="25">
        <f t="shared" si="50"/>
        <v>-2.4943125094113387E-2</v>
      </c>
      <c r="AM103" s="25">
        <f t="shared" si="51"/>
        <v>6.7870223615657099E-3</v>
      </c>
      <c r="AN103" s="26">
        <f t="shared" si="52"/>
        <v>1.3460424541377386E-2</v>
      </c>
      <c r="AO103" s="78">
        <f t="shared" si="53"/>
        <v>5.3335874949999077E-4</v>
      </c>
      <c r="AP103" s="30"/>
      <c r="AQ103" s="28">
        <v>318569106.36000001</v>
      </c>
      <c r="AR103" s="35">
        <v>123.8</v>
      </c>
      <c r="AS103" s="29" t="e">
        <f>(#REF!/AQ103)-1</f>
        <v>#REF!</v>
      </c>
      <c r="AT103" s="29" t="e">
        <f>(#REF!/AR103)-1</f>
        <v>#REF!</v>
      </c>
    </row>
    <row r="104" spans="1:46">
      <c r="A104" s="206" t="s">
        <v>145</v>
      </c>
      <c r="B104" s="329">
        <v>6045629860.3900003</v>
      </c>
      <c r="C104" s="329">
        <v>52784.800000000003</v>
      </c>
      <c r="D104" s="329">
        <v>6134857355.7600002</v>
      </c>
      <c r="E104" s="329">
        <v>52830.85</v>
      </c>
      <c r="F104" s="23">
        <f>((D104-B104)/B104)</f>
        <v>1.4759007321074047E-2</v>
      </c>
      <c r="G104" s="23">
        <f>((E104-C104)/C104)</f>
        <v>8.7241023931123414E-4</v>
      </c>
      <c r="H104" s="329">
        <v>6093639047.3699999</v>
      </c>
      <c r="I104" s="329">
        <v>52881.51</v>
      </c>
      <c r="J104" s="23">
        <f t="shared" si="71"/>
        <v>-6.7187068907642311E-3</v>
      </c>
      <c r="K104" s="23">
        <f t="shared" si="71"/>
        <v>9.5890942508029863E-4</v>
      </c>
      <c r="L104" s="329">
        <v>5711117250.6899996</v>
      </c>
      <c r="M104" s="329">
        <v>52936.77</v>
      </c>
      <c r="N104" s="23">
        <f t="shared" si="72"/>
        <v>-6.2773950623986469E-2</v>
      </c>
      <c r="O104" s="23">
        <f t="shared" si="72"/>
        <v>1.0449777247282606E-3</v>
      </c>
      <c r="P104" s="329">
        <v>5735137416.6599998</v>
      </c>
      <c r="Q104" s="329">
        <v>52959.8</v>
      </c>
      <c r="R104" s="23">
        <f t="shared" si="73"/>
        <v>4.2058611153707667E-3</v>
      </c>
      <c r="S104" s="23">
        <f t="shared" si="74"/>
        <v>4.3504732154995695E-4</v>
      </c>
      <c r="T104" s="329">
        <v>5687033592.8299999</v>
      </c>
      <c r="U104" s="329">
        <v>53038.09</v>
      </c>
      <c r="V104" s="23">
        <f t="shared" si="75"/>
        <v>-8.3875625526012906E-3</v>
      </c>
      <c r="W104" s="23">
        <f t="shared" si="76"/>
        <v>1.4782910811595512E-3</v>
      </c>
      <c r="X104" s="329">
        <v>5714030357.4499998</v>
      </c>
      <c r="Y104" s="329">
        <v>53162.43</v>
      </c>
      <c r="Z104" s="23">
        <f t="shared" si="77"/>
        <v>4.7470731760818861E-3</v>
      </c>
      <c r="AA104" s="23">
        <f t="shared" si="78"/>
        <v>2.3443528980776605E-3</v>
      </c>
      <c r="AB104" s="329">
        <v>5686187129.4399996</v>
      </c>
      <c r="AC104" s="329">
        <v>51007.199999999997</v>
      </c>
      <c r="AD104" s="23">
        <f t="shared" si="79"/>
        <v>-4.8727826539629775E-3</v>
      </c>
      <c r="AE104" s="23">
        <f t="shared" si="80"/>
        <v>-4.0540471908451198E-2</v>
      </c>
      <c r="AF104" s="329">
        <v>5680666365.0200005</v>
      </c>
      <c r="AG104" s="329">
        <v>51067.06</v>
      </c>
      <c r="AH104" s="23">
        <f t="shared" si="81"/>
        <v>-9.7090797300982096E-4</v>
      </c>
      <c r="AI104" s="23">
        <f t="shared" si="82"/>
        <v>1.1735598111639255E-3</v>
      </c>
      <c r="AJ104" s="24">
        <f t="shared" si="48"/>
        <v>-7.5014961352247609E-3</v>
      </c>
      <c r="AK104" s="24">
        <f t="shared" si="49"/>
        <v>-4.0291154259225392E-3</v>
      </c>
      <c r="AL104" s="25">
        <f t="shared" si="50"/>
        <v>-7.4034482694786879E-2</v>
      </c>
      <c r="AM104" s="25">
        <f t="shared" si="51"/>
        <v>-3.3385607083739915E-2</v>
      </c>
      <c r="AN104" s="26">
        <f t="shared" si="52"/>
        <v>2.3569412661072143E-2</v>
      </c>
      <c r="AO104" s="78">
        <f t="shared" si="53"/>
        <v>1.4763275492280226E-2</v>
      </c>
      <c r="AP104" s="30"/>
      <c r="AQ104" s="28">
        <v>1812522091.8199999</v>
      </c>
      <c r="AR104" s="32">
        <v>1.6227</v>
      </c>
      <c r="AS104" s="29" t="e">
        <f>(#REF!/AQ104)-1</f>
        <v>#REF!</v>
      </c>
      <c r="AT104" s="29" t="e">
        <f>(#REF!/AR104)-1</f>
        <v>#REF!</v>
      </c>
    </row>
    <row r="105" spans="1:46">
      <c r="A105" s="206" t="s">
        <v>156</v>
      </c>
      <c r="B105" s="329">
        <v>1704477990.9657764</v>
      </c>
      <c r="C105" s="329">
        <v>528.06456764343159</v>
      </c>
      <c r="D105" s="329">
        <v>1707768881.9635661</v>
      </c>
      <c r="E105" s="329">
        <v>528.06456764343159</v>
      </c>
      <c r="F105" s="23">
        <f>((D105-B105)/B105)</f>
        <v>1.9307324677891354E-3</v>
      </c>
      <c r="G105" s="23">
        <f>((E105-C105)/C105)</f>
        <v>0</v>
      </c>
      <c r="H105" s="329">
        <v>1713920200.681679</v>
      </c>
      <c r="I105" s="329">
        <v>530.83310788384358</v>
      </c>
      <c r="J105" s="23">
        <f t="shared" si="71"/>
        <v>3.601962058847363E-3</v>
      </c>
      <c r="K105" s="23">
        <f t="shared" si="71"/>
        <v>5.2428062969023387E-3</v>
      </c>
      <c r="L105" s="329">
        <v>1712416040.9213228</v>
      </c>
      <c r="M105" s="329">
        <v>531.52645097944651</v>
      </c>
      <c r="N105" s="23">
        <f t="shared" si="72"/>
        <v>-8.7761364838219252E-4</v>
      </c>
      <c r="O105" s="23">
        <f t="shared" si="72"/>
        <v>1.3061413941698671E-3</v>
      </c>
      <c r="P105" s="329">
        <v>1716306284.6169174</v>
      </c>
      <c r="Q105" s="329">
        <v>531.91015652020201</v>
      </c>
      <c r="R105" s="23">
        <f t="shared" si="73"/>
        <v>2.2717865300429562E-3</v>
      </c>
      <c r="S105" s="23">
        <f t="shared" si="74"/>
        <v>7.2189359541457196E-4</v>
      </c>
      <c r="T105" s="329">
        <v>1684379579.7274783</v>
      </c>
      <c r="U105" s="329">
        <v>532.78415377063072</v>
      </c>
      <c r="V105" s="23">
        <f t="shared" si="75"/>
        <v>-1.8601985656986161E-2</v>
      </c>
      <c r="W105" s="23">
        <f t="shared" si="76"/>
        <v>1.6431294640930976E-3</v>
      </c>
      <c r="X105" s="329">
        <v>1685301911.6629212</v>
      </c>
      <c r="Y105" s="329">
        <v>533.31672585611852</v>
      </c>
      <c r="Z105" s="23">
        <f t="shared" si="77"/>
        <v>5.4757962311093315E-4</v>
      </c>
      <c r="AA105" s="23">
        <f t="shared" si="78"/>
        <v>9.9960196210542324E-4</v>
      </c>
      <c r="AB105" s="329">
        <v>1701605744.8269351</v>
      </c>
      <c r="AC105" s="329">
        <v>535.97687989856763</v>
      </c>
      <c r="AD105" s="23">
        <f t="shared" si="79"/>
        <v>9.6741320063694364E-3</v>
      </c>
      <c r="AE105" s="23">
        <f t="shared" si="80"/>
        <v>4.9879441492835918E-3</v>
      </c>
      <c r="AF105" s="329">
        <v>1667048332.0026059</v>
      </c>
      <c r="AG105" s="329">
        <v>536.88120254257319</v>
      </c>
      <c r="AH105" s="23">
        <f t="shared" si="81"/>
        <v>-2.0308707189892489E-2</v>
      </c>
      <c r="AI105" s="23">
        <f t="shared" si="82"/>
        <v>1.687241890315682E-3</v>
      </c>
      <c r="AJ105" s="24">
        <f t="shared" si="48"/>
        <v>-2.7202642261376273E-3</v>
      </c>
      <c r="AK105" s="24">
        <f t="shared" si="49"/>
        <v>2.0735948440355717E-3</v>
      </c>
      <c r="AL105" s="25">
        <f t="shared" si="50"/>
        <v>-2.3844297897113745E-2</v>
      </c>
      <c r="AM105" s="25">
        <f t="shared" si="51"/>
        <v>1.6696130434365589E-2</v>
      </c>
      <c r="AN105" s="26">
        <f t="shared" si="52"/>
        <v>1.0795505084705042E-2</v>
      </c>
      <c r="AO105" s="78">
        <f t="shared" si="53"/>
        <v>1.9545273270406426E-3</v>
      </c>
      <c r="AP105" s="30"/>
      <c r="AQ105" s="28"/>
      <c r="AR105" s="32"/>
      <c r="AS105" s="29"/>
      <c r="AT105" s="29"/>
    </row>
    <row r="106" spans="1:46" ht="16.5" customHeight="1">
      <c r="A106" s="206" t="s">
        <v>196</v>
      </c>
      <c r="B106" s="330">
        <v>4292324383.25</v>
      </c>
      <c r="C106" s="329">
        <f>0.9971*460.9</f>
        <v>459.56338999999997</v>
      </c>
      <c r="D106" s="330">
        <v>4821065047.0900002</v>
      </c>
      <c r="E106" s="329">
        <f>1.0003*460.85</f>
        <v>460.98825499999998</v>
      </c>
      <c r="F106" s="23">
        <f>((D106-B106)/B106)</f>
        <v>0.12318282977477484</v>
      </c>
      <c r="G106" s="23">
        <f>((E106-C106)/C106)</f>
        <v>3.1004754316918308E-3</v>
      </c>
      <c r="H106" s="330">
        <v>4813307316.1499996</v>
      </c>
      <c r="I106" s="329">
        <f>1.0014*460.86</f>
        <v>461.50520400000005</v>
      </c>
      <c r="J106" s="23">
        <f t="shared" si="71"/>
        <v>-1.6091321863999964E-3</v>
      </c>
      <c r="K106" s="23">
        <f t="shared" si="71"/>
        <v>1.121392995142724E-3</v>
      </c>
      <c r="L106" s="330">
        <v>4824854087.9499998</v>
      </c>
      <c r="M106" s="329">
        <f>1.0035*460.93</f>
        <v>462.54325500000004</v>
      </c>
      <c r="N106" s="23">
        <f t="shared" si="72"/>
        <v>2.3989267756200656E-3</v>
      </c>
      <c r="O106" s="23">
        <f t="shared" si="72"/>
        <v>2.2492725780834224E-3</v>
      </c>
      <c r="P106" s="330">
        <v>4842916555.3299999</v>
      </c>
      <c r="Q106" s="329">
        <f>1.0044*460.97</f>
        <v>462.998268</v>
      </c>
      <c r="R106" s="23">
        <f t="shared" si="73"/>
        <v>3.7436297659468819E-3</v>
      </c>
      <c r="S106" s="23">
        <f t="shared" si="74"/>
        <v>9.8371989015373531E-4</v>
      </c>
      <c r="T106" s="330">
        <v>4871978121.9200001</v>
      </c>
      <c r="U106" s="329">
        <f>1.0068*460.81</f>
        <v>463.94350799999995</v>
      </c>
      <c r="V106" s="23">
        <f t="shared" si="75"/>
        <v>6.0008398364856559E-3</v>
      </c>
      <c r="W106" s="23">
        <f t="shared" si="76"/>
        <v>2.0415627127139831E-3</v>
      </c>
      <c r="X106" s="330">
        <v>4815917235.7700005</v>
      </c>
      <c r="Y106" s="329">
        <f>1.0088*461</f>
        <v>465.05679999999995</v>
      </c>
      <c r="Z106" s="23">
        <f t="shared" si="77"/>
        <v>-1.150680170294085E-2</v>
      </c>
      <c r="AA106" s="23">
        <f t="shared" si="78"/>
        <v>2.3996283616495857E-3</v>
      </c>
      <c r="AB106" s="330">
        <v>4794772026.1099997</v>
      </c>
      <c r="AC106" s="329">
        <f>1.0107*461.03</f>
        <v>465.96302099999997</v>
      </c>
      <c r="AD106" s="23">
        <f t="shared" si="79"/>
        <v>-4.3906920789555399E-3</v>
      </c>
      <c r="AE106" s="23">
        <f t="shared" si="80"/>
        <v>1.948624340080645E-3</v>
      </c>
      <c r="AF106" s="330">
        <v>4757962328.3800001</v>
      </c>
      <c r="AG106" s="329">
        <f>1.0125*461.31</f>
        <v>467.07637499999998</v>
      </c>
      <c r="AH106" s="23">
        <f t="shared" si="81"/>
        <v>-7.677048570724908E-3</v>
      </c>
      <c r="AI106" s="23">
        <f t="shared" si="82"/>
        <v>2.3893612793793252E-3</v>
      </c>
      <c r="AJ106" s="24">
        <f t="shared" si="48"/>
        <v>1.3767818951725769E-2</v>
      </c>
      <c r="AK106" s="24">
        <f t="shared" si="49"/>
        <v>2.0292546986119065E-3</v>
      </c>
      <c r="AL106" s="25">
        <f t="shared" si="50"/>
        <v>-1.308895816456343E-2</v>
      </c>
      <c r="AM106" s="25">
        <f t="shared" si="51"/>
        <v>1.3206670525694854E-2</v>
      </c>
      <c r="AN106" s="26">
        <f t="shared" si="52"/>
        <v>4.4603935728935673E-2</v>
      </c>
      <c r="AO106" s="78">
        <f t="shared" si="53"/>
        <v>6.9557620269642328E-4</v>
      </c>
      <c r="AP106" s="30"/>
      <c r="AQ106" s="28"/>
      <c r="AR106" s="32"/>
      <c r="AS106" s="29"/>
      <c r="AT106" s="29"/>
    </row>
    <row r="107" spans="1:46">
      <c r="A107" s="206" t="s">
        <v>164</v>
      </c>
      <c r="B107" s="329">
        <v>97861472.569999993</v>
      </c>
      <c r="C107" s="329">
        <v>382.57</v>
      </c>
      <c r="D107" s="329">
        <v>102308709.04000001</v>
      </c>
      <c r="E107" s="329">
        <v>401.51</v>
      </c>
      <c r="F107" s="23">
        <f>((D107-B107)/B107)</f>
        <v>4.544420141255201E-2</v>
      </c>
      <c r="G107" s="23">
        <f>((E107-C107)/C107)</f>
        <v>4.9507279713516476E-2</v>
      </c>
      <c r="H107" s="329">
        <v>101996792.39</v>
      </c>
      <c r="I107" s="329">
        <v>397.72</v>
      </c>
      <c r="J107" s="23">
        <f t="shared" si="71"/>
        <v>-3.0487790621818401E-3</v>
      </c>
      <c r="K107" s="23">
        <f t="shared" si="71"/>
        <v>-9.4393663918705979E-3</v>
      </c>
      <c r="L107" s="329">
        <v>100947126.48</v>
      </c>
      <c r="M107" s="329">
        <v>393.19</v>
      </c>
      <c r="N107" s="23">
        <f t="shared" si="72"/>
        <v>-1.0291165882809743E-2</v>
      </c>
      <c r="O107" s="23">
        <f t="shared" si="72"/>
        <v>-1.1389922558584002E-2</v>
      </c>
      <c r="P107" s="329">
        <v>100635852.45</v>
      </c>
      <c r="Q107" s="329">
        <v>393.07</v>
      </c>
      <c r="R107" s="23">
        <f t="shared" si="73"/>
        <v>-3.0835353204597842E-3</v>
      </c>
      <c r="S107" s="23">
        <f t="shared" si="74"/>
        <v>-3.0519596124012447E-4</v>
      </c>
      <c r="T107" s="329">
        <v>100635852.45</v>
      </c>
      <c r="U107" s="329">
        <v>393.07</v>
      </c>
      <c r="V107" s="23">
        <f t="shared" si="75"/>
        <v>0</v>
      </c>
      <c r="W107" s="23">
        <f t="shared" si="76"/>
        <v>0</v>
      </c>
      <c r="X107" s="329">
        <v>101675429.23</v>
      </c>
      <c r="Y107" s="329">
        <v>397.9</v>
      </c>
      <c r="Z107" s="23">
        <f t="shared" si="77"/>
        <v>1.0330083709645181E-2</v>
      </c>
      <c r="AA107" s="23">
        <f t="shared" si="78"/>
        <v>1.2287887653598555E-2</v>
      </c>
      <c r="AB107" s="329">
        <v>102366570.39</v>
      </c>
      <c r="AC107" s="329">
        <v>399.47</v>
      </c>
      <c r="AD107" s="23">
        <f t="shared" si="79"/>
        <v>6.7975238977016359E-3</v>
      </c>
      <c r="AE107" s="23">
        <f t="shared" si="80"/>
        <v>3.9457150037699174E-3</v>
      </c>
      <c r="AF107" s="329">
        <v>104206974.76000001</v>
      </c>
      <c r="AG107" s="329">
        <v>409.024</v>
      </c>
      <c r="AH107" s="23">
        <f t="shared" si="81"/>
        <v>1.7978568227775563E-2</v>
      </c>
      <c r="AI107" s="23">
        <f t="shared" si="82"/>
        <v>2.3916689613738135E-2</v>
      </c>
      <c r="AJ107" s="24">
        <f t="shared" si="48"/>
        <v>8.0158621227778785E-3</v>
      </c>
      <c r="AK107" s="24">
        <f t="shared" si="49"/>
        <v>8.565385884116046E-3</v>
      </c>
      <c r="AL107" s="25">
        <f t="shared" si="50"/>
        <v>1.8554292570125454E-2</v>
      </c>
      <c r="AM107" s="25">
        <f t="shared" si="51"/>
        <v>1.8714353316231253E-2</v>
      </c>
      <c r="AN107" s="26">
        <f t="shared" si="52"/>
        <v>1.7533642326487773E-2</v>
      </c>
      <c r="AO107" s="78">
        <f t="shared" si="53"/>
        <v>2.0076774328936987E-2</v>
      </c>
      <c r="AP107" s="30"/>
      <c r="AQ107" s="28"/>
      <c r="AR107" s="32"/>
      <c r="AS107" s="29"/>
      <c r="AT107" s="29"/>
    </row>
    <row r="108" spans="1:46" s="292" customFormat="1">
      <c r="A108" s="206" t="s">
        <v>94</v>
      </c>
      <c r="B108" s="330">
        <v>196214409513.01999</v>
      </c>
      <c r="C108" s="329">
        <v>639.36</v>
      </c>
      <c r="D108" s="330">
        <v>196717601784.23001</v>
      </c>
      <c r="E108" s="329">
        <v>640.29999999999995</v>
      </c>
      <c r="F108" s="23">
        <f>((D108-B108)/B108)</f>
        <v>2.5645021303933959E-3</v>
      </c>
      <c r="G108" s="23">
        <f>((E108-C108)/C108)</f>
        <v>1.4702202202201277E-3</v>
      </c>
      <c r="H108" s="330">
        <v>206919631467.92999</v>
      </c>
      <c r="I108" s="329">
        <v>643.59</v>
      </c>
      <c r="J108" s="23">
        <f t="shared" si="71"/>
        <v>5.1861295538210624E-2</v>
      </c>
      <c r="K108" s="23">
        <f t="shared" si="71"/>
        <v>5.1382164610340115E-3</v>
      </c>
      <c r="L108" s="330">
        <v>207429439723.20001</v>
      </c>
      <c r="M108" s="329">
        <v>645.66</v>
      </c>
      <c r="N108" s="23">
        <f t="shared" si="72"/>
        <v>2.4637983919328292E-3</v>
      </c>
      <c r="O108" s="23">
        <f t="shared" si="72"/>
        <v>3.2163333799467616E-3</v>
      </c>
      <c r="P108" s="330">
        <v>202814116695.92001</v>
      </c>
      <c r="Q108" s="329">
        <v>645.94000000000005</v>
      </c>
      <c r="R108" s="23">
        <f t="shared" si="73"/>
        <v>-2.2250086744865255E-2</v>
      </c>
      <c r="S108" s="23">
        <f t="shared" si="74"/>
        <v>4.3366477712741445E-4</v>
      </c>
      <c r="T108" s="330">
        <v>202875429527.73001</v>
      </c>
      <c r="U108" s="329">
        <v>645.98</v>
      </c>
      <c r="V108" s="23">
        <f t="shared" si="75"/>
        <v>3.0231047428480595E-4</v>
      </c>
      <c r="W108" s="23">
        <f t="shared" si="76"/>
        <v>6.1925256215691269E-5</v>
      </c>
      <c r="X108" s="330">
        <v>204650408125.57999</v>
      </c>
      <c r="Y108" s="329">
        <v>645.74</v>
      </c>
      <c r="Z108" s="23">
        <f t="shared" si="77"/>
        <v>8.7491058034081092E-3</v>
      </c>
      <c r="AA108" s="23">
        <f t="shared" si="78"/>
        <v>-3.7152853029506967E-4</v>
      </c>
      <c r="AB108" s="330">
        <v>201739663926.91</v>
      </c>
      <c r="AC108" s="329">
        <v>646.79999999999995</v>
      </c>
      <c r="AD108" s="23">
        <f t="shared" si="79"/>
        <v>-1.4223007055445783E-2</v>
      </c>
      <c r="AE108" s="23">
        <f t="shared" si="80"/>
        <v>1.6415275497877557E-3</v>
      </c>
      <c r="AF108" s="330">
        <v>199657203553.20999</v>
      </c>
      <c r="AG108" s="329">
        <v>648.48</v>
      </c>
      <c r="AH108" s="23">
        <f t="shared" si="81"/>
        <v>-1.032251334796753E-2</v>
      </c>
      <c r="AI108" s="23">
        <f t="shared" si="82"/>
        <v>2.5974025974026958E-3</v>
      </c>
      <c r="AJ108" s="24">
        <f t="shared" si="48"/>
        <v>2.3931756487438997E-3</v>
      </c>
      <c r="AK108" s="24">
        <f t="shared" si="49"/>
        <v>1.7734702139299236E-3</v>
      </c>
      <c r="AL108" s="25">
        <f t="shared" si="50"/>
        <v>1.4943257452905952E-2</v>
      </c>
      <c r="AM108" s="25">
        <f t="shared" si="51"/>
        <v>1.2775261596126916E-2</v>
      </c>
      <c r="AN108" s="26">
        <f t="shared" si="52"/>
        <v>2.2478483193499037E-2</v>
      </c>
      <c r="AO108" s="78">
        <f t="shared" si="53"/>
        <v>1.8329168707118012E-3</v>
      </c>
      <c r="AP108" s="30"/>
      <c r="AQ108" s="28"/>
      <c r="AR108" s="32"/>
      <c r="AS108" s="29"/>
      <c r="AT108" s="29"/>
    </row>
    <row r="109" spans="1:46" s="360" customFormat="1">
      <c r="A109" s="206" t="s">
        <v>258</v>
      </c>
      <c r="B109" s="330">
        <v>2733757018.21</v>
      </c>
      <c r="C109" s="330">
        <v>467.14</v>
      </c>
      <c r="D109" s="330">
        <v>2715018034.4299998</v>
      </c>
      <c r="E109" s="330">
        <v>467.93</v>
      </c>
      <c r="F109" s="23">
        <f>((D109-B109)/B109)</f>
        <v>-6.8546632546992257E-3</v>
      </c>
      <c r="G109" s="23">
        <f>((E109-C109)/C109)</f>
        <v>1.6911418418461713E-3</v>
      </c>
      <c r="H109" s="330">
        <v>2903795821.2199998</v>
      </c>
      <c r="I109" s="330">
        <v>471.03</v>
      </c>
      <c r="J109" s="23">
        <f t="shared" ref="J109" si="83">((H109-D109)/D109)</f>
        <v>6.9530951321887857E-2</v>
      </c>
      <c r="K109" s="23">
        <f t="shared" ref="K109" si="84">((I109-E109)/E109)</f>
        <v>6.6249225311477483E-3</v>
      </c>
      <c r="L109" s="330">
        <v>3614743948.1599998</v>
      </c>
      <c r="M109" s="330">
        <v>467.93</v>
      </c>
      <c r="N109" s="23">
        <f t="shared" ref="N109" si="85">((L109-H109)/H109)</f>
        <v>0.24483406227966212</v>
      </c>
      <c r="O109" s="23">
        <f t="shared" ref="O109" si="86">((M109-I109)/I109)</f>
        <v>-6.5813217841750333E-3</v>
      </c>
      <c r="P109" s="330">
        <v>4666543859.8900003</v>
      </c>
      <c r="Q109" s="330">
        <v>474.24</v>
      </c>
      <c r="R109" s="23">
        <f t="shared" si="73"/>
        <v>0.29097494229581444</v>
      </c>
      <c r="S109" s="23">
        <f t="shared" si="74"/>
        <v>1.3484922958562183E-2</v>
      </c>
      <c r="T109" s="330">
        <v>4679498089.1599998</v>
      </c>
      <c r="U109" s="330">
        <v>474.85</v>
      </c>
      <c r="V109" s="23">
        <f t="shared" si="75"/>
        <v>2.77597932408694E-3</v>
      </c>
      <c r="W109" s="23">
        <f t="shared" si="76"/>
        <v>1.2862685560054269E-3</v>
      </c>
      <c r="X109" s="330">
        <v>4678548431.2700005</v>
      </c>
      <c r="Y109" s="330">
        <v>474.86</v>
      </c>
      <c r="Z109" s="23">
        <f t="shared" si="77"/>
        <v>-2.0294011706068662E-4</v>
      </c>
      <c r="AA109" s="23">
        <f t="shared" si="78"/>
        <v>2.1059281878468788E-5</v>
      </c>
      <c r="AB109" s="330">
        <v>4847511381.1099997</v>
      </c>
      <c r="AC109" s="330">
        <v>475.55</v>
      </c>
      <c r="AD109" s="23">
        <f t="shared" si="79"/>
        <v>3.6114395805053982E-2</v>
      </c>
      <c r="AE109" s="23">
        <f t="shared" si="80"/>
        <v>1.4530598492187123E-3</v>
      </c>
      <c r="AF109" s="330">
        <v>4797721501.9499998</v>
      </c>
      <c r="AG109" s="330">
        <v>475.55</v>
      </c>
      <c r="AH109" s="23">
        <f t="shared" si="81"/>
        <v>-1.0271224809089317E-2</v>
      </c>
      <c r="AI109" s="23">
        <f t="shared" si="82"/>
        <v>0</v>
      </c>
      <c r="AJ109" s="24">
        <f t="shared" si="48"/>
        <v>7.8362687855707006E-2</v>
      </c>
      <c r="AK109" s="24">
        <f t="shared" si="49"/>
        <v>2.2475066543104598E-3</v>
      </c>
      <c r="AL109" s="25">
        <f t="shared" si="50"/>
        <v>0.76710483728232393</v>
      </c>
      <c r="AM109" s="25">
        <f t="shared" si="51"/>
        <v>1.6284486995918203E-2</v>
      </c>
      <c r="AN109" s="26">
        <f t="shared" si="52"/>
        <v>0.12058398543401198</v>
      </c>
      <c r="AO109" s="78">
        <f t="shared" si="53"/>
        <v>5.7973211402920638E-3</v>
      </c>
      <c r="AP109" s="30"/>
      <c r="AQ109" s="28"/>
      <c r="AR109" s="32"/>
      <c r="AS109" s="29"/>
      <c r="AT109" s="29"/>
    </row>
    <row r="110" spans="1:46" s="88" customFormat="1">
      <c r="A110" s="206" t="s">
        <v>126</v>
      </c>
      <c r="B110" s="329">
        <v>4609779197.9200001</v>
      </c>
      <c r="C110" s="329">
        <v>459.9</v>
      </c>
      <c r="D110" s="329">
        <v>5069025290.1899996</v>
      </c>
      <c r="E110" s="329">
        <v>460.35</v>
      </c>
      <c r="F110" s="23">
        <f>((D110-B110)/B110)</f>
        <v>9.9624314430768843E-2</v>
      </c>
      <c r="G110" s="23">
        <f>((E110-C110)/C110)</f>
        <v>9.7847358121340607E-4</v>
      </c>
      <c r="H110" s="329">
        <v>5121009058.2200003</v>
      </c>
      <c r="I110" s="329">
        <v>460.36</v>
      </c>
      <c r="J110" s="23">
        <f>((H110-D110)/D110)</f>
        <v>1.0255180247493341E-2</v>
      </c>
      <c r="K110" s="23">
        <f>((I110-E110)/E110)</f>
        <v>2.1722602367743901E-5</v>
      </c>
      <c r="L110" s="329">
        <v>5223704461.3900003</v>
      </c>
      <c r="M110" s="329">
        <v>464</v>
      </c>
      <c r="N110" s="23">
        <f>((L110-H110)/H110)</f>
        <v>2.0053743706068689E-2</v>
      </c>
      <c r="O110" s="23">
        <f>((M110-I110)/I110)</f>
        <v>7.9068555043878413E-3</v>
      </c>
      <c r="P110" s="329">
        <v>5200254471.79</v>
      </c>
      <c r="Q110" s="329">
        <v>460.47</v>
      </c>
      <c r="R110" s="23">
        <f>((P110-L110)/L110)</f>
        <v>-4.4891493715478042E-3</v>
      </c>
      <c r="S110" s="23">
        <f>((Q110-M110)/M110)</f>
        <v>-7.6077586206895961E-3</v>
      </c>
      <c r="T110" s="329">
        <v>5356936431.6800003</v>
      </c>
      <c r="U110" s="329">
        <v>460.31</v>
      </c>
      <c r="V110" s="23">
        <f>((T110-P110)/P110)</f>
        <v>3.0129671680483788E-2</v>
      </c>
      <c r="W110" s="23">
        <f>((U110-Q110)/Q110)</f>
        <v>-3.4747106217565749E-4</v>
      </c>
      <c r="X110" s="329">
        <v>5426154639.8400002</v>
      </c>
      <c r="Y110" s="329">
        <v>460.87</v>
      </c>
      <c r="Z110" s="23">
        <f>((X110-T110)/T110)</f>
        <v>1.2921230080434644E-2</v>
      </c>
      <c r="AA110" s="23">
        <f>((Y110-U110)/U110)</f>
        <v>1.2165714409854277E-3</v>
      </c>
      <c r="AB110" s="329">
        <v>5503802123.8999996</v>
      </c>
      <c r="AC110" s="329">
        <v>460.17</v>
      </c>
      <c r="AD110" s="23">
        <f>((AB110-X110)/X110)</f>
        <v>1.4309854623363451E-2</v>
      </c>
      <c r="AE110" s="23">
        <f>((AC110-Y110)/Y110)</f>
        <v>-1.5188664916353605E-3</v>
      </c>
      <c r="AF110" s="329">
        <v>5537273782.9099998</v>
      </c>
      <c r="AG110" s="329">
        <v>460.84</v>
      </c>
      <c r="AH110" s="23">
        <f>((AF110-AB110)/AB110)</f>
        <v>6.0815520355739418E-3</v>
      </c>
      <c r="AI110" s="23">
        <f>((AG110-AC110)/AC110)</f>
        <v>1.45598365821318E-3</v>
      </c>
      <c r="AJ110" s="24">
        <f t="shared" si="48"/>
        <v>2.3610799679079864E-2</v>
      </c>
      <c r="AK110" s="24">
        <f t="shared" si="49"/>
        <v>2.6318882658337317E-4</v>
      </c>
      <c r="AL110" s="25">
        <f t="shared" si="50"/>
        <v>9.2374463711237309E-2</v>
      </c>
      <c r="AM110" s="25">
        <f t="shared" si="51"/>
        <v>1.0644075160203155E-3</v>
      </c>
      <c r="AN110" s="26">
        <f t="shared" si="52"/>
        <v>3.2313711091205753E-2</v>
      </c>
      <c r="AO110" s="78">
        <f t="shared" si="53"/>
        <v>4.2565532131306856E-3</v>
      </c>
      <c r="AP110" s="30"/>
      <c r="AQ110" s="28"/>
      <c r="AR110" s="32"/>
      <c r="AS110" s="29"/>
      <c r="AT110" s="29"/>
    </row>
    <row r="111" spans="1:46" s="105" customFormat="1">
      <c r="A111" s="208" t="s">
        <v>42</v>
      </c>
      <c r="B111" s="76">
        <f>SUM(B90:B110)</f>
        <v>313889534077.08875</v>
      </c>
      <c r="C111" s="87"/>
      <c r="D111" s="76">
        <f>SUM(D90:D110)</f>
        <v>315799107802.45459</v>
      </c>
      <c r="E111" s="87"/>
      <c r="F111" s="23"/>
      <c r="G111" s="23"/>
      <c r="H111" s="76">
        <f>SUM(H90:H110)</f>
        <v>328369020682.29224</v>
      </c>
      <c r="I111" s="87"/>
      <c r="J111" s="23"/>
      <c r="K111" s="23"/>
      <c r="L111" s="76">
        <f>SUM(L90:L110)</f>
        <v>329288437990.39252</v>
      </c>
      <c r="M111" s="87"/>
      <c r="N111" s="23"/>
      <c r="O111" s="23"/>
      <c r="P111" s="76">
        <f>SUM(P90:P110)</f>
        <v>333300918749.29321</v>
      </c>
      <c r="Q111" s="87"/>
      <c r="R111" s="23"/>
      <c r="S111" s="23"/>
      <c r="T111" s="76">
        <f>SUM(T90:T110)</f>
        <v>332681726568.12634</v>
      </c>
      <c r="U111" s="87"/>
      <c r="V111" s="23"/>
      <c r="W111" s="23"/>
      <c r="X111" s="76">
        <f>SUM(X90:X110)</f>
        <v>334539052167.92297</v>
      </c>
      <c r="Y111" s="87"/>
      <c r="Z111" s="23"/>
      <c r="AA111" s="23"/>
      <c r="AB111" s="76">
        <f>SUM(AB90:AB110)</f>
        <v>331372584980.02832</v>
      </c>
      <c r="AC111" s="87"/>
      <c r="AD111" s="23"/>
      <c r="AE111" s="23"/>
      <c r="AF111" s="76">
        <f>SUM(AF90:AF110)</f>
        <v>329647629846.67249</v>
      </c>
      <c r="AG111" s="87"/>
      <c r="AH111" s="23"/>
      <c r="AI111" s="23"/>
      <c r="AJ111" s="24" t="e">
        <f t="shared" si="48"/>
        <v>#DIV/0!</v>
      </c>
      <c r="AK111" s="24"/>
      <c r="AL111" s="25">
        <f t="shared" si="50"/>
        <v>4.3852315291785814E-2</v>
      </c>
      <c r="AM111" s="25"/>
      <c r="AN111" s="26" t="e">
        <f t="shared" si="52"/>
        <v>#DIV/0!</v>
      </c>
      <c r="AO111" s="78"/>
      <c r="AP111" s="30"/>
      <c r="AQ111" s="28"/>
      <c r="AR111" s="32"/>
      <c r="AS111" s="29"/>
      <c r="AT111" s="29"/>
    </row>
    <row r="112" spans="1:46" s="105" customFormat="1" ht="8.25" customHeight="1">
      <c r="A112" s="208"/>
      <c r="B112" s="87"/>
      <c r="C112" s="87"/>
      <c r="D112" s="87"/>
      <c r="E112" s="87"/>
      <c r="F112" s="23"/>
      <c r="G112" s="23"/>
      <c r="H112" s="87"/>
      <c r="I112" s="87"/>
      <c r="J112" s="23"/>
      <c r="K112" s="23"/>
      <c r="L112" s="87"/>
      <c r="M112" s="87"/>
      <c r="N112" s="23"/>
      <c r="O112" s="23"/>
      <c r="P112" s="87"/>
      <c r="Q112" s="87"/>
      <c r="R112" s="23"/>
      <c r="S112" s="23"/>
      <c r="T112" s="87"/>
      <c r="U112" s="87"/>
      <c r="V112" s="23"/>
      <c r="W112" s="23"/>
      <c r="X112" s="87"/>
      <c r="Y112" s="87"/>
      <c r="Z112" s="23"/>
      <c r="AA112" s="23"/>
      <c r="AB112" s="87"/>
      <c r="AC112" s="87"/>
      <c r="AD112" s="23"/>
      <c r="AE112" s="23"/>
      <c r="AF112" s="87"/>
      <c r="AG112" s="87"/>
      <c r="AH112" s="23"/>
      <c r="AI112" s="23"/>
      <c r="AJ112" s="24"/>
      <c r="AK112" s="24"/>
      <c r="AL112" s="25"/>
      <c r="AM112" s="25"/>
      <c r="AN112" s="26"/>
      <c r="AO112" s="78"/>
      <c r="AP112" s="30"/>
      <c r="AQ112" s="28"/>
      <c r="AR112" s="32"/>
      <c r="AS112" s="29"/>
      <c r="AT112" s="29"/>
    </row>
    <row r="113" spans="1:46">
      <c r="A113" s="210" t="s">
        <v>217</v>
      </c>
      <c r="B113" s="87"/>
      <c r="C113" s="87"/>
      <c r="D113" s="87"/>
      <c r="E113" s="87"/>
      <c r="F113" s="23"/>
      <c r="G113" s="23"/>
      <c r="H113" s="87"/>
      <c r="I113" s="87"/>
      <c r="J113" s="23"/>
      <c r="K113" s="23"/>
      <c r="L113" s="87"/>
      <c r="M113" s="87"/>
      <c r="N113" s="23"/>
      <c r="O113" s="23"/>
      <c r="P113" s="87"/>
      <c r="Q113" s="87"/>
      <c r="R113" s="23"/>
      <c r="S113" s="23"/>
      <c r="T113" s="87"/>
      <c r="U113" s="87"/>
      <c r="V113" s="23"/>
      <c r="W113" s="23"/>
      <c r="X113" s="87"/>
      <c r="Y113" s="87"/>
      <c r="Z113" s="23"/>
      <c r="AA113" s="23"/>
      <c r="AB113" s="87"/>
      <c r="AC113" s="87"/>
      <c r="AD113" s="23"/>
      <c r="AE113" s="23"/>
      <c r="AF113" s="87"/>
      <c r="AG113" s="87"/>
      <c r="AH113" s="23"/>
      <c r="AI113" s="23"/>
      <c r="AJ113" s="24"/>
      <c r="AK113" s="24"/>
      <c r="AL113" s="25"/>
      <c r="AM113" s="25"/>
      <c r="AN113" s="26"/>
      <c r="AO113" s="78"/>
      <c r="AP113" s="30"/>
      <c r="AQ113" s="54">
        <f>SUM(AQ93:AQ104)</f>
        <v>16564722721.154379</v>
      </c>
      <c r="AR113" s="55"/>
      <c r="AS113" s="29" t="e">
        <f>(#REF!/AQ113)-1</f>
        <v>#REF!</v>
      </c>
      <c r="AT113" s="29" t="e">
        <f>(#REF!/AR113)-1</f>
        <v>#REF!</v>
      </c>
    </row>
    <row r="114" spans="1:46">
      <c r="A114" s="206" t="s">
        <v>166</v>
      </c>
      <c r="B114" s="330">
        <v>7511812185.1700001</v>
      </c>
      <c r="C114" s="331">
        <v>101.31</v>
      </c>
      <c r="D114" s="330">
        <v>7511812185.1700001</v>
      </c>
      <c r="E114" s="331">
        <v>101.31</v>
      </c>
      <c r="F114" s="23">
        <f>((D114-B114)/B114)</f>
        <v>0</v>
      </c>
      <c r="G114" s="23">
        <f>((E114-C114)/C114)</f>
        <v>0</v>
      </c>
      <c r="H114" s="330">
        <v>7511812185.1700001</v>
      </c>
      <c r="I114" s="331">
        <v>101.31</v>
      </c>
      <c r="J114" s="23">
        <f t="shared" ref="J114:K117" si="87">((H114-D114)/D114)</f>
        <v>0</v>
      </c>
      <c r="K114" s="23">
        <f t="shared" si="87"/>
        <v>0</v>
      </c>
      <c r="L114" s="330">
        <v>7511812185.1700001</v>
      </c>
      <c r="M114" s="331">
        <v>101.31</v>
      </c>
      <c r="N114" s="23">
        <f t="shared" ref="N114:O117" si="88">((L114-H114)/H114)</f>
        <v>0</v>
      </c>
      <c r="O114" s="23">
        <f t="shared" si="88"/>
        <v>0</v>
      </c>
      <c r="P114" s="330">
        <v>7511812185.1700001</v>
      </c>
      <c r="Q114" s="331">
        <v>101.31</v>
      </c>
      <c r="R114" s="23">
        <f t="shared" ref="R114:R117" si="89">((P114-L114)/L114)</f>
        <v>0</v>
      </c>
      <c r="S114" s="23">
        <f t="shared" ref="S114:S117" si="90">((Q114-M114)/M114)</f>
        <v>0</v>
      </c>
      <c r="T114" s="330">
        <v>7511812185.1700001</v>
      </c>
      <c r="U114" s="331">
        <v>101.68</v>
      </c>
      <c r="V114" s="23">
        <f t="shared" ref="V114:V117" si="91">((T114-P114)/P114)</f>
        <v>0</v>
      </c>
      <c r="W114" s="23">
        <f t="shared" ref="W114:W117" si="92">((U114-Q114)/Q114)</f>
        <v>3.652156746619332E-3</v>
      </c>
      <c r="X114" s="330">
        <v>54330953714</v>
      </c>
      <c r="Y114" s="331">
        <v>101.68</v>
      </c>
      <c r="Z114" s="23">
        <f t="shared" ref="Z114:Z117" si="93">((X114-T114)/T114)</f>
        <v>6.2327359064250132</v>
      </c>
      <c r="AA114" s="23">
        <f t="shared" ref="AA114:AA117" si="94">((Y114-U114)/U114)</f>
        <v>0</v>
      </c>
      <c r="AB114" s="330">
        <v>54330953714</v>
      </c>
      <c r="AC114" s="331">
        <v>101.68</v>
      </c>
      <c r="AD114" s="23">
        <f t="shared" ref="AD114:AD117" si="95">((AB114-X114)/X114)</f>
        <v>0</v>
      </c>
      <c r="AE114" s="23">
        <f t="shared" ref="AE114:AE117" si="96">((AC114-Y114)/Y114)</f>
        <v>0</v>
      </c>
      <c r="AF114" s="330">
        <v>54330953714</v>
      </c>
      <c r="AG114" s="331">
        <v>101.54</v>
      </c>
      <c r="AH114" s="23">
        <f t="shared" ref="AH114:AH117" si="97">((AF114-AB114)/AB114)</f>
        <v>0</v>
      </c>
      <c r="AI114" s="23">
        <f t="shared" ref="AI114:AI117" si="98">((AG114-AC114)/AC114)</f>
        <v>-1.3768686073957568E-3</v>
      </c>
      <c r="AJ114" s="24">
        <f t="shared" si="48"/>
        <v>0.77909198830312665</v>
      </c>
      <c r="AK114" s="24">
        <f t="shared" si="49"/>
        <v>2.8441101740294691E-4</v>
      </c>
      <c r="AL114" s="25">
        <f t="shared" si="50"/>
        <v>6.2327359064250132</v>
      </c>
      <c r="AM114" s="25">
        <f t="shared" si="51"/>
        <v>2.2702595992498665E-3</v>
      </c>
      <c r="AN114" s="26">
        <f t="shared" si="52"/>
        <v>2.2036049123890051</v>
      </c>
      <c r="AO114" s="78">
        <f t="shared" si="53"/>
        <v>1.4435521193692216E-3</v>
      </c>
      <c r="AP114" s="30"/>
      <c r="AQ114" s="40"/>
      <c r="AR114" s="13"/>
      <c r="AS114" s="29" t="e">
        <f>(#REF!/AQ114)-1</f>
        <v>#REF!</v>
      </c>
      <c r="AT114" s="29" t="e">
        <f>(#REF!/AR114)-1</f>
        <v>#REF!</v>
      </c>
    </row>
    <row r="115" spans="1:46">
      <c r="A115" s="206" t="s">
        <v>143</v>
      </c>
      <c r="B115" s="330">
        <v>2329739480.9200001</v>
      </c>
      <c r="C115" s="331">
        <v>77</v>
      </c>
      <c r="D115" s="330">
        <v>2340365539.8699999</v>
      </c>
      <c r="E115" s="331">
        <v>77</v>
      </c>
      <c r="F115" s="23">
        <f>((D115-B115)/B115)</f>
        <v>4.5610502964063791E-3</v>
      </c>
      <c r="G115" s="23">
        <f>((E115-C115)/C115)</f>
        <v>0</v>
      </c>
      <c r="H115" s="330">
        <v>2341177154.25</v>
      </c>
      <c r="I115" s="331">
        <v>77</v>
      </c>
      <c r="J115" s="23">
        <f t="shared" si="87"/>
        <v>3.4678957888142426E-4</v>
      </c>
      <c r="K115" s="23">
        <f t="shared" si="87"/>
        <v>0</v>
      </c>
      <c r="L115" s="330">
        <v>2344656416.2600002</v>
      </c>
      <c r="M115" s="331">
        <v>77</v>
      </c>
      <c r="N115" s="23">
        <f t="shared" si="88"/>
        <v>1.4861165049745312E-3</v>
      </c>
      <c r="O115" s="23">
        <f t="shared" si="88"/>
        <v>0</v>
      </c>
      <c r="P115" s="330">
        <v>2348893578.9000001</v>
      </c>
      <c r="Q115" s="331">
        <v>77</v>
      </c>
      <c r="R115" s="23">
        <f t="shared" si="89"/>
        <v>1.8071571641010984E-3</v>
      </c>
      <c r="S115" s="23">
        <f t="shared" si="90"/>
        <v>0</v>
      </c>
      <c r="T115" s="330">
        <v>2352866820.48</v>
      </c>
      <c r="U115" s="331">
        <v>77</v>
      </c>
      <c r="V115" s="23">
        <f t="shared" si="91"/>
        <v>1.6915375033127787E-3</v>
      </c>
      <c r="W115" s="23">
        <f t="shared" si="92"/>
        <v>0</v>
      </c>
      <c r="X115" s="330">
        <v>2359826154.1500001</v>
      </c>
      <c r="Y115" s="331">
        <v>77</v>
      </c>
      <c r="Z115" s="23">
        <f t="shared" si="93"/>
        <v>2.9578102803882148E-3</v>
      </c>
      <c r="AA115" s="23">
        <f t="shared" si="94"/>
        <v>0</v>
      </c>
      <c r="AB115" s="330">
        <v>2364368561.3600001</v>
      </c>
      <c r="AC115" s="331">
        <v>77</v>
      </c>
      <c r="AD115" s="23">
        <f t="shared" si="95"/>
        <v>1.9248906119680646E-3</v>
      </c>
      <c r="AE115" s="23">
        <f t="shared" si="96"/>
        <v>0</v>
      </c>
      <c r="AF115" s="330">
        <v>2369507527.9499998</v>
      </c>
      <c r="AG115" s="331">
        <v>77</v>
      </c>
      <c r="AH115" s="23">
        <f t="shared" si="97"/>
        <v>2.1735048731335309E-3</v>
      </c>
      <c r="AI115" s="23">
        <f t="shared" si="98"/>
        <v>0</v>
      </c>
      <c r="AJ115" s="24">
        <f t="shared" si="48"/>
        <v>2.1186071016457528E-3</v>
      </c>
      <c r="AK115" s="24">
        <f t="shared" si="49"/>
        <v>0</v>
      </c>
      <c r="AL115" s="25">
        <f t="shared" si="50"/>
        <v>1.2451895904098242E-2</v>
      </c>
      <c r="AM115" s="25">
        <f t="shared" si="51"/>
        <v>0</v>
      </c>
      <c r="AN115" s="26">
        <f t="shared" si="52"/>
        <v>1.2264409468516388E-3</v>
      </c>
      <c r="AO115" s="78">
        <f t="shared" si="53"/>
        <v>0</v>
      </c>
      <c r="AP115" s="30"/>
      <c r="AQ115" s="28">
        <v>640873657.65999997</v>
      </c>
      <c r="AR115" s="32">
        <v>11.5358</v>
      </c>
      <c r="AS115" s="29" t="e">
        <f>(#REF!/AQ115)-1</f>
        <v>#REF!</v>
      </c>
      <c r="AT115" s="29" t="e">
        <f>(#REF!/AR115)-1</f>
        <v>#REF!</v>
      </c>
    </row>
    <row r="116" spans="1:46">
      <c r="A116" s="206" t="s">
        <v>21</v>
      </c>
      <c r="B116" s="330">
        <v>10105268488.299999</v>
      </c>
      <c r="C116" s="331">
        <v>36.6</v>
      </c>
      <c r="D116" s="330">
        <v>10133565491.77</v>
      </c>
      <c r="E116" s="331">
        <v>36.6</v>
      </c>
      <c r="F116" s="23">
        <f>((D116-B116)/B116)</f>
        <v>2.8002228246348754E-3</v>
      </c>
      <c r="G116" s="23">
        <f>((E116-C116)/C116)</f>
        <v>0</v>
      </c>
      <c r="H116" s="330">
        <v>10148918090.66</v>
      </c>
      <c r="I116" s="331">
        <v>36.6</v>
      </c>
      <c r="J116" s="23">
        <f t="shared" si="87"/>
        <v>1.5150243912143303E-3</v>
      </c>
      <c r="K116" s="23">
        <f t="shared" si="87"/>
        <v>0</v>
      </c>
      <c r="L116" s="330">
        <v>10154946927.15</v>
      </c>
      <c r="M116" s="331">
        <v>36.6</v>
      </c>
      <c r="N116" s="23">
        <f t="shared" si="88"/>
        <v>5.9403735808529975E-4</v>
      </c>
      <c r="O116" s="23">
        <f t="shared" si="88"/>
        <v>0</v>
      </c>
      <c r="P116" s="330">
        <v>10179097473.139999</v>
      </c>
      <c r="Q116" s="331">
        <v>36.6</v>
      </c>
      <c r="R116" s="23">
        <f t="shared" si="89"/>
        <v>2.378205042650839E-3</v>
      </c>
      <c r="S116" s="23">
        <f t="shared" si="90"/>
        <v>0</v>
      </c>
      <c r="T116" s="330">
        <v>10188447956.73</v>
      </c>
      <c r="U116" s="331">
        <v>36.6</v>
      </c>
      <c r="V116" s="23">
        <f t="shared" si="91"/>
        <v>9.1859652731233349E-4</v>
      </c>
      <c r="W116" s="23">
        <f t="shared" si="92"/>
        <v>0</v>
      </c>
      <c r="X116" s="330">
        <v>10204268194.49</v>
      </c>
      <c r="Y116" s="331">
        <v>36.6</v>
      </c>
      <c r="Z116" s="23">
        <f t="shared" si="93"/>
        <v>1.5527622879547753E-3</v>
      </c>
      <c r="AA116" s="23">
        <f t="shared" si="94"/>
        <v>0</v>
      </c>
      <c r="AB116" s="330">
        <v>10224711101.32</v>
      </c>
      <c r="AC116" s="331">
        <v>36.6</v>
      </c>
      <c r="AD116" s="23">
        <f t="shared" si="95"/>
        <v>2.0033682416381884E-3</v>
      </c>
      <c r="AE116" s="23">
        <f t="shared" si="96"/>
        <v>0</v>
      </c>
      <c r="AF116" s="330">
        <v>10229848237.83</v>
      </c>
      <c r="AG116" s="331">
        <v>36.6</v>
      </c>
      <c r="AH116" s="23">
        <f t="shared" si="97"/>
        <v>5.0242363418336879E-4</v>
      </c>
      <c r="AI116" s="23">
        <f t="shared" si="98"/>
        <v>0</v>
      </c>
      <c r="AJ116" s="24">
        <f t="shared" si="48"/>
        <v>1.5330800384592514E-3</v>
      </c>
      <c r="AK116" s="24">
        <f t="shared" si="49"/>
        <v>0</v>
      </c>
      <c r="AL116" s="25">
        <f t="shared" si="50"/>
        <v>9.5013691023357709E-3</v>
      </c>
      <c r="AM116" s="25">
        <f t="shared" si="51"/>
        <v>0</v>
      </c>
      <c r="AN116" s="26">
        <f t="shared" si="52"/>
        <v>8.335308092145378E-4</v>
      </c>
      <c r="AO116" s="78">
        <f t="shared" si="53"/>
        <v>0</v>
      </c>
      <c r="AP116" s="30"/>
      <c r="AQ116" s="28">
        <v>2128320668.46</v>
      </c>
      <c r="AR116" s="35">
        <v>1.04</v>
      </c>
      <c r="AS116" s="29" t="e">
        <f>(#REF!/AQ116)-1</f>
        <v>#REF!</v>
      </c>
      <c r="AT116" s="29" t="e">
        <f>(#REF!/AR116)-1</f>
        <v>#REF!</v>
      </c>
    </row>
    <row r="117" spans="1:46">
      <c r="A117" s="206" t="s">
        <v>186</v>
      </c>
      <c r="B117" s="330">
        <v>26501317592.720001</v>
      </c>
      <c r="C117" s="331">
        <v>9.93</v>
      </c>
      <c r="D117" s="330">
        <v>26518692064.02</v>
      </c>
      <c r="E117" s="331">
        <v>3.15</v>
      </c>
      <c r="F117" s="23">
        <f>((D117-B117)/B117)</f>
        <v>6.5560782927910199E-4</v>
      </c>
      <c r="G117" s="23">
        <f>((E117-C117)/C117)</f>
        <v>-0.68277945619335345</v>
      </c>
      <c r="H117" s="330">
        <v>26545649172.029999</v>
      </c>
      <c r="I117" s="331">
        <v>3.2</v>
      </c>
      <c r="J117" s="23">
        <f t="shared" si="87"/>
        <v>1.016532336697448E-3</v>
      </c>
      <c r="K117" s="23">
        <f t="shared" si="87"/>
        <v>1.5873015873015959E-2</v>
      </c>
      <c r="L117" s="330">
        <v>26550833017.650002</v>
      </c>
      <c r="M117" s="331">
        <v>3.3</v>
      </c>
      <c r="N117" s="23">
        <f t="shared" si="88"/>
        <v>1.9528042378653675E-4</v>
      </c>
      <c r="O117" s="23">
        <f t="shared" si="88"/>
        <v>3.1249999999999889E-2</v>
      </c>
      <c r="P117" s="330">
        <v>27163422055.529999</v>
      </c>
      <c r="Q117" s="331">
        <v>3.15</v>
      </c>
      <c r="R117" s="23">
        <f t="shared" si="89"/>
        <v>2.3072309538189291E-2</v>
      </c>
      <c r="S117" s="23">
        <f t="shared" si="90"/>
        <v>-4.5454545454545428E-2</v>
      </c>
      <c r="T117" s="330">
        <v>27163422055.529999</v>
      </c>
      <c r="U117" s="331">
        <v>3.15</v>
      </c>
      <c r="V117" s="23">
        <f t="shared" si="91"/>
        <v>0</v>
      </c>
      <c r="W117" s="23">
        <f t="shared" si="92"/>
        <v>0</v>
      </c>
      <c r="X117" s="330">
        <v>27268732309.669998</v>
      </c>
      <c r="Y117" s="331">
        <v>3.15</v>
      </c>
      <c r="Z117" s="23">
        <f t="shared" si="93"/>
        <v>3.876914106209238E-3</v>
      </c>
      <c r="AA117" s="23">
        <f t="shared" si="94"/>
        <v>0</v>
      </c>
      <c r="AB117" s="330">
        <v>27273204629.889999</v>
      </c>
      <c r="AC117" s="331">
        <v>3.35</v>
      </c>
      <c r="AD117" s="23">
        <f t="shared" si="95"/>
        <v>1.640090991107516E-4</v>
      </c>
      <c r="AE117" s="23">
        <f t="shared" si="96"/>
        <v>6.3492063492063544E-2</v>
      </c>
      <c r="AF117" s="330">
        <v>27272188865.650002</v>
      </c>
      <c r="AG117" s="331">
        <v>3.35</v>
      </c>
      <c r="AH117" s="23">
        <f t="shared" si="97"/>
        <v>-3.7244036913969383E-5</v>
      </c>
      <c r="AI117" s="23">
        <f t="shared" si="98"/>
        <v>0</v>
      </c>
      <c r="AJ117" s="24">
        <f t="shared" si="48"/>
        <v>3.6179261620447995E-3</v>
      </c>
      <c r="AK117" s="24">
        <f t="shared" si="49"/>
        <v>-7.7202365285352431E-2</v>
      </c>
      <c r="AL117" s="25">
        <f t="shared" si="50"/>
        <v>2.8413799587511692E-2</v>
      </c>
      <c r="AM117" s="25">
        <f t="shared" si="51"/>
        <v>6.3492063492063544E-2</v>
      </c>
      <c r="AN117" s="26">
        <f t="shared" si="52"/>
        <v>7.9657874946103442E-3</v>
      </c>
      <c r="AO117" s="78">
        <f t="shared" si="53"/>
        <v>0.24664376193679247</v>
      </c>
      <c r="AP117" s="30"/>
      <c r="AQ117" s="28">
        <v>1789192828.73</v>
      </c>
      <c r="AR117" s="32">
        <v>0.79</v>
      </c>
      <c r="AS117" s="29" t="e">
        <f>(#REF!/AQ117)-1</f>
        <v>#REF!</v>
      </c>
      <c r="AT117" s="29" t="e">
        <f>(#REF!/AR117)-1</f>
        <v>#REF!</v>
      </c>
    </row>
    <row r="118" spans="1:46">
      <c r="A118" s="208" t="s">
        <v>42</v>
      </c>
      <c r="B118" s="70">
        <f>SUM(B114:B117)</f>
        <v>46448137747.110001</v>
      </c>
      <c r="C118" s="87"/>
      <c r="D118" s="70">
        <f>SUM(D114:D117)</f>
        <v>46504435280.830002</v>
      </c>
      <c r="E118" s="87"/>
      <c r="F118" s="23">
        <f>((D118-B118)/B118)</f>
        <v>1.212051471826856E-3</v>
      </c>
      <c r="G118" s="23"/>
      <c r="H118" s="70">
        <f>SUM(H114:H117)</f>
        <v>46547556602.110001</v>
      </c>
      <c r="I118" s="87"/>
      <c r="J118" s="23">
        <f>((H118-D118)/D118)</f>
        <v>9.2725179909397147E-4</v>
      </c>
      <c r="K118" s="23"/>
      <c r="L118" s="70">
        <f>SUM(L114:L117)</f>
        <v>46562248546.230003</v>
      </c>
      <c r="M118" s="87"/>
      <c r="N118" s="23">
        <f>((L118-H118)/H118)</f>
        <v>3.1563298253418443E-4</v>
      </c>
      <c r="O118" s="23"/>
      <c r="P118" s="70">
        <f>SUM(P114:P117)</f>
        <v>47203225292.739998</v>
      </c>
      <c r="Q118" s="87"/>
      <c r="R118" s="23">
        <f>((P118-L118)/L118)</f>
        <v>1.3766017890514704E-2</v>
      </c>
      <c r="S118" s="23"/>
      <c r="T118" s="70">
        <f>SUM(T114:T117)</f>
        <v>47216549017.909996</v>
      </c>
      <c r="U118" s="87"/>
      <c r="V118" s="23">
        <f>((T118-P118)/P118)</f>
        <v>2.8226302519305602E-4</v>
      </c>
      <c r="W118" s="23"/>
      <c r="X118" s="70">
        <f>SUM(X114:X117)</f>
        <v>94163780372.309998</v>
      </c>
      <c r="Y118" s="87"/>
      <c r="Z118" s="23">
        <f>((X118-T118)/T118)</f>
        <v>0.99429611716417821</v>
      </c>
      <c r="AA118" s="23"/>
      <c r="AB118" s="70">
        <f>SUM(AB114:AB117)</f>
        <v>94193238006.570007</v>
      </c>
      <c r="AC118" s="87"/>
      <c r="AD118" s="23">
        <f>((AB118-X118)/X118)</f>
        <v>3.128340232681667E-4</v>
      </c>
      <c r="AE118" s="23"/>
      <c r="AF118" s="70">
        <f>SUM(AF114:AF117)</f>
        <v>94202498345.429993</v>
      </c>
      <c r="AG118" s="87"/>
      <c r="AH118" s="23">
        <f>((AF118-AB118)/AB118)</f>
        <v>9.8312140616075224E-5</v>
      </c>
      <c r="AI118" s="23"/>
      <c r="AJ118" s="24">
        <f t="shared" si="48"/>
        <v>0.12640131006215316</v>
      </c>
      <c r="AK118" s="24"/>
      <c r="AL118" s="25">
        <f t="shared" si="50"/>
        <v>1.0256669665282878</v>
      </c>
      <c r="AM118" s="25"/>
      <c r="AN118" s="26">
        <f t="shared" si="52"/>
        <v>0.35071326466106628</v>
      </c>
      <c r="AO118" s="78"/>
      <c r="AP118" s="30"/>
      <c r="AQ118" s="28">
        <v>204378030.47999999</v>
      </c>
      <c r="AR118" s="32">
        <v>22.9087</v>
      </c>
      <c r="AS118" s="29" t="e">
        <f>(#REF!/AQ118)-1</f>
        <v>#REF!</v>
      </c>
      <c r="AT118" s="29" t="e">
        <f>(#REF!/AR118)-1</f>
        <v>#REF!</v>
      </c>
    </row>
    <row r="119" spans="1:46" s="374" customFormat="1" ht="7.5" customHeight="1">
      <c r="A119" s="208"/>
      <c r="B119" s="70"/>
      <c r="C119" s="87"/>
      <c r="D119" s="70"/>
      <c r="E119" s="87"/>
      <c r="F119" s="23"/>
      <c r="G119" s="23"/>
      <c r="H119" s="70"/>
      <c r="I119" s="87"/>
      <c r="J119" s="23"/>
      <c r="K119" s="23"/>
      <c r="L119" s="70"/>
      <c r="M119" s="87"/>
      <c r="N119" s="23"/>
      <c r="O119" s="23"/>
      <c r="P119" s="70"/>
      <c r="Q119" s="87"/>
      <c r="R119" s="23"/>
      <c r="S119" s="23"/>
      <c r="T119" s="70"/>
      <c r="U119" s="87"/>
      <c r="V119" s="23"/>
      <c r="W119" s="23"/>
      <c r="X119" s="87"/>
      <c r="Y119" s="87"/>
      <c r="Z119" s="23"/>
      <c r="AA119" s="23"/>
      <c r="AB119" s="87"/>
      <c r="AC119" s="87"/>
      <c r="AD119" s="23"/>
      <c r="AE119" s="23"/>
      <c r="AF119" s="87"/>
      <c r="AG119" s="87"/>
      <c r="AH119" s="23"/>
      <c r="AI119" s="23"/>
      <c r="AJ119" s="24"/>
      <c r="AK119" s="24"/>
      <c r="AL119" s="25"/>
      <c r="AM119" s="25"/>
      <c r="AN119" s="26"/>
      <c r="AO119" s="78"/>
      <c r="AP119" s="30"/>
      <c r="AQ119" s="28"/>
      <c r="AR119" s="32"/>
      <c r="AS119" s="29"/>
      <c r="AT119" s="29"/>
    </row>
    <row r="120" spans="1:46">
      <c r="A120" s="210" t="s">
        <v>226</v>
      </c>
      <c r="B120" s="87"/>
      <c r="C120" s="87"/>
      <c r="D120" s="87"/>
      <c r="E120" s="87"/>
      <c r="F120" s="23"/>
      <c r="G120" s="23"/>
      <c r="H120" s="87"/>
      <c r="I120" s="87"/>
      <c r="J120" s="23"/>
      <c r="K120" s="23"/>
      <c r="L120" s="87"/>
      <c r="M120" s="87"/>
      <c r="N120" s="23"/>
      <c r="O120" s="23"/>
      <c r="P120" s="87"/>
      <c r="Q120" s="87"/>
      <c r="R120" s="23"/>
      <c r="S120" s="23"/>
      <c r="T120" s="87"/>
      <c r="U120" s="87"/>
      <c r="V120" s="23"/>
      <c r="W120" s="23"/>
      <c r="X120" s="87"/>
      <c r="Y120" s="87"/>
      <c r="Z120" s="23"/>
      <c r="AA120" s="23"/>
      <c r="AB120" s="87"/>
      <c r="AC120" s="87"/>
      <c r="AD120" s="23"/>
      <c r="AE120" s="23"/>
      <c r="AF120" s="87"/>
      <c r="AG120" s="87"/>
      <c r="AH120" s="23"/>
      <c r="AI120" s="23"/>
      <c r="AJ120" s="24"/>
      <c r="AK120" s="24"/>
      <c r="AL120" s="25"/>
      <c r="AM120" s="25"/>
      <c r="AN120" s="26"/>
      <c r="AO120" s="78"/>
      <c r="AP120" s="30"/>
      <c r="AQ120" s="28">
        <v>160273731.87</v>
      </c>
      <c r="AR120" s="32">
        <v>133.94</v>
      </c>
      <c r="AS120" s="29" t="e">
        <f>(#REF!/AQ120)-1</f>
        <v>#REF!</v>
      </c>
      <c r="AT120" s="29" t="e">
        <f>(#REF!/AR120)-1</f>
        <v>#REF!</v>
      </c>
    </row>
    <row r="121" spans="1:46" s="95" customFormat="1">
      <c r="A121" s="206" t="s">
        <v>118</v>
      </c>
      <c r="B121" s="329">
        <v>172731006.96000001</v>
      </c>
      <c r="C121" s="329">
        <v>3.94</v>
      </c>
      <c r="D121" s="329">
        <v>173678190.16999999</v>
      </c>
      <c r="E121" s="329">
        <v>3.96</v>
      </c>
      <c r="F121" s="23">
        <f>((D121-B121)/B121)</f>
        <v>5.4835737177131227E-3</v>
      </c>
      <c r="G121" s="23">
        <f>((E121-C121)/C121)</f>
        <v>5.0761421319797002E-3</v>
      </c>
      <c r="H121" s="329">
        <v>171101927.94999999</v>
      </c>
      <c r="I121" s="329">
        <v>3.9</v>
      </c>
      <c r="J121" s="23">
        <f t="shared" ref="J121:J144" si="99">((H121-D121)/D121)</f>
        <v>-1.4833539072915819E-2</v>
      </c>
      <c r="K121" s="23">
        <f t="shared" ref="K121:K144" si="100">((I121-E121)/E121)</f>
        <v>-1.5151515151515166E-2</v>
      </c>
      <c r="L121" s="329">
        <v>170294462.5</v>
      </c>
      <c r="M121" s="329">
        <v>3.88</v>
      </c>
      <c r="N121" s="23">
        <f t="shared" ref="N121:N144" si="101">((L121-H121)/H121)</f>
        <v>-4.7192071981558767E-3</v>
      </c>
      <c r="O121" s="23">
        <f t="shared" ref="O121:O144" si="102">((M121-I121)/I121)</f>
        <v>-5.1282051282051325E-3</v>
      </c>
      <c r="P121" s="329">
        <v>168710246.75</v>
      </c>
      <c r="Q121" s="329">
        <v>3.85</v>
      </c>
      <c r="R121" s="23">
        <f t="shared" ref="R121:R131" si="103">((P121-L121)/L121)</f>
        <v>-9.3028024913023814E-3</v>
      </c>
      <c r="S121" s="23">
        <f t="shared" ref="S121:S131" si="104">((Q121-M121)/M121)</f>
        <v>-7.7319587628865479E-3</v>
      </c>
      <c r="T121" s="329">
        <v>170773706.19</v>
      </c>
      <c r="U121" s="329">
        <v>3.89</v>
      </c>
      <c r="V121" s="23">
        <f t="shared" ref="V121:V131" si="105">((T121-P121)/P121)</f>
        <v>1.2230789058460064E-2</v>
      </c>
      <c r="W121" s="23">
        <f t="shared" ref="W121:W131" si="106">((U121-Q121)/Q121)</f>
        <v>1.0389610389610398E-2</v>
      </c>
      <c r="X121" s="329">
        <v>171476888.66999999</v>
      </c>
      <c r="Y121" s="329">
        <v>3.91</v>
      </c>
      <c r="Z121" s="23">
        <f t="shared" ref="Z121:Z131" si="107">((X121-T121)/T121)</f>
        <v>4.1176273308587688E-3</v>
      </c>
      <c r="AA121" s="23">
        <f t="shared" ref="AA121:AA131" si="108">((Y121-U121)/U121)</f>
        <v>5.1413881748072028E-3</v>
      </c>
      <c r="AB121" s="329">
        <v>171930951.83000001</v>
      </c>
      <c r="AC121" s="329">
        <v>3.92</v>
      </c>
      <c r="AD121" s="23">
        <f t="shared" ref="AD121:AD131" si="109">((AB121-X121)/X121)</f>
        <v>2.6479554389037905E-3</v>
      </c>
      <c r="AE121" s="23">
        <f t="shared" ref="AE121:AE131" si="110">((AC121-Y121)/Y121)</f>
        <v>2.5575447570331936E-3</v>
      </c>
      <c r="AF121" s="329">
        <v>173805872.94</v>
      </c>
      <c r="AG121" s="329">
        <v>3.96</v>
      </c>
      <c r="AH121" s="23">
        <f t="shared" ref="AH121:AH131" si="111">((AF121-AB121)/AB121)</f>
        <v>1.0905081895049637E-2</v>
      </c>
      <c r="AI121" s="23">
        <f t="shared" ref="AI121:AI131" si="112">((AG121-AC121)/AC121)</f>
        <v>1.0204081632653071E-2</v>
      </c>
      <c r="AJ121" s="24">
        <f t="shared" si="48"/>
        <v>8.1618483482641358E-4</v>
      </c>
      <c r="AK121" s="24">
        <f t="shared" si="49"/>
        <v>6.6963600543458999E-4</v>
      </c>
      <c r="AL121" s="25">
        <f t="shared" si="50"/>
        <v>7.351687041132341E-4</v>
      </c>
      <c r="AM121" s="25">
        <f t="shared" si="51"/>
        <v>0</v>
      </c>
      <c r="AN121" s="26">
        <f t="shared" si="52"/>
        <v>9.6070419589884947E-3</v>
      </c>
      <c r="AO121" s="78">
        <f t="shared" si="53"/>
        <v>9.1251003830283475E-3</v>
      </c>
      <c r="AP121" s="30"/>
      <c r="AQ121" s="28"/>
      <c r="AR121" s="32"/>
      <c r="AS121" s="29"/>
      <c r="AT121" s="29"/>
    </row>
    <row r="122" spans="1:46" s="105" customFormat="1">
      <c r="A122" s="206" t="s">
        <v>158</v>
      </c>
      <c r="B122" s="329">
        <v>4978111331.3400002</v>
      </c>
      <c r="C122" s="329">
        <v>564.47370000000001</v>
      </c>
      <c r="D122" s="329">
        <v>4973999318.1199999</v>
      </c>
      <c r="E122" s="329">
        <v>563.76959999999997</v>
      </c>
      <c r="F122" s="23">
        <f>((D122-B122)/B122)</f>
        <v>-8.2601873407547953E-4</v>
      </c>
      <c r="G122" s="23">
        <f>((E122-C122)/C122)</f>
        <v>-1.2473566084656193E-3</v>
      </c>
      <c r="H122" s="329">
        <v>4918914713.4399996</v>
      </c>
      <c r="I122" s="329">
        <v>557.14210000000003</v>
      </c>
      <c r="J122" s="23">
        <f t="shared" si="99"/>
        <v>-1.1074509897765806E-2</v>
      </c>
      <c r="K122" s="23">
        <f t="shared" si="100"/>
        <v>-1.1755688848777836E-2</v>
      </c>
      <c r="L122" s="329">
        <v>4869590487.46</v>
      </c>
      <c r="M122" s="329">
        <v>552.24419999999998</v>
      </c>
      <c r="N122" s="23">
        <f t="shared" si="101"/>
        <v>-1.002746110747366E-2</v>
      </c>
      <c r="O122" s="23">
        <f t="shared" si="102"/>
        <v>-8.7911145110018598E-3</v>
      </c>
      <c r="P122" s="329">
        <v>4863334664.6599998</v>
      </c>
      <c r="Q122" s="329">
        <v>551.76990000000001</v>
      </c>
      <c r="R122" s="23">
        <f t="shared" si="103"/>
        <v>-1.2846712297697245E-3</v>
      </c>
      <c r="S122" s="23">
        <f t="shared" si="104"/>
        <v>-8.5885917860245716E-4</v>
      </c>
      <c r="T122" s="329">
        <v>4908955750.3999996</v>
      </c>
      <c r="U122" s="329">
        <v>556.91679999999997</v>
      </c>
      <c r="V122" s="23">
        <f t="shared" si="105"/>
        <v>9.3806182148045078E-3</v>
      </c>
      <c r="W122" s="23">
        <f t="shared" si="106"/>
        <v>9.3279825521471165E-3</v>
      </c>
      <c r="X122" s="329">
        <v>4938418482.0100002</v>
      </c>
      <c r="Y122" s="329">
        <v>559.78129999999999</v>
      </c>
      <c r="Z122" s="23">
        <f t="shared" si="107"/>
        <v>6.0018327946019636E-3</v>
      </c>
      <c r="AA122" s="23">
        <f t="shared" si="108"/>
        <v>5.1434971974270143E-3</v>
      </c>
      <c r="AB122" s="329">
        <v>4935775290.6000004</v>
      </c>
      <c r="AC122" s="329">
        <v>559.86249999999995</v>
      </c>
      <c r="AD122" s="23">
        <f t="shared" si="109"/>
        <v>-5.3523034137925758E-4</v>
      </c>
      <c r="AE122" s="23">
        <f t="shared" si="110"/>
        <v>1.4505664980228364E-4</v>
      </c>
      <c r="AF122" s="329">
        <v>4941603561.1999998</v>
      </c>
      <c r="AG122" s="329">
        <v>560.7441</v>
      </c>
      <c r="AH122" s="23">
        <f t="shared" si="111"/>
        <v>1.1808217061864935E-3</v>
      </c>
      <c r="AI122" s="23">
        <f t="shared" si="112"/>
        <v>1.5746723525866596E-3</v>
      </c>
      <c r="AJ122" s="24">
        <f t="shared" si="48"/>
        <v>-8.9807732435887044E-4</v>
      </c>
      <c r="AK122" s="24">
        <f t="shared" si="49"/>
        <v>-8.0772629936058736E-4</v>
      </c>
      <c r="AL122" s="25">
        <f t="shared" si="50"/>
        <v>-6.5130199760953236E-3</v>
      </c>
      <c r="AM122" s="25">
        <f t="shared" si="51"/>
        <v>-5.3665539965261798E-3</v>
      </c>
      <c r="AN122" s="26">
        <f t="shared" si="52"/>
        <v>7.0180776388801451E-3</v>
      </c>
      <c r="AO122" s="78">
        <f t="shared" si="53"/>
        <v>6.8506676881840483E-3</v>
      </c>
      <c r="AP122" s="30"/>
      <c r="AQ122" s="28"/>
      <c r="AR122" s="32"/>
      <c r="AS122" s="29"/>
      <c r="AT122" s="29"/>
    </row>
    <row r="123" spans="1:46" s="374" customFormat="1">
      <c r="A123" s="206" t="s">
        <v>246</v>
      </c>
      <c r="B123" s="329">
        <v>2649688853.8699999</v>
      </c>
      <c r="C123" s="329">
        <v>14.6698</v>
      </c>
      <c r="D123" s="329">
        <v>2652855180.1700001</v>
      </c>
      <c r="E123" s="329">
        <v>14.6122</v>
      </c>
      <c r="F123" s="23">
        <f>((D123-B123)/B123)</f>
        <v>1.1949804202012687E-3</v>
      </c>
      <c r="G123" s="23">
        <f>((E123-C123)/C123)</f>
        <v>-3.9264338982127065E-3</v>
      </c>
      <c r="H123" s="329">
        <v>2653239570.73</v>
      </c>
      <c r="I123" s="329">
        <v>14.7095</v>
      </c>
      <c r="J123" s="23">
        <f t="shared" ref="J123" si="113">((H123-D123)/D123)</f>
        <v>1.4489692572487514E-4</v>
      </c>
      <c r="K123" s="23">
        <f t="shared" ref="K123" si="114">((I123-E123)/E123)</f>
        <v>6.6588193427410394E-3</v>
      </c>
      <c r="L123" s="329">
        <v>2650665377.96</v>
      </c>
      <c r="M123" s="329">
        <v>14.694599999999999</v>
      </c>
      <c r="N123" s="23">
        <f t="shared" ref="N123" si="115">((L123-H123)/H123)</f>
        <v>-9.7020743938766509E-4</v>
      </c>
      <c r="O123" s="23">
        <f t="shared" ref="O123" si="116">((M123-I123)/I123)</f>
        <v>-1.0129508140997859E-3</v>
      </c>
      <c r="P123" s="329">
        <v>2649526940.52</v>
      </c>
      <c r="Q123" s="329">
        <v>14.6632</v>
      </c>
      <c r="R123" s="23">
        <f t="shared" si="103"/>
        <v>-4.2949119472644233E-4</v>
      </c>
      <c r="S123" s="23">
        <f t="shared" si="104"/>
        <v>-2.1368393831747478E-3</v>
      </c>
      <c r="T123" s="329">
        <v>2681164804.3800001</v>
      </c>
      <c r="U123" s="329">
        <v>14.798400000000001</v>
      </c>
      <c r="V123" s="23">
        <f t="shared" si="105"/>
        <v>1.1940948165558506E-2</v>
      </c>
      <c r="W123" s="23">
        <f t="shared" si="106"/>
        <v>9.2203611762781048E-3</v>
      </c>
      <c r="X123" s="329">
        <v>2697991011.23</v>
      </c>
      <c r="Y123" s="329">
        <v>14.9048</v>
      </c>
      <c r="Z123" s="23">
        <f t="shared" si="107"/>
        <v>6.2757077903276602E-3</v>
      </c>
      <c r="AA123" s="23">
        <f t="shared" si="108"/>
        <v>7.1899664828629405E-3</v>
      </c>
      <c r="AB123" s="329">
        <v>2699776971.6500001</v>
      </c>
      <c r="AC123" s="329">
        <v>14.969200000000001</v>
      </c>
      <c r="AD123" s="23">
        <f t="shared" si="109"/>
        <v>6.6195936627152304E-4</v>
      </c>
      <c r="AE123" s="23">
        <f t="shared" si="110"/>
        <v>4.3207557296978758E-3</v>
      </c>
      <c r="AF123" s="329">
        <v>2718917482.6599998</v>
      </c>
      <c r="AG123" s="329">
        <v>15.014799999999999</v>
      </c>
      <c r="AH123" s="23">
        <f t="shared" si="111"/>
        <v>7.0896637800054296E-3</v>
      </c>
      <c r="AI123" s="23">
        <f t="shared" si="112"/>
        <v>3.0462549768857741E-3</v>
      </c>
      <c r="AJ123" s="24">
        <f t="shared" si="48"/>
        <v>3.2385572267468942E-3</v>
      </c>
      <c r="AK123" s="24">
        <f t="shared" si="49"/>
        <v>2.9199917016223122E-3</v>
      </c>
      <c r="AL123" s="25">
        <f t="shared" si="50"/>
        <v>2.4902340310098033E-2</v>
      </c>
      <c r="AM123" s="25">
        <f t="shared" si="51"/>
        <v>2.7552319294835797E-2</v>
      </c>
      <c r="AN123" s="26">
        <f t="shared" si="52"/>
        <v>4.6497463721379955E-3</v>
      </c>
      <c r="AO123" s="78">
        <f t="shared" si="53"/>
        <v>4.8076928756027506E-3</v>
      </c>
      <c r="AP123" s="30"/>
      <c r="AQ123" s="28"/>
      <c r="AR123" s="32"/>
      <c r="AS123" s="29"/>
      <c r="AT123" s="29"/>
    </row>
    <row r="124" spans="1:46">
      <c r="A124" s="206" t="s">
        <v>146</v>
      </c>
      <c r="B124" s="330">
        <v>1050592113.49</v>
      </c>
      <c r="C124" s="329">
        <v>2.4378000000000002</v>
      </c>
      <c r="D124" s="330">
        <v>1031192765.14</v>
      </c>
      <c r="E124" s="329">
        <v>2.4527999999999999</v>
      </c>
      <c r="F124" s="23">
        <f>((D124-B124)/B124)</f>
        <v>-1.8465157029931078E-2</v>
      </c>
      <c r="G124" s="23">
        <f>((E124-C124)/C124)</f>
        <v>6.1530888506028713E-3</v>
      </c>
      <c r="H124" s="330">
        <v>1013844367.62</v>
      </c>
      <c r="I124" s="329">
        <v>2.4114</v>
      </c>
      <c r="J124" s="23">
        <f t="shared" si="99"/>
        <v>-1.6823622223187992E-2</v>
      </c>
      <c r="K124" s="23">
        <f t="shared" si="100"/>
        <v>-1.6878669275929504E-2</v>
      </c>
      <c r="L124" s="330">
        <v>1008347071.5599999</v>
      </c>
      <c r="M124" s="329">
        <v>2.3980999999999999</v>
      </c>
      <c r="N124" s="23">
        <f t="shared" si="101"/>
        <v>-5.4222287321129634E-3</v>
      </c>
      <c r="O124" s="23">
        <f t="shared" si="102"/>
        <v>-5.5154681927511362E-3</v>
      </c>
      <c r="P124" s="330">
        <v>1012602240.15</v>
      </c>
      <c r="Q124" s="329">
        <v>2.4079000000000002</v>
      </c>
      <c r="R124" s="23">
        <f t="shared" si="103"/>
        <v>4.2199444120137328E-3</v>
      </c>
      <c r="S124" s="23">
        <f t="shared" si="104"/>
        <v>4.0865685334223979E-3</v>
      </c>
      <c r="T124" s="330">
        <v>1012602240.15</v>
      </c>
      <c r="U124" s="329">
        <v>2.4079000000000002</v>
      </c>
      <c r="V124" s="23">
        <f t="shared" si="105"/>
        <v>0</v>
      </c>
      <c r="W124" s="23">
        <f t="shared" si="106"/>
        <v>0</v>
      </c>
      <c r="X124" s="330">
        <v>1032654596.37</v>
      </c>
      <c r="Y124" s="329">
        <v>2.4561000000000002</v>
      </c>
      <c r="Z124" s="23">
        <f t="shared" si="107"/>
        <v>1.9802796621336341E-2</v>
      </c>
      <c r="AA124" s="23">
        <f t="shared" si="108"/>
        <v>2.0017442584824959E-2</v>
      </c>
      <c r="AB124" s="330">
        <v>1047558751.25</v>
      </c>
      <c r="AC124" s="329">
        <v>2.4914000000000001</v>
      </c>
      <c r="AD124" s="23">
        <f t="shared" si="109"/>
        <v>1.4432855799404043E-2</v>
      </c>
      <c r="AE124" s="23">
        <f t="shared" si="110"/>
        <v>1.4372378974797395E-2</v>
      </c>
      <c r="AF124" s="330">
        <v>1072807293.22</v>
      </c>
      <c r="AG124" s="329">
        <v>2.5520999999999998</v>
      </c>
      <c r="AH124" s="23">
        <f t="shared" si="111"/>
        <v>2.4102268192473398E-2</v>
      </c>
      <c r="AI124" s="23">
        <f t="shared" si="112"/>
        <v>2.4363811511599803E-2</v>
      </c>
      <c r="AJ124" s="24">
        <f t="shared" si="48"/>
        <v>2.7308571299994346E-3</v>
      </c>
      <c r="AK124" s="24">
        <f t="shared" si="49"/>
        <v>5.8248941233208481E-3</v>
      </c>
      <c r="AL124" s="25">
        <f t="shared" si="50"/>
        <v>4.0355721536070165E-2</v>
      </c>
      <c r="AM124" s="25">
        <f t="shared" si="51"/>
        <v>4.0484344422700567E-2</v>
      </c>
      <c r="AN124" s="26">
        <f t="shared" si="52"/>
        <v>1.6004113539832551E-2</v>
      </c>
      <c r="AO124" s="78">
        <f t="shared" si="53"/>
        <v>1.3624001272516773E-2</v>
      </c>
      <c r="AP124" s="30"/>
      <c r="AQ124" s="56">
        <f>SUM(AQ115:AQ120)</f>
        <v>4923038917.1999998</v>
      </c>
      <c r="AR124" s="13"/>
      <c r="AS124" s="29" t="e">
        <f>(#REF!/AQ124)-1</f>
        <v>#REF!</v>
      </c>
      <c r="AT124" s="29" t="e">
        <f>(#REF!/AR124)-1</f>
        <v>#REF!</v>
      </c>
    </row>
    <row r="125" spans="1:46">
      <c r="A125" s="206" t="s">
        <v>275</v>
      </c>
      <c r="B125" s="330">
        <v>2334194556.6071301</v>
      </c>
      <c r="C125" s="329">
        <v>4406.1711271848098</v>
      </c>
      <c r="D125" s="330">
        <v>2355807176.3098302</v>
      </c>
      <c r="E125" s="329">
        <v>4442.8573026631802</v>
      </c>
      <c r="F125" s="23">
        <f>((D125-B125)/B125)</f>
        <v>9.2591337947917993E-3</v>
      </c>
      <c r="G125" s="23">
        <f>((E125-C125)/C125)</f>
        <v>8.3260895728781894E-3</v>
      </c>
      <c r="H125" s="330">
        <v>2348018832.5989199</v>
      </c>
      <c r="I125" s="329">
        <v>4430.2352936403504</v>
      </c>
      <c r="J125" s="23">
        <f t="shared" si="99"/>
        <v>-3.3060191806997094E-3</v>
      </c>
      <c r="K125" s="23">
        <f t="shared" si="100"/>
        <v>-2.8409665588997957E-3</v>
      </c>
      <c r="L125" s="330">
        <v>2336337596.4126301</v>
      </c>
      <c r="M125" s="329">
        <v>4408.0639662127296</v>
      </c>
      <c r="N125" s="23">
        <f t="shared" si="101"/>
        <v>-4.9749329196650165E-3</v>
      </c>
      <c r="O125" s="23">
        <f t="shared" si="102"/>
        <v>-5.0045485077164992E-3</v>
      </c>
      <c r="P125" s="330">
        <v>2342849908.4763198</v>
      </c>
      <c r="Q125" s="329">
        <v>4420.7530680885802</v>
      </c>
      <c r="R125" s="23">
        <f t="shared" si="103"/>
        <v>2.7874019892027381E-3</v>
      </c>
      <c r="S125" s="23">
        <f t="shared" si="104"/>
        <v>2.8786111029946533E-3</v>
      </c>
      <c r="T125" s="330">
        <v>2367475279.2972498</v>
      </c>
      <c r="U125" s="329">
        <v>4470.5542497194201</v>
      </c>
      <c r="V125" s="23">
        <f t="shared" si="105"/>
        <v>1.0510861464849532E-2</v>
      </c>
      <c r="W125" s="23">
        <f t="shared" si="106"/>
        <v>1.1265316307832738E-2</v>
      </c>
      <c r="X125" s="330">
        <v>2381743169.8162699</v>
      </c>
      <c r="Y125" s="329">
        <v>4497.5691687045801</v>
      </c>
      <c r="Z125" s="23">
        <f t="shared" si="107"/>
        <v>6.0266270333582082E-3</v>
      </c>
      <c r="AA125" s="23">
        <f t="shared" si="108"/>
        <v>6.0428567636452392E-3</v>
      </c>
      <c r="AB125" s="330">
        <v>2369343849.3488002</v>
      </c>
      <c r="AC125" s="329">
        <v>4469.4253479082499</v>
      </c>
      <c r="AD125" s="23">
        <f t="shared" si="109"/>
        <v>-5.2059855254780428E-3</v>
      </c>
      <c r="AE125" s="23">
        <f t="shared" si="110"/>
        <v>-6.2575626389835643E-3</v>
      </c>
      <c r="AF125" s="330">
        <v>2386581991.5784502</v>
      </c>
      <c r="AG125" s="329">
        <v>4504.8489558523297</v>
      </c>
      <c r="AH125" s="23">
        <f t="shared" si="111"/>
        <v>7.2754920035721362E-3</v>
      </c>
      <c r="AI125" s="23">
        <f t="shared" si="112"/>
        <v>7.9257634229551437E-3</v>
      </c>
      <c r="AJ125" s="24">
        <f t="shared" si="48"/>
        <v>2.7965723324914556E-3</v>
      </c>
      <c r="AK125" s="24">
        <f t="shared" si="49"/>
        <v>2.7919449330882631E-3</v>
      </c>
      <c r="AL125" s="25">
        <f t="shared" si="50"/>
        <v>1.3063384634402091E-2</v>
      </c>
      <c r="AM125" s="25">
        <f t="shared" si="51"/>
        <v>1.3953104717540634E-2</v>
      </c>
      <c r="AN125" s="26">
        <f t="shared" si="52"/>
        <v>6.474652397605452E-3</v>
      </c>
      <c r="AO125" s="78">
        <f t="shared" si="53"/>
        <v>6.6950450711859965E-3</v>
      </c>
      <c r="AP125" s="30"/>
      <c r="AQ125" s="12" t="e">
        <f>SUM(AQ21,AQ53,#REF!,#REF!,AQ91,AQ113,AQ124)</f>
        <v>#REF!</v>
      </c>
      <c r="AR125" s="13"/>
      <c r="AS125" s="29" t="e">
        <f>(#REF!/AQ125)-1</f>
        <v>#REF!</v>
      </c>
      <c r="AT125" s="29" t="e">
        <f>(#REF!/AR125)-1</f>
        <v>#REF!</v>
      </c>
    </row>
    <row r="126" spans="1:46" ht="15" customHeight="1">
      <c r="A126" s="206" t="s">
        <v>159</v>
      </c>
      <c r="B126" s="329">
        <v>359009872.99000001</v>
      </c>
      <c r="C126" s="329">
        <v>144.57</v>
      </c>
      <c r="D126" s="329">
        <v>360028880.64999998</v>
      </c>
      <c r="E126" s="329">
        <v>144.54</v>
      </c>
      <c r="F126" s="23">
        <f>((D126-B126)/B126)</f>
        <v>2.8383833890505581E-3</v>
      </c>
      <c r="G126" s="23">
        <f>((E126-C126)/C126)</f>
        <v>-2.075119319360942E-4</v>
      </c>
      <c r="H126" s="329">
        <v>359233882.88999999</v>
      </c>
      <c r="I126" s="329">
        <v>143.82</v>
      </c>
      <c r="J126" s="23">
        <f t="shared" si="99"/>
        <v>-2.2081499644270009E-3</v>
      </c>
      <c r="K126" s="23">
        <f t="shared" si="100"/>
        <v>-4.9813200498131927E-3</v>
      </c>
      <c r="L126" s="329">
        <v>358699743.48000002</v>
      </c>
      <c r="M126" s="329">
        <v>143.5</v>
      </c>
      <c r="N126" s="23">
        <f t="shared" si="101"/>
        <v>-1.486884827519246E-3</v>
      </c>
      <c r="O126" s="23">
        <f t="shared" si="102"/>
        <v>-2.2250034765678847E-3</v>
      </c>
      <c r="P126" s="329">
        <v>355507081.77999997</v>
      </c>
      <c r="Q126" s="329">
        <v>142.11000000000001</v>
      </c>
      <c r="R126" s="23">
        <f t="shared" si="103"/>
        <v>-8.9006523088803399E-3</v>
      </c>
      <c r="S126" s="23">
        <f t="shared" si="104"/>
        <v>-9.686411149825689E-3</v>
      </c>
      <c r="T126" s="329">
        <v>357118167.88</v>
      </c>
      <c r="U126" s="329">
        <v>142.54</v>
      </c>
      <c r="V126" s="23">
        <f t="shared" si="105"/>
        <v>4.5317974875027089E-3</v>
      </c>
      <c r="W126" s="23">
        <f t="shared" si="106"/>
        <v>3.0258250650902706E-3</v>
      </c>
      <c r="X126" s="329">
        <v>360101576.60000002</v>
      </c>
      <c r="Y126" s="329">
        <v>143.65</v>
      </c>
      <c r="Z126" s="23">
        <f t="shared" si="107"/>
        <v>8.3541219359148464E-3</v>
      </c>
      <c r="AA126" s="23">
        <f t="shared" si="108"/>
        <v>7.7872877788691857E-3</v>
      </c>
      <c r="AB126" s="329">
        <v>361009987.01999998</v>
      </c>
      <c r="AC126" s="329">
        <v>144.01</v>
      </c>
      <c r="AD126" s="23">
        <f t="shared" si="109"/>
        <v>2.5226504937217124E-3</v>
      </c>
      <c r="AE126" s="23">
        <f t="shared" si="110"/>
        <v>2.5060911938738963E-3</v>
      </c>
      <c r="AF126" s="329">
        <v>354647768.31999999</v>
      </c>
      <c r="AG126" s="329">
        <v>134.91</v>
      </c>
      <c r="AH126" s="23">
        <f t="shared" si="111"/>
        <v>-1.7623386966431821E-2</v>
      </c>
      <c r="AI126" s="23">
        <f t="shared" si="112"/>
        <v>-6.3190056246093987E-2</v>
      </c>
      <c r="AJ126" s="24">
        <f t="shared" si="48"/>
        <v>-1.4965150951335728E-3</v>
      </c>
      <c r="AK126" s="24">
        <f t="shared" si="49"/>
        <v>-8.3713873520504366E-3</v>
      </c>
      <c r="AL126" s="25">
        <f t="shared" si="50"/>
        <v>-1.4946335194790111E-2</v>
      </c>
      <c r="AM126" s="25">
        <f t="shared" si="51"/>
        <v>-6.6625155666251532E-2</v>
      </c>
      <c r="AN126" s="26">
        <f t="shared" si="52"/>
        <v>8.3128506419945358E-3</v>
      </c>
      <c r="AO126" s="78">
        <f t="shared" si="53"/>
        <v>2.2778605163060361E-2</v>
      </c>
      <c r="AP126" s="30"/>
      <c r="AQ126" s="57"/>
      <c r="AR126" s="58"/>
      <c r="AS126" s="29" t="e">
        <f>(#REF!/AQ126)-1</f>
        <v>#REF!</v>
      </c>
      <c r="AT126" s="29" t="e">
        <f>(#REF!/AR126)-1</f>
        <v>#REF!</v>
      </c>
    </row>
    <row r="127" spans="1:46" ht="17.25" customHeight="1">
      <c r="A127" s="206" t="s">
        <v>184</v>
      </c>
      <c r="B127" s="329">
        <v>3734808.11</v>
      </c>
      <c r="C127" s="329">
        <v>102.99</v>
      </c>
      <c r="D127" s="329">
        <v>3734808.11</v>
      </c>
      <c r="E127" s="329">
        <v>102.99</v>
      </c>
      <c r="F127" s="23">
        <f>((D127-B127)/B127)</f>
        <v>0</v>
      </c>
      <c r="G127" s="23">
        <f>((E127-C127)/C127)</f>
        <v>0</v>
      </c>
      <c r="H127" s="329">
        <v>3734808.11</v>
      </c>
      <c r="I127" s="329">
        <v>102.99</v>
      </c>
      <c r="J127" s="23">
        <f t="shared" si="99"/>
        <v>0</v>
      </c>
      <c r="K127" s="23">
        <f t="shared" si="100"/>
        <v>0</v>
      </c>
      <c r="L127" s="329">
        <v>3734808.11</v>
      </c>
      <c r="M127" s="329">
        <v>102.99</v>
      </c>
      <c r="N127" s="23">
        <f t="shared" si="101"/>
        <v>0</v>
      </c>
      <c r="O127" s="23">
        <f t="shared" si="102"/>
        <v>0</v>
      </c>
      <c r="P127" s="329">
        <v>3734808.11</v>
      </c>
      <c r="Q127" s="329">
        <v>102.99</v>
      </c>
      <c r="R127" s="23">
        <f t="shared" si="103"/>
        <v>0</v>
      </c>
      <c r="S127" s="23">
        <f t="shared" si="104"/>
        <v>0</v>
      </c>
      <c r="T127" s="329">
        <v>3734808.11</v>
      </c>
      <c r="U127" s="329">
        <v>102.99</v>
      </c>
      <c r="V127" s="23">
        <f t="shared" si="105"/>
        <v>0</v>
      </c>
      <c r="W127" s="23">
        <f t="shared" si="106"/>
        <v>0</v>
      </c>
      <c r="X127" s="329">
        <v>3734808.11</v>
      </c>
      <c r="Y127" s="329">
        <v>102.99</v>
      </c>
      <c r="Z127" s="23">
        <f t="shared" si="107"/>
        <v>0</v>
      </c>
      <c r="AA127" s="23">
        <f t="shared" si="108"/>
        <v>0</v>
      </c>
      <c r="AB127" s="329">
        <v>3734808.11</v>
      </c>
      <c r="AC127" s="329">
        <v>102.99</v>
      </c>
      <c r="AD127" s="23">
        <f t="shared" si="109"/>
        <v>0</v>
      </c>
      <c r="AE127" s="23">
        <f t="shared" si="110"/>
        <v>0</v>
      </c>
      <c r="AF127" s="329">
        <v>3734808.11</v>
      </c>
      <c r="AG127" s="329">
        <v>102.99</v>
      </c>
      <c r="AH127" s="23">
        <f t="shared" si="111"/>
        <v>0</v>
      </c>
      <c r="AI127" s="23">
        <f t="shared" si="112"/>
        <v>0</v>
      </c>
      <c r="AJ127" s="24">
        <f t="shared" si="48"/>
        <v>0</v>
      </c>
      <c r="AK127" s="24">
        <f t="shared" si="49"/>
        <v>0</v>
      </c>
      <c r="AL127" s="25">
        <f t="shared" si="50"/>
        <v>0</v>
      </c>
      <c r="AM127" s="25">
        <f t="shared" si="51"/>
        <v>0</v>
      </c>
      <c r="AN127" s="26">
        <f t="shared" si="52"/>
        <v>0</v>
      </c>
      <c r="AO127" s="78">
        <f t="shared" si="53"/>
        <v>0</v>
      </c>
      <c r="AP127" s="30"/>
      <c r="AQ127" s="462" t="s">
        <v>85</v>
      </c>
      <c r="AR127" s="462"/>
      <c r="AS127" s="29" t="e">
        <f>(#REF!/AQ127)-1</f>
        <v>#REF!</v>
      </c>
      <c r="AT127" s="29" t="e">
        <f>(#REF!/AR127)-1</f>
        <v>#REF!</v>
      </c>
    </row>
    <row r="128" spans="1:46" ht="16.5" customHeight="1">
      <c r="A128" s="206" t="s">
        <v>111</v>
      </c>
      <c r="B128" s="329">
        <v>126336048.79000001</v>
      </c>
      <c r="C128" s="329">
        <v>1.2421</v>
      </c>
      <c r="D128" s="329">
        <v>126495044.53</v>
      </c>
      <c r="E128" s="329">
        <v>1.2461</v>
      </c>
      <c r="F128" s="23">
        <f>((D128-B128)/B128)</f>
        <v>1.2585144265852628E-3</v>
      </c>
      <c r="G128" s="23">
        <f>((E128-C128)/C128)</f>
        <v>3.2203526286128359E-3</v>
      </c>
      <c r="H128" s="329">
        <v>125796723.95999999</v>
      </c>
      <c r="I128" s="329">
        <v>1.2375</v>
      </c>
      <c r="J128" s="23">
        <f t="shared" si="99"/>
        <v>-5.5205369711885562E-3</v>
      </c>
      <c r="K128" s="23">
        <f t="shared" si="100"/>
        <v>-6.9015327822806683E-3</v>
      </c>
      <c r="L128" s="329">
        <v>125151874.13</v>
      </c>
      <c r="M128" s="329">
        <v>1.1667000000000001</v>
      </c>
      <c r="N128" s="23">
        <f t="shared" si="101"/>
        <v>-5.1261257821391543E-3</v>
      </c>
      <c r="O128" s="23">
        <f t="shared" si="102"/>
        <v>-5.7212121212121186E-2</v>
      </c>
      <c r="P128" s="329">
        <v>124778014.66</v>
      </c>
      <c r="Q128" s="329">
        <v>1.1632</v>
      </c>
      <c r="R128" s="23">
        <f t="shared" si="103"/>
        <v>-2.9872462765651981E-3</v>
      </c>
      <c r="S128" s="23">
        <f t="shared" si="104"/>
        <v>-2.9999142881632452E-3</v>
      </c>
      <c r="T128" s="329">
        <v>126281353.8</v>
      </c>
      <c r="U128" s="329">
        <v>1.1772</v>
      </c>
      <c r="V128" s="23">
        <f t="shared" si="105"/>
        <v>1.2048109148846116E-2</v>
      </c>
      <c r="W128" s="23">
        <f t="shared" si="106"/>
        <v>1.203576341127924E-2</v>
      </c>
      <c r="X128" s="329">
        <v>127529083.97</v>
      </c>
      <c r="Y128" s="329">
        <v>1.1888000000000001</v>
      </c>
      <c r="Z128" s="23">
        <f t="shared" si="107"/>
        <v>9.8805574414106562E-3</v>
      </c>
      <c r="AA128" s="23">
        <f t="shared" si="108"/>
        <v>9.8538905878355881E-3</v>
      </c>
      <c r="AB128" s="329">
        <v>127934595.36</v>
      </c>
      <c r="AC128" s="329">
        <v>1.1929000000000001</v>
      </c>
      <c r="AD128" s="23">
        <f t="shared" si="109"/>
        <v>3.1797561573906801E-3</v>
      </c>
      <c r="AE128" s="23">
        <f t="shared" si="110"/>
        <v>3.4488559892328335E-3</v>
      </c>
      <c r="AF128" s="329">
        <v>129271344.36</v>
      </c>
      <c r="AG128" s="329">
        <v>1.2055</v>
      </c>
      <c r="AH128" s="23">
        <f t="shared" si="111"/>
        <v>1.0448690569102683E-2</v>
      </c>
      <c r="AI128" s="23">
        <f t="shared" si="112"/>
        <v>1.0562494760667234E-2</v>
      </c>
      <c r="AJ128" s="24">
        <f t="shared" si="48"/>
        <v>2.8977148391803112E-3</v>
      </c>
      <c r="AK128" s="24">
        <f t="shared" si="49"/>
        <v>-3.4990263631171714E-3</v>
      </c>
      <c r="AL128" s="25">
        <f t="shared" si="50"/>
        <v>2.1947894008935358E-2</v>
      </c>
      <c r="AM128" s="25">
        <f t="shared" si="51"/>
        <v>-3.2581654762860096E-2</v>
      </c>
      <c r="AN128" s="26">
        <f t="shared" si="52"/>
        <v>7.1928070796410956E-3</v>
      </c>
      <c r="AO128" s="78">
        <f t="shared" si="53"/>
        <v>2.2702115398661113E-2</v>
      </c>
      <c r="AP128" s="30"/>
      <c r="AQ128" s="59" t="s">
        <v>73</v>
      </c>
      <c r="AR128" s="60" t="s">
        <v>74</v>
      </c>
      <c r="AS128" s="29" t="e">
        <f>(#REF!/AQ128)-1</f>
        <v>#REF!</v>
      </c>
      <c r="AT128" s="29" t="e">
        <f>(#REF!/AR128)-1</f>
        <v>#REF!</v>
      </c>
    </row>
    <row r="129" spans="1:46" ht="14.25" customHeight="1">
      <c r="A129" s="206" t="s">
        <v>239</v>
      </c>
      <c r="B129" s="325">
        <v>166714824.49000001</v>
      </c>
      <c r="C129" s="329">
        <v>107.35</v>
      </c>
      <c r="D129" s="325">
        <v>166828571.34999999</v>
      </c>
      <c r="E129" s="329">
        <v>107.39</v>
      </c>
      <c r="F129" s="23">
        <f>((D129-B129)/B129)</f>
        <v>6.8228401612123782E-4</v>
      </c>
      <c r="G129" s="23">
        <f>((E129-C129)/C129)</f>
        <v>3.7261294830001168E-4</v>
      </c>
      <c r="H129" s="325">
        <v>166962610.19</v>
      </c>
      <c r="I129" s="329">
        <v>107.64</v>
      </c>
      <c r="J129" s="23">
        <f t="shared" si="99"/>
        <v>8.0345254362213046E-4</v>
      </c>
      <c r="K129" s="23">
        <f t="shared" si="100"/>
        <v>2.3279634975323588E-3</v>
      </c>
      <c r="L129" s="325">
        <v>167061363.49000001</v>
      </c>
      <c r="M129" s="329">
        <v>107.72</v>
      </c>
      <c r="N129" s="23">
        <f t="shared" si="101"/>
        <v>5.9146955050374877E-4</v>
      </c>
      <c r="O129" s="23">
        <f t="shared" si="102"/>
        <v>7.4321813452246654E-4</v>
      </c>
      <c r="P129" s="325">
        <v>167436985.37</v>
      </c>
      <c r="Q129" s="329">
        <v>107.84</v>
      </c>
      <c r="R129" s="23">
        <f t="shared" si="103"/>
        <v>2.2484066462349884E-3</v>
      </c>
      <c r="S129" s="23">
        <f t="shared" si="104"/>
        <v>1.1139992573338706E-3</v>
      </c>
      <c r="T129" s="325">
        <v>167666168.72999999</v>
      </c>
      <c r="U129" s="329">
        <v>108.05</v>
      </c>
      <c r="V129" s="23">
        <f t="shared" si="105"/>
        <v>1.3687738076120887E-3</v>
      </c>
      <c r="W129" s="23">
        <f t="shared" si="106"/>
        <v>1.9473293768545413E-3</v>
      </c>
      <c r="X129" s="325">
        <v>167947239.72</v>
      </c>
      <c r="Y129" s="329">
        <v>108.37</v>
      </c>
      <c r="Z129" s="23">
        <f t="shared" si="107"/>
        <v>1.6763727120921465E-3</v>
      </c>
      <c r="AA129" s="23">
        <f t="shared" si="108"/>
        <v>2.9615918556224656E-3</v>
      </c>
      <c r="AB129" s="325">
        <v>168041733.13999999</v>
      </c>
      <c r="AC129" s="329">
        <v>108.5</v>
      </c>
      <c r="AD129" s="23">
        <f t="shared" si="109"/>
        <v>5.6263752924743152E-4</v>
      </c>
      <c r="AE129" s="23">
        <f t="shared" si="110"/>
        <v>1.199593983574748E-3</v>
      </c>
      <c r="AF129" s="325">
        <v>168041733.13999999</v>
      </c>
      <c r="AG129" s="329">
        <v>108.8</v>
      </c>
      <c r="AH129" s="23">
        <f t="shared" si="111"/>
        <v>0</v>
      </c>
      <c r="AI129" s="23">
        <f t="shared" si="112"/>
        <v>2.7649769585253196E-3</v>
      </c>
      <c r="AJ129" s="24">
        <f t="shared" si="48"/>
        <v>9.9167460067922154E-4</v>
      </c>
      <c r="AK129" s="24">
        <f t="shared" si="49"/>
        <v>1.6789107515332228E-3</v>
      </c>
      <c r="AL129" s="25">
        <f t="shared" si="50"/>
        <v>7.2719066055827114E-3</v>
      </c>
      <c r="AM129" s="25">
        <f t="shared" si="51"/>
        <v>1.3129714126082472E-2</v>
      </c>
      <c r="AN129" s="26">
        <f t="shared" si="52"/>
        <v>7.2202060032201625E-4</v>
      </c>
      <c r="AO129" s="78">
        <f t="shared" si="53"/>
        <v>9.5983129699600696E-4</v>
      </c>
      <c r="AP129" s="30"/>
      <c r="AQ129" s="53">
        <v>1901056000</v>
      </c>
      <c r="AR129" s="47">
        <v>12.64</v>
      </c>
      <c r="AS129" s="29" t="e">
        <f>(#REF!/AQ129)-1</f>
        <v>#REF!</v>
      </c>
      <c r="AT129" s="29" t="e">
        <f>(#REF!/AR129)-1</f>
        <v>#REF!</v>
      </c>
    </row>
    <row r="130" spans="1:46">
      <c r="A130" s="206" t="s">
        <v>273</v>
      </c>
      <c r="B130" s="330">
        <v>232107835.13</v>
      </c>
      <c r="C130" s="329">
        <v>1.1345000000000001</v>
      </c>
      <c r="D130" s="330">
        <v>233052381.19999999</v>
      </c>
      <c r="E130" s="329">
        <v>1.139</v>
      </c>
      <c r="F130" s="23">
        <f>((D130-B130)/B130)</f>
        <v>4.0694277703765026E-3</v>
      </c>
      <c r="G130" s="23">
        <f>((E130-C130)/C130)</f>
        <v>3.9665050683119858E-3</v>
      </c>
      <c r="H130" s="330">
        <v>231726744.71000001</v>
      </c>
      <c r="I130" s="329">
        <v>1.1309</v>
      </c>
      <c r="J130" s="23">
        <f t="shared" si="99"/>
        <v>-5.6881482316301678E-3</v>
      </c>
      <c r="K130" s="23">
        <f t="shared" si="100"/>
        <v>-7.111501316944685E-3</v>
      </c>
      <c r="L130" s="330">
        <v>231187305</v>
      </c>
      <c r="M130" s="329">
        <v>1.1258999999999999</v>
      </c>
      <c r="N130" s="23">
        <f t="shared" si="101"/>
        <v>-2.3279130368620295E-3</v>
      </c>
      <c r="O130" s="23">
        <f t="shared" si="102"/>
        <v>-4.4212574056062565E-3</v>
      </c>
      <c r="P130" s="330">
        <v>231221768.09</v>
      </c>
      <c r="Q130" s="329">
        <v>1.1266</v>
      </c>
      <c r="R130" s="23">
        <f t="shared" si="103"/>
        <v>1.4906999326802818E-4</v>
      </c>
      <c r="S130" s="23">
        <f t="shared" si="104"/>
        <v>6.2172484234847237E-4</v>
      </c>
      <c r="T130" s="330">
        <v>233783277.56999999</v>
      </c>
      <c r="U130" s="329">
        <v>1.1387</v>
      </c>
      <c r="V130" s="23">
        <f t="shared" si="105"/>
        <v>1.1078150215523634E-2</v>
      </c>
      <c r="W130" s="23">
        <f t="shared" si="106"/>
        <v>1.074028048996982E-2</v>
      </c>
      <c r="X130" s="330">
        <v>233938002.75999999</v>
      </c>
      <c r="Y130" s="329">
        <v>1.1393</v>
      </c>
      <c r="Z130" s="23">
        <f t="shared" si="107"/>
        <v>6.6183172555474756E-4</v>
      </c>
      <c r="AA130" s="23">
        <f t="shared" si="108"/>
        <v>5.269166593483217E-4</v>
      </c>
      <c r="AB130" s="330">
        <v>234160705.58000001</v>
      </c>
      <c r="AC130" s="329">
        <v>1.0678000000000001</v>
      </c>
      <c r="AD130" s="23">
        <f t="shared" si="109"/>
        <v>9.519736741041443E-4</v>
      </c>
      <c r="AE130" s="23">
        <f t="shared" si="110"/>
        <v>-6.2757833757570353E-2</v>
      </c>
      <c r="AF130" s="330">
        <v>246046830.84</v>
      </c>
      <c r="AG130" s="329">
        <v>1.1779000000000002</v>
      </c>
      <c r="AH130" s="23">
        <f t="shared" si="111"/>
        <v>5.0760545970165542E-2</v>
      </c>
      <c r="AI130" s="23">
        <f t="shared" si="112"/>
        <v>0.10310919647874141</v>
      </c>
      <c r="AJ130" s="24">
        <f t="shared" si="48"/>
        <v>7.4568672600625503E-3</v>
      </c>
      <c r="AK130" s="24">
        <f t="shared" si="49"/>
        <v>5.584253882324839E-3</v>
      </c>
      <c r="AL130" s="25">
        <f t="shared" si="50"/>
        <v>5.5757635142326602E-2</v>
      </c>
      <c r="AM130" s="25">
        <f t="shared" si="51"/>
        <v>3.4152765583845612E-2</v>
      </c>
      <c r="AN130" s="26">
        <f t="shared" si="52"/>
        <v>1.8166768851300148E-2</v>
      </c>
      <c r="AO130" s="78">
        <f t="shared" si="53"/>
        <v>4.554817371827273E-2</v>
      </c>
      <c r="AP130" s="30"/>
      <c r="AQ130" s="53">
        <v>106884243.56</v>
      </c>
      <c r="AR130" s="47">
        <v>2.92</v>
      </c>
      <c r="AS130" s="29" t="e">
        <f>(#REF!/AQ130)-1</f>
        <v>#REF!</v>
      </c>
      <c r="AT130" s="29" t="e">
        <f>(#REF!/AR130)-1</f>
        <v>#REF!</v>
      </c>
    </row>
    <row r="131" spans="1:46">
      <c r="A131" s="207" t="s">
        <v>129</v>
      </c>
      <c r="B131" s="329">
        <v>5112204220.3800001</v>
      </c>
      <c r="C131" s="329">
        <v>210.94</v>
      </c>
      <c r="D131" s="329">
        <v>5130939950.1099997</v>
      </c>
      <c r="E131" s="329">
        <v>211.85</v>
      </c>
      <c r="F131" s="23">
        <f>((D131-B131)/B131)</f>
        <v>3.6649024417508263E-3</v>
      </c>
      <c r="G131" s="23">
        <f>((E131-C131)/C131)</f>
        <v>4.3140229449132291E-3</v>
      </c>
      <c r="H131" s="329">
        <v>5100262401.0699997</v>
      </c>
      <c r="I131" s="329">
        <v>210.71</v>
      </c>
      <c r="J131" s="23">
        <f t="shared" si="99"/>
        <v>-5.9789335557010916E-3</v>
      </c>
      <c r="K131" s="23">
        <f t="shared" si="100"/>
        <v>-5.3811659192824473E-3</v>
      </c>
      <c r="L131" s="329">
        <v>5077741522.0200005</v>
      </c>
      <c r="M131" s="329">
        <v>209.72</v>
      </c>
      <c r="N131" s="23">
        <f t="shared" si="101"/>
        <v>-4.4156314477612982E-3</v>
      </c>
      <c r="O131" s="23">
        <f t="shared" si="102"/>
        <v>-4.6984006454368994E-3</v>
      </c>
      <c r="P131" s="329">
        <v>5102339293.04</v>
      </c>
      <c r="Q131" s="329">
        <v>210.71</v>
      </c>
      <c r="R131" s="23">
        <f t="shared" si="103"/>
        <v>4.8442345702965498E-3</v>
      </c>
      <c r="S131" s="23">
        <f t="shared" si="104"/>
        <v>4.7205798207133757E-3</v>
      </c>
      <c r="T131" s="329">
        <v>5159744796.3000002</v>
      </c>
      <c r="U131" s="329">
        <v>213.13</v>
      </c>
      <c r="V131" s="23">
        <f t="shared" si="105"/>
        <v>1.1250820449809353E-2</v>
      </c>
      <c r="W131" s="23">
        <f t="shared" si="106"/>
        <v>1.1484979355512256E-2</v>
      </c>
      <c r="X131" s="329">
        <v>5197018896.0799999</v>
      </c>
      <c r="Y131" s="329">
        <v>214.68</v>
      </c>
      <c r="Z131" s="23">
        <f t="shared" si="107"/>
        <v>7.2240200342328182E-3</v>
      </c>
      <c r="AA131" s="23">
        <f t="shared" si="108"/>
        <v>7.272556655562386E-3</v>
      </c>
      <c r="AB131" s="329">
        <v>5206895677.54</v>
      </c>
      <c r="AC131" s="329">
        <v>215.13</v>
      </c>
      <c r="AD131" s="23">
        <f t="shared" si="109"/>
        <v>1.9004705692815323E-3</v>
      </c>
      <c r="AE131" s="23">
        <f t="shared" si="110"/>
        <v>2.0961430967020153E-3</v>
      </c>
      <c r="AF131" s="329">
        <v>5224725272.5</v>
      </c>
      <c r="AG131" s="329">
        <v>215.92</v>
      </c>
      <c r="AH131" s="23">
        <f t="shared" si="111"/>
        <v>3.4242274215149316E-3</v>
      </c>
      <c r="AI131" s="23">
        <f t="shared" si="112"/>
        <v>3.6721982057360296E-3</v>
      </c>
      <c r="AJ131" s="24">
        <f t="shared" si="48"/>
        <v>2.7392638104279531E-3</v>
      </c>
      <c r="AK131" s="24">
        <f t="shared" si="49"/>
        <v>2.9351141893024933E-3</v>
      </c>
      <c r="AL131" s="25">
        <f t="shared" si="50"/>
        <v>1.8278390178390166E-2</v>
      </c>
      <c r="AM131" s="25">
        <f t="shared" si="51"/>
        <v>1.9211706396034898E-2</v>
      </c>
      <c r="AN131" s="26">
        <f t="shared" si="52"/>
        <v>5.6848116479465043E-3</v>
      </c>
      <c r="AO131" s="78">
        <f t="shared" si="53"/>
        <v>5.6780417562982306E-3</v>
      </c>
      <c r="AP131" s="30"/>
      <c r="AQ131" s="53">
        <v>84059843.040000007</v>
      </c>
      <c r="AR131" s="47">
        <v>7.19</v>
      </c>
      <c r="AS131" s="29" t="e">
        <f>(#REF!/AQ131)-1</f>
        <v>#REF!</v>
      </c>
      <c r="AT131" s="29" t="e">
        <f>(#REF!/AR131)-1</f>
        <v>#REF!</v>
      </c>
    </row>
    <row r="132" spans="1:46" s="374" customFormat="1">
      <c r="A132" s="206" t="s">
        <v>274</v>
      </c>
      <c r="B132" s="329">
        <v>1923154245.5</v>
      </c>
      <c r="C132" s="329">
        <v>1.3489</v>
      </c>
      <c r="D132" s="329">
        <v>1923154245.5</v>
      </c>
      <c r="E132" s="329">
        <v>1.3484</v>
      </c>
      <c r="F132" s="23">
        <f>((D132-B132)/B132)</f>
        <v>0</v>
      </c>
      <c r="G132" s="23">
        <f>((E132-C132)/C132)</f>
        <v>-3.7067239973307504E-4</v>
      </c>
      <c r="H132" s="329">
        <v>1921703235.22</v>
      </c>
      <c r="I132" s="329">
        <v>1.3478000000000001</v>
      </c>
      <c r="J132" s="23">
        <f>((H132-D132)/D132)</f>
        <v>-7.5449500912118665E-4</v>
      </c>
      <c r="K132" s="23">
        <f>((I132-E132)/E132)</f>
        <v>-4.4497181845144904E-4</v>
      </c>
      <c r="L132" s="329">
        <v>1918209376.6500001</v>
      </c>
      <c r="M132" s="329">
        <v>1.3452999999999999</v>
      </c>
      <c r="N132" s="23">
        <f>((L132-H132)/H132)</f>
        <v>-1.8181051610707988E-3</v>
      </c>
      <c r="O132" s="23">
        <f>((M132-I132)/I132)</f>
        <v>-1.8548746104764568E-3</v>
      </c>
      <c r="P132" s="329">
        <v>1905463477.6300001</v>
      </c>
      <c r="Q132" s="329">
        <v>1.3361000000000001</v>
      </c>
      <c r="R132" s="23">
        <f>((P132-L132)/L132)</f>
        <v>-6.64468601559006E-3</v>
      </c>
      <c r="S132" s="23">
        <f>((Q132-M132)/M132)</f>
        <v>-6.838623355385323E-3</v>
      </c>
      <c r="T132" s="329">
        <v>1944623783.6800001</v>
      </c>
      <c r="U132" s="329">
        <v>1.3633999999999999</v>
      </c>
      <c r="V132" s="23">
        <f>((T132-P132)/P132)</f>
        <v>2.0551590995964521E-2</v>
      </c>
      <c r="W132" s="23">
        <f>((U132-Q132)/Q132)</f>
        <v>2.0432602350123404E-2</v>
      </c>
      <c r="X132" s="329">
        <v>1964282080.48</v>
      </c>
      <c r="Y132" s="329">
        <v>1.3775999999999999</v>
      </c>
      <c r="Z132" s="23">
        <f>((X132-T132)/T132)</f>
        <v>1.0109048837610456E-2</v>
      </c>
      <c r="AA132" s="23">
        <f>((Y132-U132)/U132)</f>
        <v>1.0415138624028158E-2</v>
      </c>
      <c r="AB132" s="329">
        <v>1974540457.4000001</v>
      </c>
      <c r="AC132" s="329">
        <v>1.3720000000000001</v>
      </c>
      <c r="AD132" s="23">
        <f>((AB132-X132)/X132)</f>
        <v>5.2224560932171704E-3</v>
      </c>
      <c r="AE132" s="23">
        <f>((AC132-Y132)/Y132)</f>
        <v>-4.0650406504063787E-3</v>
      </c>
      <c r="AF132" s="329">
        <v>2010814602.6300001</v>
      </c>
      <c r="AG132" s="329">
        <v>1.4098999999999999</v>
      </c>
      <c r="AH132" s="23">
        <f>((AF132-AB132)/AB132)</f>
        <v>1.837093035701301E-2</v>
      </c>
      <c r="AI132" s="23">
        <f>((AG132-AC132)/AC132)</f>
        <v>2.7623906705539228E-2</v>
      </c>
      <c r="AJ132" s="24">
        <f t="shared" si="48"/>
        <v>5.6295925122528886E-3</v>
      </c>
      <c r="AK132" s="24">
        <f t="shared" si="49"/>
        <v>5.6121831056547633E-3</v>
      </c>
      <c r="AL132" s="25">
        <f t="shared" si="50"/>
        <v>4.5581552980015566E-2</v>
      </c>
      <c r="AM132" s="25">
        <f t="shared" si="51"/>
        <v>4.5609611391278469E-2</v>
      </c>
      <c r="AN132" s="26">
        <f t="shared" si="52"/>
        <v>9.8837096650684717E-3</v>
      </c>
      <c r="AO132" s="78">
        <f t="shared" si="53"/>
        <v>1.2559237135585906E-2</v>
      </c>
      <c r="AP132" s="30"/>
      <c r="AQ132" s="53"/>
      <c r="AR132" s="47"/>
      <c r="AS132" s="29"/>
      <c r="AT132" s="29"/>
    </row>
    <row r="133" spans="1:46" s="374" customFormat="1">
      <c r="A133" s="206" t="s">
        <v>261</v>
      </c>
      <c r="B133" s="329">
        <v>133856820.12057699</v>
      </c>
      <c r="C133" s="329">
        <v>91.44</v>
      </c>
      <c r="D133" s="329">
        <v>134893707.38644087</v>
      </c>
      <c r="E133" s="329">
        <v>92.15</v>
      </c>
      <c r="F133" s="23">
        <f>((D133-B133)/B133)</f>
        <v>7.7462415805923225E-3</v>
      </c>
      <c r="G133" s="23">
        <f>((E133-C133)/C133)</f>
        <v>7.7646544181978125E-3</v>
      </c>
      <c r="H133" s="329">
        <v>134609616.28622717</v>
      </c>
      <c r="I133" s="329">
        <v>92</v>
      </c>
      <c r="J133" s="23">
        <f>((H133-D133)/D133)</f>
        <v>-2.1060367137797453E-3</v>
      </c>
      <c r="K133" s="23">
        <f>((I133-E133)/E133)</f>
        <v>-1.6277807921867137E-3</v>
      </c>
      <c r="L133" s="329">
        <v>133761340.7388152</v>
      </c>
      <c r="M133" s="329">
        <v>91.49</v>
      </c>
      <c r="N133" s="23">
        <f>((L133-H133)/H133)</f>
        <v>-6.3017455276615049E-3</v>
      </c>
      <c r="O133" s="23">
        <f>((M133-I133)/I133)</f>
        <v>-5.5434782608696212E-3</v>
      </c>
      <c r="P133" s="329">
        <v>134133161.89603932</v>
      </c>
      <c r="Q133" s="329">
        <v>91.77</v>
      </c>
      <c r="R133" s="23">
        <f>((P133-L133)/L133)</f>
        <v>2.779735573600024E-3</v>
      </c>
      <c r="S133" s="23">
        <f>((Q133-M133)/M133)</f>
        <v>3.0604437643458426E-3</v>
      </c>
      <c r="T133" s="329">
        <v>135447646.7558611</v>
      </c>
      <c r="U133" s="329">
        <v>92.66</v>
      </c>
      <c r="V133" s="23">
        <f>((T133-P133)/P133)</f>
        <v>9.7998499494150494E-3</v>
      </c>
      <c r="W133" s="23">
        <f>((U133-Q133)/Q133)</f>
        <v>9.6981584395772098E-3</v>
      </c>
      <c r="X133" s="329">
        <v>135894178.53519499</v>
      </c>
      <c r="Y133" s="329">
        <v>92.99</v>
      </c>
      <c r="Z133" s="23">
        <f>((X133-T133)/T133)</f>
        <v>3.2967112388356582E-3</v>
      </c>
      <c r="AA133" s="23">
        <f>((Y133-U133)/U133)</f>
        <v>3.561407295488866E-3</v>
      </c>
      <c r="AB133" s="329">
        <v>137636606.43044761</v>
      </c>
      <c r="AC133" s="329">
        <v>94.17</v>
      </c>
      <c r="AD133" s="23">
        <f>((AB133-X133)/X133)</f>
        <v>1.2821946561907705E-2</v>
      </c>
      <c r="AE133" s="23">
        <f>((AC133-Y133)/Y133)</f>
        <v>1.268953650930215E-2</v>
      </c>
      <c r="AF133" s="329">
        <v>144623718.08643621</v>
      </c>
      <c r="AG133" s="329">
        <v>94.47</v>
      </c>
      <c r="AH133" s="23">
        <f>((AF133-AB133)/AB133)</f>
        <v>5.0764922480992916E-2</v>
      </c>
      <c r="AI133" s="23">
        <f>((AG133-AC133)/AC133)</f>
        <v>3.1857279388339934E-3</v>
      </c>
      <c r="AJ133" s="24">
        <f t="shared" si="48"/>
        <v>9.850203142987804E-3</v>
      </c>
      <c r="AK133" s="24">
        <f t="shared" si="49"/>
        <v>4.0985836640861925E-3</v>
      </c>
      <c r="AL133" s="25">
        <f t="shared" si="50"/>
        <v>7.2130945827747123E-2</v>
      </c>
      <c r="AM133" s="25">
        <f t="shared" si="51"/>
        <v>2.517634291915348E-2</v>
      </c>
      <c r="AN133" s="26">
        <f t="shared" si="52"/>
        <v>1.7663730362829293E-2</v>
      </c>
      <c r="AO133" s="78">
        <f t="shared" si="53"/>
        <v>5.9348846391180819E-3</v>
      </c>
      <c r="AP133" s="30"/>
      <c r="AQ133" s="53"/>
      <c r="AR133" s="47"/>
      <c r="AS133" s="29"/>
      <c r="AT133" s="29"/>
    </row>
    <row r="134" spans="1:46">
      <c r="A134" s="206" t="s">
        <v>132</v>
      </c>
      <c r="B134" s="330">
        <v>162888158.83000001</v>
      </c>
      <c r="C134" s="329">
        <v>151.64154199999999</v>
      </c>
      <c r="D134" s="330">
        <v>162231912.21000001</v>
      </c>
      <c r="E134" s="329">
        <v>151.13761099999999</v>
      </c>
      <c r="F134" s="23">
        <f>((D134-B134)/B134)</f>
        <v>-4.0288172247370272E-3</v>
      </c>
      <c r="G134" s="23">
        <f>((E134-C134)/C134)</f>
        <v>-3.3231724852810741E-3</v>
      </c>
      <c r="H134" s="330">
        <v>162044198.03999999</v>
      </c>
      <c r="I134" s="329">
        <v>150.74810199999999</v>
      </c>
      <c r="J134" s="23">
        <f t="shared" si="99"/>
        <v>-1.1570730286223302E-3</v>
      </c>
      <c r="K134" s="23">
        <f t="shared" si="100"/>
        <v>-2.5771811359384523E-3</v>
      </c>
      <c r="L134" s="330">
        <v>162487765.78999999</v>
      </c>
      <c r="M134" s="329">
        <v>151.22424000000001</v>
      </c>
      <c r="N134" s="23">
        <f t="shared" si="101"/>
        <v>2.7373257133865847E-3</v>
      </c>
      <c r="O134" s="23">
        <f t="shared" si="102"/>
        <v>3.1585007949222485E-3</v>
      </c>
      <c r="P134" s="330">
        <v>162610033.88999999</v>
      </c>
      <c r="Q134" s="329">
        <v>151.423892</v>
      </c>
      <c r="R134" s="23">
        <f t="shared" ref="R134:R144" si="117">((P134-L134)/L134)</f>
        <v>7.5247572889896187E-4</v>
      </c>
      <c r="S134" s="23">
        <f t="shared" ref="S134:S144" si="118">((Q134-M134)/M134)</f>
        <v>1.320238078233927E-3</v>
      </c>
      <c r="T134" s="330">
        <v>163397509.31</v>
      </c>
      <c r="U134" s="329">
        <v>152.22498100000001</v>
      </c>
      <c r="V134" s="23">
        <f t="shared" ref="V134:V144" si="119">((T134-P134)/P134)</f>
        <v>4.8427234234064325E-3</v>
      </c>
      <c r="W134" s="23">
        <f t="shared" ref="W134:W144" si="120">((U134-Q134)/Q134)</f>
        <v>5.2903738598927231E-3</v>
      </c>
      <c r="X134" s="330">
        <v>163839422</v>
      </c>
      <c r="Y134" s="329">
        <v>152.71399700000001</v>
      </c>
      <c r="Z134" s="23">
        <f t="shared" ref="Z134:Z144" si="121">((X134-T134)/T134)</f>
        <v>2.7045252517380468E-3</v>
      </c>
      <c r="AA134" s="23">
        <f t="shared" ref="AA134:AA144" si="122">((Y134-U134)/U134)</f>
        <v>3.2124556481303965E-3</v>
      </c>
      <c r="AB134" s="330">
        <v>164324644.02000001</v>
      </c>
      <c r="AC134" s="329">
        <v>153.242255</v>
      </c>
      <c r="AD134" s="23">
        <f t="shared" ref="AD134:AD144" si="123">((AB134-X134)/X134)</f>
        <v>2.9615706285878543E-3</v>
      </c>
      <c r="AE134" s="23">
        <f t="shared" ref="AE134:AE144" si="124">((AC134-Y134)/Y134)</f>
        <v>3.4591328259189883E-3</v>
      </c>
      <c r="AF134" s="330">
        <v>164855421.06</v>
      </c>
      <c r="AG134" s="329">
        <v>153.811879</v>
      </c>
      <c r="AH134" s="23">
        <f t="shared" ref="AH134:AH144" si="125">((AF134-AB134)/AB134)</f>
        <v>3.230051360618743E-3</v>
      </c>
      <c r="AI134" s="23">
        <f t="shared" ref="AI134:AI144" si="126">((AG134-AC134)/AC134)</f>
        <v>3.7171470753938236E-3</v>
      </c>
      <c r="AJ134" s="24">
        <f t="shared" ref="AJ134:AJ171" si="127">AVERAGE(F134,J134,N134,R134,V134,Z134,AD134,AH134)</f>
        <v>1.5053477316596582E-3</v>
      </c>
      <c r="AK134" s="24">
        <f t="shared" ref="AK134:AK171" si="128">AVERAGE(G134,K134,O134,S134,W134,AA134,AE134,AI134)</f>
        <v>1.7821868326590726E-3</v>
      </c>
      <c r="AL134" s="25">
        <f t="shared" ref="AL134:AL171" si="129">((AF134-D134)/D134)</f>
        <v>1.6171348868797224E-2</v>
      </c>
      <c r="AM134" s="25">
        <f t="shared" ref="AM134:AM171" si="130">((AG134-E134)/E134)</f>
        <v>1.7694258777188242E-2</v>
      </c>
      <c r="AN134" s="26">
        <f t="shared" ref="AN134:AN171" si="131">STDEV(F134,J134,N134,R134,V134,Z134,AD134,AH134)</f>
        <v>2.8653432363629594E-3</v>
      </c>
      <c r="AO134" s="78">
        <f t="shared" ref="AO134:AO171" si="132">STDEV(G134,K134,O134,S134,W134,AA134,AE134,AI134)</f>
        <v>3.1187379254431647E-3</v>
      </c>
      <c r="AP134" s="30"/>
      <c r="AQ134" s="53">
        <v>82672021.189999998</v>
      </c>
      <c r="AR134" s="47">
        <v>18.53</v>
      </c>
      <c r="AS134" s="29" t="e">
        <f>(#REF!/AQ134)-1</f>
        <v>#REF!</v>
      </c>
      <c r="AT134" s="29" t="e">
        <f>(#REF!/AR134)-1</f>
        <v>#REF!</v>
      </c>
    </row>
    <row r="135" spans="1:46">
      <c r="A135" s="206" t="s">
        <v>27</v>
      </c>
      <c r="B135" s="330">
        <v>1182012382</v>
      </c>
      <c r="C135" s="329">
        <v>552.20000000000005</v>
      </c>
      <c r="D135" s="330">
        <v>1203004205</v>
      </c>
      <c r="E135" s="329">
        <v>552.20000000000005</v>
      </c>
      <c r="F135" s="23">
        <f>((D135-B135)/B135)</f>
        <v>1.7759393488316268E-2</v>
      </c>
      <c r="G135" s="23">
        <f>((E135-C135)/C135)</f>
        <v>0</v>
      </c>
      <c r="H135" s="330">
        <v>1202332925</v>
      </c>
      <c r="I135" s="329">
        <v>552.20000000000005</v>
      </c>
      <c r="J135" s="23">
        <f t="shared" si="99"/>
        <v>-5.5800303707167836E-4</v>
      </c>
      <c r="K135" s="23">
        <f t="shared" si="100"/>
        <v>0</v>
      </c>
      <c r="L135" s="330">
        <v>1202730006</v>
      </c>
      <c r="M135" s="329">
        <v>552.20000000000005</v>
      </c>
      <c r="N135" s="23">
        <f t="shared" si="101"/>
        <v>3.3025877587108412E-4</v>
      </c>
      <c r="O135" s="23">
        <f t="shared" si="102"/>
        <v>0</v>
      </c>
      <c r="P135" s="330">
        <v>1198603935</v>
      </c>
      <c r="Q135" s="329">
        <v>552.20000000000005</v>
      </c>
      <c r="R135" s="23">
        <f t="shared" si="117"/>
        <v>-3.4305878953850596E-3</v>
      </c>
      <c r="S135" s="23">
        <f t="shared" si="118"/>
        <v>0</v>
      </c>
      <c r="T135" s="330">
        <v>1200049394</v>
      </c>
      <c r="U135" s="329">
        <v>552.20000000000005</v>
      </c>
      <c r="V135" s="23">
        <f t="shared" si="119"/>
        <v>1.2059521563309401E-3</v>
      </c>
      <c r="W135" s="23">
        <f t="shared" si="120"/>
        <v>0</v>
      </c>
      <c r="X135" s="330">
        <v>1210159040.8599999</v>
      </c>
      <c r="Y135" s="329">
        <v>552.20000000000005</v>
      </c>
      <c r="Z135" s="23">
        <f t="shared" si="121"/>
        <v>8.4243589560113515E-3</v>
      </c>
      <c r="AA135" s="23">
        <f t="shared" si="122"/>
        <v>0</v>
      </c>
      <c r="AB135" s="330">
        <v>1222906333</v>
      </c>
      <c r="AC135" s="329">
        <v>552.20000000000005</v>
      </c>
      <c r="AD135" s="23">
        <f t="shared" si="123"/>
        <v>1.0533567663090991E-2</v>
      </c>
      <c r="AE135" s="23">
        <f t="shared" si="124"/>
        <v>0</v>
      </c>
      <c r="AF135" s="330">
        <v>1224031404.8800001</v>
      </c>
      <c r="AG135" s="329">
        <v>552.20000000000005</v>
      </c>
      <c r="AH135" s="23">
        <f t="shared" si="125"/>
        <v>9.1999840841458329E-4</v>
      </c>
      <c r="AI135" s="23">
        <f t="shared" si="126"/>
        <v>0</v>
      </c>
      <c r="AJ135" s="24">
        <f t="shared" si="127"/>
        <v>4.3981173144473102E-3</v>
      </c>
      <c r="AK135" s="24">
        <f t="shared" si="128"/>
        <v>0</v>
      </c>
      <c r="AL135" s="25">
        <f t="shared" si="129"/>
        <v>1.7478908047540959E-2</v>
      </c>
      <c r="AM135" s="25">
        <f t="shared" si="130"/>
        <v>0</v>
      </c>
      <c r="AN135" s="26">
        <f t="shared" si="131"/>
        <v>7.1420738339144042E-3</v>
      </c>
      <c r="AO135" s="78">
        <f t="shared" si="132"/>
        <v>0</v>
      </c>
      <c r="AP135" s="30"/>
      <c r="AQ135" s="53">
        <v>541500000</v>
      </c>
      <c r="AR135" s="47">
        <v>3610</v>
      </c>
      <c r="AS135" s="29" t="e">
        <f>(#REF!/AQ135)-1</f>
        <v>#REF!</v>
      </c>
      <c r="AT135" s="29" t="e">
        <f>(#REF!/AR135)-1</f>
        <v>#REF!</v>
      </c>
    </row>
    <row r="136" spans="1:46">
      <c r="A136" s="206" t="s">
        <v>191</v>
      </c>
      <c r="B136" s="330">
        <v>20158363.510000002</v>
      </c>
      <c r="C136" s="329">
        <v>1.26</v>
      </c>
      <c r="D136" s="330">
        <v>20329465.870000001</v>
      </c>
      <c r="E136" s="329">
        <v>1.26</v>
      </c>
      <c r="F136" s="23">
        <f>((D136-B136)/B136)</f>
        <v>8.487909244970223E-3</v>
      </c>
      <c r="G136" s="23">
        <f>((E136-C136)/C136)</f>
        <v>0</v>
      </c>
      <c r="H136" s="330">
        <v>20020697.940000001</v>
      </c>
      <c r="I136" s="329">
        <v>1.25</v>
      </c>
      <c r="J136" s="23">
        <f t="shared" si="99"/>
        <v>-1.5188196875140021E-2</v>
      </c>
      <c r="K136" s="23">
        <f t="shared" si="100"/>
        <v>-7.936507936507943E-3</v>
      </c>
      <c r="L136" s="330">
        <v>19897445.559999999</v>
      </c>
      <c r="M136" s="329">
        <v>1.25</v>
      </c>
      <c r="N136" s="23">
        <f t="shared" si="101"/>
        <v>-6.1562479174990577E-3</v>
      </c>
      <c r="O136" s="23">
        <f t="shared" si="102"/>
        <v>0</v>
      </c>
      <c r="P136" s="330">
        <v>19606340.510000002</v>
      </c>
      <c r="Q136" s="329">
        <v>1.23</v>
      </c>
      <c r="R136" s="23">
        <f t="shared" si="117"/>
        <v>-1.4630272470010319E-2</v>
      </c>
      <c r="S136" s="23">
        <f t="shared" si="118"/>
        <v>-1.6000000000000014E-2</v>
      </c>
      <c r="T136" s="330">
        <v>19606340.510000002</v>
      </c>
      <c r="U136" s="329">
        <v>1.23</v>
      </c>
      <c r="V136" s="23">
        <f t="shared" si="119"/>
        <v>0</v>
      </c>
      <c r="W136" s="23">
        <f t="shared" si="120"/>
        <v>0</v>
      </c>
      <c r="X136" s="330">
        <v>20061234.27</v>
      </c>
      <c r="Y136" s="329">
        <v>1.25</v>
      </c>
      <c r="Z136" s="23">
        <f t="shared" si="121"/>
        <v>2.3201359772772705E-2</v>
      </c>
      <c r="AA136" s="23">
        <f t="shared" si="122"/>
        <v>1.6260162601626032E-2</v>
      </c>
      <c r="AB136" s="330">
        <v>20434272.059999999</v>
      </c>
      <c r="AC136" s="329">
        <v>1.27</v>
      </c>
      <c r="AD136" s="23">
        <f t="shared" si="123"/>
        <v>1.8594957068910154E-2</v>
      </c>
      <c r="AE136" s="23">
        <f t="shared" si="124"/>
        <v>1.6000000000000014E-2</v>
      </c>
      <c r="AF136" s="330">
        <v>20648687.989999998</v>
      </c>
      <c r="AG136" s="329">
        <v>1.29</v>
      </c>
      <c r="AH136" s="23">
        <f t="shared" si="125"/>
        <v>1.0492956605961902E-2</v>
      </c>
      <c r="AI136" s="23">
        <f t="shared" si="126"/>
        <v>1.5748031496063006E-2</v>
      </c>
      <c r="AJ136" s="24">
        <f t="shared" si="127"/>
        <v>3.1003081787456983E-3</v>
      </c>
      <c r="AK136" s="24">
        <f t="shared" si="128"/>
        <v>3.0089607701476368E-3</v>
      </c>
      <c r="AL136" s="25">
        <f t="shared" si="129"/>
        <v>1.5702435176669857E-2</v>
      </c>
      <c r="AM136" s="25">
        <f t="shared" si="130"/>
        <v>2.3809523809523829E-2</v>
      </c>
      <c r="AN136" s="26">
        <f t="shared" si="131"/>
        <v>1.4500997819098936E-2</v>
      </c>
      <c r="AO136" s="78">
        <f t="shared" si="132"/>
        <v>1.2041302627256768E-2</v>
      </c>
      <c r="AP136" s="30"/>
      <c r="AQ136" s="28">
        <v>913647681</v>
      </c>
      <c r="AR136" s="32">
        <v>81</v>
      </c>
      <c r="AS136" s="29" t="e">
        <f>(#REF!/AQ136)-1</f>
        <v>#REF!</v>
      </c>
      <c r="AT136" s="29" t="e">
        <f>(#REF!/AR136)-1</f>
        <v>#REF!</v>
      </c>
    </row>
    <row r="137" spans="1:46">
      <c r="A137" s="207" t="s">
        <v>48</v>
      </c>
      <c r="B137" s="329">
        <v>164236785.69999999</v>
      </c>
      <c r="C137" s="329">
        <v>1.71</v>
      </c>
      <c r="D137" s="329">
        <v>164694733.72999999</v>
      </c>
      <c r="E137" s="329">
        <v>1.72</v>
      </c>
      <c r="F137" s="23">
        <f>((D137-B137)/B137)</f>
        <v>2.7883401885160082E-3</v>
      </c>
      <c r="G137" s="23">
        <f>((E137-C137)/C137)</f>
        <v>5.8479532163742748E-3</v>
      </c>
      <c r="H137" s="329">
        <v>164694177.12</v>
      </c>
      <c r="I137" s="329">
        <v>1.7176720000000001</v>
      </c>
      <c r="J137" s="23">
        <f t="shared" si="99"/>
        <v>-3.3796466187984337E-6</v>
      </c>
      <c r="K137" s="23">
        <f t="shared" si="100"/>
        <v>-1.3534883720929568E-3</v>
      </c>
      <c r="L137" s="329">
        <v>164482079.80000001</v>
      </c>
      <c r="M137" s="329">
        <v>1.715206</v>
      </c>
      <c r="N137" s="23">
        <f t="shared" si="101"/>
        <v>-1.2878252510740184E-3</v>
      </c>
      <c r="O137" s="23">
        <f t="shared" si="102"/>
        <v>-1.4356640848777176E-3</v>
      </c>
      <c r="P137" s="329">
        <v>161878402.22999999</v>
      </c>
      <c r="Q137" s="329">
        <v>1.689519</v>
      </c>
      <c r="R137" s="23">
        <f t="shared" si="117"/>
        <v>-1.5829551603225911E-2</v>
      </c>
      <c r="S137" s="23">
        <f t="shared" si="118"/>
        <v>-1.4976043693877013E-2</v>
      </c>
      <c r="T137" s="329">
        <v>161878402.22999999</v>
      </c>
      <c r="U137" s="329">
        <v>1.97</v>
      </c>
      <c r="V137" s="23">
        <f t="shared" si="119"/>
        <v>0</v>
      </c>
      <c r="W137" s="23">
        <f t="shared" si="120"/>
        <v>0.16601233842294758</v>
      </c>
      <c r="X137" s="329">
        <v>166494118.93000001</v>
      </c>
      <c r="Y137" s="329">
        <v>1.7363219999999999</v>
      </c>
      <c r="Z137" s="23">
        <f t="shared" si="121"/>
        <v>2.8513480714010987E-2</v>
      </c>
      <c r="AA137" s="23">
        <f t="shared" si="122"/>
        <v>-0.11861827411167515</v>
      </c>
      <c r="AB137" s="329">
        <v>194737320.71000001</v>
      </c>
      <c r="AC137" s="329">
        <v>2.0239989999999999</v>
      </c>
      <c r="AD137" s="23">
        <f t="shared" si="123"/>
        <v>0.16963483131722171</v>
      </c>
      <c r="AE137" s="23">
        <f t="shared" si="124"/>
        <v>0.16568182629719602</v>
      </c>
      <c r="AF137" s="329">
        <v>198997979.69</v>
      </c>
      <c r="AG137" s="329">
        <v>2.0679259999999999</v>
      </c>
      <c r="AH137" s="23">
        <f t="shared" si="125"/>
        <v>2.187900585499428E-2</v>
      </c>
      <c r="AI137" s="23">
        <f t="shared" si="126"/>
        <v>2.1703073963969376E-2</v>
      </c>
      <c r="AJ137" s="24">
        <f t="shared" si="127"/>
        <v>2.5711862696728031E-2</v>
      </c>
      <c r="AK137" s="24">
        <f t="shared" si="128"/>
        <v>2.7857715204745552E-2</v>
      </c>
      <c r="AL137" s="25">
        <f t="shared" si="129"/>
        <v>0.20828380594267598</v>
      </c>
      <c r="AM137" s="25">
        <f t="shared" si="130"/>
        <v>0.20228255813953486</v>
      </c>
      <c r="AN137" s="26">
        <f t="shared" si="131"/>
        <v>5.9807900170027302E-2</v>
      </c>
      <c r="AO137" s="78">
        <f t="shared" si="132"/>
        <v>9.5323387610504726E-2</v>
      </c>
      <c r="AP137" s="30"/>
      <c r="AQ137" s="61">
        <f>SUM(AQ129:AQ136)</f>
        <v>3629819788.79</v>
      </c>
      <c r="AR137" s="62"/>
      <c r="AS137" s="29" t="e">
        <f>(#REF!/AQ137)-1</f>
        <v>#REF!</v>
      </c>
      <c r="AT137" s="29" t="e">
        <f>(#REF!/AR137)-1</f>
        <v>#REF!</v>
      </c>
    </row>
    <row r="138" spans="1:46">
      <c r="A138" s="206" t="s">
        <v>22</v>
      </c>
      <c r="B138" s="330">
        <v>1667769510.96</v>
      </c>
      <c r="C138" s="329">
        <v>3853.29</v>
      </c>
      <c r="D138" s="330">
        <v>1674575343.8099999</v>
      </c>
      <c r="E138" s="329">
        <v>3850.97</v>
      </c>
      <c r="F138" s="23">
        <f>((D138-B138)/B138)</f>
        <v>4.0807994181895893E-3</v>
      </c>
      <c r="G138" s="23">
        <f>((E138-C138)/C138)</f>
        <v>-6.0208289539592493E-4</v>
      </c>
      <c r="H138" s="330">
        <v>1682686027.4200001</v>
      </c>
      <c r="I138" s="329">
        <v>3857.35</v>
      </c>
      <c r="J138" s="23">
        <f t="shared" si="99"/>
        <v>4.843427105254444E-3</v>
      </c>
      <c r="K138" s="23">
        <f t="shared" si="100"/>
        <v>1.6567254483935501E-3</v>
      </c>
      <c r="L138" s="330">
        <v>1678010875.3800001</v>
      </c>
      <c r="M138" s="329">
        <v>3842.68</v>
      </c>
      <c r="N138" s="23">
        <f t="shared" si="101"/>
        <v>-2.7783864391910345E-3</v>
      </c>
      <c r="O138" s="23">
        <f t="shared" si="102"/>
        <v>-3.8031290912154906E-3</v>
      </c>
      <c r="P138" s="330">
        <v>1663834088</v>
      </c>
      <c r="Q138" s="329">
        <v>3813.12</v>
      </c>
      <c r="R138" s="23">
        <f t="shared" si="117"/>
        <v>-8.4485670432795368E-3</v>
      </c>
      <c r="S138" s="23">
        <f t="shared" si="118"/>
        <v>-7.6925479092716399E-3</v>
      </c>
      <c r="T138" s="330">
        <v>1676822193.02</v>
      </c>
      <c r="U138" s="329">
        <v>3852.48</v>
      </c>
      <c r="V138" s="23">
        <f t="shared" si="119"/>
        <v>7.8061298982113302E-3</v>
      </c>
      <c r="W138" s="23">
        <f t="shared" si="120"/>
        <v>1.0322255790533769E-2</v>
      </c>
      <c r="X138" s="330">
        <v>1715674888.0799999</v>
      </c>
      <c r="Y138" s="329">
        <v>3913.49</v>
      </c>
      <c r="Z138" s="23">
        <f t="shared" si="121"/>
        <v>2.3170432274649967E-2</v>
      </c>
      <c r="AA138" s="23">
        <f t="shared" si="122"/>
        <v>1.5836552039205854E-2</v>
      </c>
      <c r="AB138" s="330">
        <v>1724095028.71</v>
      </c>
      <c r="AC138" s="329">
        <v>3916.1</v>
      </c>
      <c r="AD138" s="23">
        <f t="shared" si="123"/>
        <v>4.9077716812787513E-3</v>
      </c>
      <c r="AE138" s="23">
        <f t="shared" si="124"/>
        <v>6.6692389657316807E-4</v>
      </c>
      <c r="AF138" s="330">
        <v>1751839197.8299999</v>
      </c>
      <c r="AG138" s="329">
        <v>3977.15</v>
      </c>
      <c r="AH138" s="23">
        <f t="shared" si="125"/>
        <v>1.609201851289983E-2</v>
      </c>
      <c r="AI138" s="23">
        <f t="shared" si="126"/>
        <v>1.5589489543167995E-2</v>
      </c>
      <c r="AJ138" s="24">
        <f t="shared" si="127"/>
        <v>6.209203176001668E-3</v>
      </c>
      <c r="AK138" s="24">
        <f t="shared" si="128"/>
        <v>3.9967733527489103E-3</v>
      </c>
      <c r="AL138" s="25">
        <f t="shared" si="129"/>
        <v>4.6139371575965628E-2</v>
      </c>
      <c r="AM138" s="25">
        <f t="shared" si="130"/>
        <v>3.2765770701927127E-2</v>
      </c>
      <c r="AN138" s="26">
        <f t="shared" si="131"/>
        <v>9.9399602768370423E-3</v>
      </c>
      <c r="AO138" s="78">
        <f t="shared" si="132"/>
        <v>8.8622398505059461E-3</v>
      </c>
      <c r="AP138" s="30"/>
      <c r="AQ138" s="79"/>
      <c r="AR138" s="80"/>
      <c r="AS138" s="29"/>
      <c r="AT138" s="29"/>
    </row>
    <row r="139" spans="1:46" s="88" customFormat="1">
      <c r="A139" s="206" t="s">
        <v>253</v>
      </c>
      <c r="B139" s="325">
        <v>57378819.380000003</v>
      </c>
      <c r="C139" s="329">
        <v>107.01300000000001</v>
      </c>
      <c r="D139" s="325">
        <v>57875930.520000003</v>
      </c>
      <c r="E139" s="329">
        <v>107.50660000000001</v>
      </c>
      <c r="F139" s="23">
        <f>((D139-B139)/B139)</f>
        <v>8.6636697194448376E-3</v>
      </c>
      <c r="G139" s="23">
        <f>((E139-C139)/C139)</f>
        <v>4.612523712072371E-3</v>
      </c>
      <c r="H139" s="325">
        <v>57662394.420000002</v>
      </c>
      <c r="I139" s="329">
        <v>107.0796</v>
      </c>
      <c r="J139" s="23">
        <f t="shared" si="99"/>
        <v>-3.6895493183683758E-3</v>
      </c>
      <c r="K139" s="23">
        <f t="shared" si="100"/>
        <v>-3.9718491701905435E-3</v>
      </c>
      <c r="L139" s="325">
        <v>57617404.770000003</v>
      </c>
      <c r="M139" s="329">
        <v>106.9949</v>
      </c>
      <c r="N139" s="23">
        <f t="shared" si="101"/>
        <v>-7.8022514417809205E-4</v>
      </c>
      <c r="O139" s="23">
        <f t="shared" si="102"/>
        <v>-7.9100033993401175E-4</v>
      </c>
      <c r="P139" s="325">
        <v>57048714.859999999</v>
      </c>
      <c r="Q139" s="329">
        <v>105.93429999999999</v>
      </c>
      <c r="R139" s="23">
        <f t="shared" si="117"/>
        <v>-9.870106303297212E-3</v>
      </c>
      <c r="S139" s="23">
        <f t="shared" si="118"/>
        <v>-9.9126220034787445E-3</v>
      </c>
      <c r="T139" s="325">
        <v>58210130.109999999</v>
      </c>
      <c r="U139" s="329">
        <v>108.08920000000001</v>
      </c>
      <c r="V139" s="23">
        <f t="shared" si="119"/>
        <v>2.0358306981150459E-2</v>
      </c>
      <c r="W139" s="23">
        <f t="shared" si="120"/>
        <v>2.034185339403774E-2</v>
      </c>
      <c r="X139" s="325">
        <v>59067169.149999999</v>
      </c>
      <c r="Y139" s="329">
        <v>109.27119999999999</v>
      </c>
      <c r="Z139" s="23">
        <f t="shared" si="121"/>
        <v>1.4723194027920015E-2</v>
      </c>
      <c r="AA139" s="23">
        <f t="shared" si="122"/>
        <v>1.0935412603664268E-2</v>
      </c>
      <c r="AB139" s="325">
        <v>59095586</v>
      </c>
      <c r="AC139" s="329">
        <v>109.3357</v>
      </c>
      <c r="AD139" s="23">
        <f t="shared" si="123"/>
        <v>4.8109381927272354E-4</v>
      </c>
      <c r="AE139" s="23">
        <f t="shared" si="124"/>
        <v>5.9027447305428651E-4</v>
      </c>
      <c r="AF139" s="325">
        <v>59941821.270000003</v>
      </c>
      <c r="AG139" s="329">
        <v>110.8775</v>
      </c>
      <c r="AH139" s="23">
        <f t="shared" si="125"/>
        <v>1.4319771192386574E-2</v>
      </c>
      <c r="AI139" s="23">
        <f t="shared" si="126"/>
        <v>1.4101524021888504E-2</v>
      </c>
      <c r="AJ139" s="24">
        <f t="shared" si="127"/>
        <v>5.5257693717913666E-3</v>
      </c>
      <c r="AK139" s="24">
        <f t="shared" si="128"/>
        <v>4.4882645863892337E-3</v>
      </c>
      <c r="AL139" s="25">
        <f t="shared" si="129"/>
        <v>3.5695162590709394E-2</v>
      </c>
      <c r="AM139" s="25">
        <f t="shared" si="130"/>
        <v>3.1355284233712082E-2</v>
      </c>
      <c r="AN139" s="26">
        <f t="shared" si="131"/>
        <v>1.0548846135141706E-2</v>
      </c>
      <c r="AO139" s="78">
        <f t="shared" si="132"/>
        <v>1.005240708471399E-2</v>
      </c>
      <c r="AP139" s="30"/>
      <c r="AQ139" s="79"/>
      <c r="AR139" s="80"/>
      <c r="AS139" s="29"/>
      <c r="AT139" s="29"/>
    </row>
    <row r="140" spans="1:46" s="107" customFormat="1">
      <c r="A140" s="206" t="s">
        <v>75</v>
      </c>
      <c r="B140" s="329">
        <v>1236999883.1600001</v>
      </c>
      <c r="C140" s="329">
        <v>1.6063000000000001</v>
      </c>
      <c r="D140" s="329">
        <v>1230226342.0599999</v>
      </c>
      <c r="E140" s="329">
        <v>1.5974999999999999</v>
      </c>
      <c r="F140" s="23">
        <f>((D140-B140)/B140)</f>
        <v>-5.4757815196365845E-3</v>
      </c>
      <c r="G140" s="23">
        <f>((E140-C140)/C140)</f>
        <v>-5.4784286870448486E-3</v>
      </c>
      <c r="H140" s="329">
        <v>1229899208.8599999</v>
      </c>
      <c r="I140" s="329">
        <v>1.5959000000000001</v>
      </c>
      <c r="J140" s="23">
        <f t="shared" si="99"/>
        <v>-2.6591301845501605E-4</v>
      </c>
      <c r="K140" s="23">
        <f t="shared" si="100"/>
        <v>-1.0015649452268069E-3</v>
      </c>
      <c r="L140" s="329">
        <v>1220075404.24</v>
      </c>
      <c r="M140" s="329">
        <v>1.5828</v>
      </c>
      <c r="N140" s="23">
        <f t="shared" si="101"/>
        <v>-7.9874875511999257E-3</v>
      </c>
      <c r="O140" s="23">
        <f t="shared" si="102"/>
        <v>-8.2085343693214553E-3</v>
      </c>
      <c r="P140" s="329">
        <v>1219590687.76</v>
      </c>
      <c r="Q140" s="329">
        <v>1.5818000000000001</v>
      </c>
      <c r="R140" s="23">
        <f t="shared" si="117"/>
        <v>-3.9728403532727135E-4</v>
      </c>
      <c r="S140" s="23">
        <f t="shared" si="118"/>
        <v>-6.3179176143536131E-4</v>
      </c>
      <c r="T140" s="329">
        <v>1222429240.7</v>
      </c>
      <c r="U140" s="329">
        <v>1.5859000000000001</v>
      </c>
      <c r="V140" s="23">
        <f t="shared" si="119"/>
        <v>2.3274636060181598E-3</v>
      </c>
      <c r="W140" s="23">
        <f t="shared" si="120"/>
        <v>2.5919838159059252E-3</v>
      </c>
      <c r="X140" s="329">
        <v>1224516702.3199999</v>
      </c>
      <c r="Y140" s="329">
        <v>1.5862000000000001</v>
      </c>
      <c r="Z140" s="23">
        <f t="shared" si="121"/>
        <v>1.7076339067319281E-3</v>
      </c>
      <c r="AA140" s="23">
        <f t="shared" si="122"/>
        <v>1.8916703449143511E-4</v>
      </c>
      <c r="AB140" s="329">
        <v>1223917806.3</v>
      </c>
      <c r="AC140" s="329">
        <v>1.5713999999999999</v>
      </c>
      <c r="AD140" s="23">
        <f t="shared" si="123"/>
        <v>-4.8908766933541828E-4</v>
      </c>
      <c r="AE140" s="23">
        <f t="shared" si="124"/>
        <v>-9.330475349892918E-3</v>
      </c>
      <c r="AF140" s="329">
        <v>1225013501.0599999</v>
      </c>
      <c r="AG140" s="329">
        <v>1.5728</v>
      </c>
      <c r="AH140" s="23">
        <f t="shared" si="125"/>
        <v>8.9523557412107769E-4</v>
      </c>
      <c r="AI140" s="23">
        <f t="shared" si="126"/>
        <v>8.9092528955076237E-4</v>
      </c>
      <c r="AJ140" s="24">
        <f t="shared" si="127"/>
        <v>-1.2106525883853812E-3</v>
      </c>
      <c r="AK140" s="24">
        <f t="shared" si="128"/>
        <v>-2.6223398716216585E-3</v>
      </c>
      <c r="AL140" s="25">
        <f t="shared" si="129"/>
        <v>-4.2373023741884416E-3</v>
      </c>
      <c r="AM140" s="25">
        <f t="shared" si="130"/>
        <v>-1.5461658841940498E-2</v>
      </c>
      <c r="AN140" s="26">
        <f t="shared" si="131"/>
        <v>3.6186224950069206E-3</v>
      </c>
      <c r="AO140" s="78">
        <f t="shared" si="132"/>
        <v>4.4463124644023161E-3</v>
      </c>
      <c r="AP140" s="30"/>
      <c r="AQ140" s="79"/>
      <c r="AR140" s="80"/>
      <c r="AS140" s="29"/>
      <c r="AT140" s="29"/>
    </row>
    <row r="141" spans="1:46" s="107" customFormat="1">
      <c r="A141" s="206" t="s">
        <v>214</v>
      </c>
      <c r="B141" s="329">
        <v>706025762.05999994</v>
      </c>
      <c r="C141" s="329">
        <v>1.2937000000000001</v>
      </c>
      <c r="D141" s="329">
        <v>704549349.99000001</v>
      </c>
      <c r="E141" s="329">
        <v>1.2906</v>
      </c>
      <c r="F141" s="23">
        <f>((D141-B141)/B141)</f>
        <v>-2.0911589198843766E-3</v>
      </c>
      <c r="G141" s="23">
        <f>((E141-C141)/C141)</f>
        <v>-2.3962278735410857E-3</v>
      </c>
      <c r="H141" s="329">
        <v>704662425.39999998</v>
      </c>
      <c r="I141" s="329">
        <v>1.2907999999999999</v>
      </c>
      <c r="J141" s="23">
        <f t="shared" si="99"/>
        <v>1.6049324295249376E-4</v>
      </c>
      <c r="K141" s="23">
        <f t="shared" si="100"/>
        <v>1.5496668216331781E-4</v>
      </c>
      <c r="L141" s="329">
        <v>702600576.89999998</v>
      </c>
      <c r="M141" s="329">
        <v>1.2889999999999999</v>
      </c>
      <c r="N141" s="23">
        <f t="shared" si="101"/>
        <v>-2.9260088599581515E-3</v>
      </c>
      <c r="O141" s="23">
        <f t="shared" si="102"/>
        <v>-1.3944840409048837E-3</v>
      </c>
      <c r="P141" s="329">
        <v>698550526.20000005</v>
      </c>
      <c r="Q141" s="329">
        <v>1.2814000000000001</v>
      </c>
      <c r="R141" s="23">
        <f t="shared" si="117"/>
        <v>-5.764371441124458E-3</v>
      </c>
      <c r="S141" s="23">
        <f t="shared" si="118"/>
        <v>-5.8960434445305115E-3</v>
      </c>
      <c r="T141" s="329">
        <v>696016789.77999997</v>
      </c>
      <c r="U141" s="329">
        <v>1.2786999999999999</v>
      </c>
      <c r="V141" s="23">
        <f t="shared" si="119"/>
        <v>-3.6271340797396369E-3</v>
      </c>
      <c r="W141" s="23">
        <f t="shared" si="120"/>
        <v>-2.1070703917591281E-3</v>
      </c>
      <c r="X141" s="329">
        <v>692236800.63</v>
      </c>
      <c r="Y141" s="329">
        <v>1.2716000000000001</v>
      </c>
      <c r="Z141" s="23">
        <f t="shared" si="121"/>
        <v>-5.4308878830276091E-3</v>
      </c>
      <c r="AA141" s="23">
        <f t="shared" si="122"/>
        <v>-5.5525142723077221E-3</v>
      </c>
      <c r="AB141" s="329">
        <v>690170453.63999999</v>
      </c>
      <c r="AC141" s="329">
        <v>1.2557</v>
      </c>
      <c r="AD141" s="23">
        <f t="shared" si="123"/>
        <v>-2.9850290942628897E-3</v>
      </c>
      <c r="AE141" s="23">
        <f t="shared" si="124"/>
        <v>-1.2503932054105084E-2</v>
      </c>
      <c r="AF141" s="329">
        <v>692553026.64999998</v>
      </c>
      <c r="AG141" s="329">
        <v>1.26</v>
      </c>
      <c r="AH141" s="23">
        <f t="shared" si="125"/>
        <v>3.4521515626091482E-3</v>
      </c>
      <c r="AI141" s="23">
        <f t="shared" si="126"/>
        <v>3.4243848052878637E-3</v>
      </c>
      <c r="AJ141" s="24">
        <f t="shared" si="127"/>
        <v>-2.4014931840544351E-3</v>
      </c>
      <c r="AK141" s="24">
        <f t="shared" si="128"/>
        <v>-3.2838650737121544E-3</v>
      </c>
      <c r="AL141" s="25">
        <f t="shared" si="129"/>
        <v>-1.7026945437065982E-2</v>
      </c>
      <c r="AM141" s="25">
        <f t="shared" si="130"/>
        <v>-2.3709902370990209E-2</v>
      </c>
      <c r="AN141" s="26">
        <f t="shared" si="131"/>
        <v>3.0125747767795036E-3</v>
      </c>
      <c r="AO141" s="78">
        <f t="shared" si="132"/>
        <v>4.7741650974541415E-3</v>
      </c>
      <c r="AP141" s="30"/>
      <c r="AQ141" s="79"/>
      <c r="AR141" s="80"/>
      <c r="AS141" s="29"/>
      <c r="AT141" s="29"/>
    </row>
    <row r="142" spans="1:46" ht="15.75" customHeight="1" thickBot="1">
      <c r="A142" s="206" t="s">
        <v>127</v>
      </c>
      <c r="B142" s="329">
        <v>4366708962.9099998</v>
      </c>
      <c r="C142" s="329">
        <v>197.46610000000001</v>
      </c>
      <c r="D142" s="329">
        <v>4402555112.5799999</v>
      </c>
      <c r="E142" s="329">
        <v>199.09</v>
      </c>
      <c r="F142" s="23">
        <f>((D142-B142)/B142)</f>
        <v>8.2089623958158178E-3</v>
      </c>
      <c r="G142" s="23">
        <f>((E142-C142)/C142)</f>
        <v>8.2236900409740805E-3</v>
      </c>
      <c r="H142" s="329">
        <v>4375790008.4200001</v>
      </c>
      <c r="I142" s="329">
        <v>197.85</v>
      </c>
      <c r="J142" s="23">
        <f t="shared" si="99"/>
        <v>-6.0794478378068213E-3</v>
      </c>
      <c r="K142" s="23">
        <f t="shared" si="100"/>
        <v>-6.2283389421869959E-3</v>
      </c>
      <c r="L142" s="329">
        <v>4339064727.4099998</v>
      </c>
      <c r="M142" s="329">
        <v>196.19</v>
      </c>
      <c r="N142" s="23">
        <f t="shared" si="101"/>
        <v>-8.3928344228887952E-3</v>
      </c>
      <c r="O142" s="23">
        <f t="shared" si="102"/>
        <v>-8.3901945918625053E-3</v>
      </c>
      <c r="P142" s="329">
        <v>4421065748.79</v>
      </c>
      <c r="Q142" s="329">
        <v>199.87</v>
      </c>
      <c r="R142" s="23">
        <f t="shared" si="117"/>
        <v>1.889831715622891E-2</v>
      </c>
      <c r="S142" s="23">
        <f t="shared" si="118"/>
        <v>1.8757327080891006E-2</v>
      </c>
      <c r="T142" s="329">
        <v>4429213580.5299997</v>
      </c>
      <c r="U142" s="329">
        <v>200.24</v>
      </c>
      <c r="V142" s="23">
        <f t="shared" si="119"/>
        <v>1.8429564731602891E-3</v>
      </c>
      <c r="W142" s="23">
        <f t="shared" si="120"/>
        <v>1.8512032821334093E-3</v>
      </c>
      <c r="X142" s="329">
        <v>4554277245.3000002</v>
      </c>
      <c r="Y142" s="329">
        <v>205.89</v>
      </c>
      <c r="Z142" s="23">
        <f t="shared" si="121"/>
        <v>2.8236088076618635E-2</v>
      </c>
      <c r="AA142" s="23">
        <f t="shared" si="122"/>
        <v>2.8216140631242396E-2</v>
      </c>
      <c r="AB142" s="329">
        <v>4553824280.3699999</v>
      </c>
      <c r="AC142" s="329">
        <v>205.85040000000001</v>
      </c>
      <c r="AD142" s="23">
        <f t="shared" si="123"/>
        <v>-9.9459234825408045E-5</v>
      </c>
      <c r="AE142" s="23">
        <f t="shared" si="124"/>
        <v>-1.923357132448335E-4</v>
      </c>
      <c r="AF142" s="329">
        <v>4611211944.9399996</v>
      </c>
      <c r="AG142" s="329">
        <v>208.43921888664573</v>
      </c>
      <c r="AH142" s="23">
        <f t="shared" si="125"/>
        <v>1.2602081467521387E-2</v>
      </c>
      <c r="AI142" s="23">
        <f t="shared" si="126"/>
        <v>1.257621499227461E-2</v>
      </c>
      <c r="AJ142" s="24">
        <f t="shared" si="127"/>
        <v>6.9020830092280019E-3</v>
      </c>
      <c r="AK142" s="24">
        <f t="shared" si="128"/>
        <v>6.8517133475276461E-3</v>
      </c>
      <c r="AL142" s="25">
        <f t="shared" si="129"/>
        <v>4.739448502615607E-2</v>
      </c>
      <c r="AM142" s="25">
        <f t="shared" si="130"/>
        <v>4.695976134735913E-2</v>
      </c>
      <c r="AN142" s="26">
        <f t="shared" si="131"/>
        <v>1.2594320259385356E-2</v>
      </c>
      <c r="AO142" s="78">
        <f t="shared" si="132"/>
        <v>1.2597402704392505E-2</v>
      </c>
      <c r="AP142" s="30"/>
      <c r="AQ142" s="64" t="e">
        <f>SUM(AQ125,AQ137)</f>
        <v>#REF!</v>
      </c>
      <c r="AR142" s="65"/>
      <c r="AS142" s="29" t="e">
        <f>(#REF!/AQ142)-1</f>
        <v>#REF!</v>
      </c>
      <c r="AT142" s="29" t="e">
        <f>(#REF!/AR142)-1</f>
        <v>#REF!</v>
      </c>
    </row>
    <row r="143" spans="1:46" s="306" customFormat="1" ht="15.75" customHeight="1">
      <c r="A143" s="206" t="s">
        <v>52</v>
      </c>
      <c r="B143" s="330">
        <v>2261786761.5700002</v>
      </c>
      <c r="C143" s="329">
        <v>3.24</v>
      </c>
      <c r="D143" s="330">
        <v>2270030320.8400002</v>
      </c>
      <c r="E143" s="329">
        <v>3.26</v>
      </c>
      <c r="F143" s="23">
        <f>((D143-B143)/B143)</f>
        <v>3.6447110797826867E-3</v>
      </c>
      <c r="G143" s="23">
        <f>((E143-C143)/C143)</f>
        <v>6.1728395061727073E-3</v>
      </c>
      <c r="H143" s="330">
        <v>2262318178.27</v>
      </c>
      <c r="I143" s="329">
        <v>3.25</v>
      </c>
      <c r="J143" s="23">
        <f t="shared" si="99"/>
        <v>-3.3973742549598973E-3</v>
      </c>
      <c r="K143" s="23">
        <f t="shared" si="100"/>
        <v>-3.0674846625766221E-3</v>
      </c>
      <c r="L143" s="330">
        <v>2255379209.2399998</v>
      </c>
      <c r="M143" s="329">
        <v>3.24</v>
      </c>
      <c r="N143" s="23">
        <f t="shared" si="101"/>
        <v>-3.067194127090671E-3</v>
      </c>
      <c r="O143" s="23">
        <f t="shared" si="102"/>
        <v>-3.0769230769230114E-3</v>
      </c>
      <c r="P143" s="330">
        <v>2202486841.4000001</v>
      </c>
      <c r="Q143" s="329">
        <v>3.16</v>
      </c>
      <c r="R143" s="23">
        <f t="shared" si="117"/>
        <v>-2.3451651776919116E-2</v>
      </c>
      <c r="S143" s="23">
        <f t="shared" si="118"/>
        <v>-2.4691358024691377E-2</v>
      </c>
      <c r="T143" s="330">
        <v>2226709276.98</v>
      </c>
      <c r="U143" s="329">
        <v>3.2</v>
      </c>
      <c r="V143" s="23">
        <f t="shared" si="119"/>
        <v>1.0997766308834358E-2</v>
      </c>
      <c r="W143" s="23">
        <f t="shared" si="120"/>
        <v>1.2658227848101276E-2</v>
      </c>
      <c r="X143" s="330">
        <v>2266365732.1999998</v>
      </c>
      <c r="Y143" s="329">
        <v>3.26</v>
      </c>
      <c r="Z143" s="23">
        <f t="shared" si="121"/>
        <v>1.7809444470355068E-2</v>
      </c>
      <c r="AA143" s="23">
        <f t="shared" si="122"/>
        <v>1.8749999999999878E-2</v>
      </c>
      <c r="AB143" s="330">
        <v>2269310744</v>
      </c>
      <c r="AC143" s="329">
        <v>3.26</v>
      </c>
      <c r="AD143" s="23">
        <f t="shared" si="123"/>
        <v>1.2994424325068741E-3</v>
      </c>
      <c r="AE143" s="23">
        <f t="shared" si="124"/>
        <v>0</v>
      </c>
      <c r="AF143" s="330">
        <v>2290635751.6900001</v>
      </c>
      <c r="AG143" s="329">
        <v>3.29</v>
      </c>
      <c r="AH143" s="23">
        <f t="shared" si="125"/>
        <v>9.3971298317706529E-3</v>
      </c>
      <c r="AI143" s="23">
        <f t="shared" si="126"/>
        <v>9.2024539877301383E-3</v>
      </c>
      <c r="AJ143" s="24">
        <f t="shared" si="127"/>
        <v>1.6540342455349942E-3</v>
      </c>
      <c r="AK143" s="24">
        <f t="shared" si="128"/>
        <v>1.9934694472266237E-3</v>
      </c>
      <c r="AL143" s="25">
        <f t="shared" si="129"/>
        <v>9.0771610673354743E-3</v>
      </c>
      <c r="AM143" s="25">
        <f t="shared" si="130"/>
        <v>9.2024539877301383E-3</v>
      </c>
      <c r="AN143" s="26">
        <f t="shared" si="131"/>
        <v>1.2481122105668303E-2</v>
      </c>
      <c r="AO143" s="78">
        <f t="shared" si="132"/>
        <v>1.326289698263234E-2</v>
      </c>
      <c r="AP143" s="30"/>
      <c r="AQ143" s="340"/>
      <c r="AR143" s="341"/>
      <c r="AS143" s="29"/>
      <c r="AT143" s="29"/>
    </row>
    <row r="144" spans="1:46" s="306" customFormat="1" ht="15.75" customHeight="1">
      <c r="A144" s="206" t="s">
        <v>238</v>
      </c>
      <c r="B144" s="330">
        <v>202521215.75999999</v>
      </c>
      <c r="C144" s="329">
        <v>157.19</v>
      </c>
      <c r="D144" s="330">
        <v>200847717.59</v>
      </c>
      <c r="E144" s="329">
        <v>155.62</v>
      </c>
      <c r="F144" s="23">
        <f>((D144-B144)/B144)</f>
        <v>-8.2633227522354216E-3</v>
      </c>
      <c r="G144" s="23">
        <f>((E144-C144)/C144)</f>
        <v>-9.9879127170939188E-3</v>
      </c>
      <c r="H144" s="330">
        <v>202794728.06</v>
      </c>
      <c r="I144" s="329">
        <v>155.21</v>
      </c>
      <c r="J144" s="23">
        <f t="shared" si="99"/>
        <v>9.6939636325592896E-3</v>
      </c>
      <c r="K144" s="23">
        <f t="shared" si="100"/>
        <v>-2.6346227991260545E-3</v>
      </c>
      <c r="L144" s="330">
        <v>187572810.06</v>
      </c>
      <c r="M144" s="329">
        <v>155.21</v>
      </c>
      <c r="N144" s="23">
        <f t="shared" si="101"/>
        <v>-7.5060718518759312E-2</v>
      </c>
      <c r="O144" s="23">
        <f t="shared" si="102"/>
        <v>0</v>
      </c>
      <c r="P144" s="330">
        <v>197315448.12</v>
      </c>
      <c r="Q144" s="329">
        <v>155.21</v>
      </c>
      <c r="R144" s="23">
        <f t="shared" si="117"/>
        <v>5.1940566742501582E-2</v>
      </c>
      <c r="S144" s="23">
        <f t="shared" si="118"/>
        <v>0</v>
      </c>
      <c r="T144" s="330">
        <v>197619997.56</v>
      </c>
      <c r="U144" s="329">
        <v>155.21</v>
      </c>
      <c r="V144" s="23">
        <f t="shared" si="119"/>
        <v>1.5434647560630013E-3</v>
      </c>
      <c r="W144" s="23">
        <f t="shared" si="120"/>
        <v>0</v>
      </c>
      <c r="X144" s="330">
        <v>199592627.5</v>
      </c>
      <c r="Y144" s="329">
        <v>154.97999999999999</v>
      </c>
      <c r="Z144" s="23">
        <f t="shared" si="121"/>
        <v>9.9819348464523765E-3</v>
      </c>
      <c r="AA144" s="23">
        <f t="shared" si="122"/>
        <v>-1.4818632820051425E-3</v>
      </c>
      <c r="AB144" s="330">
        <v>203000759.84999999</v>
      </c>
      <c r="AC144" s="329">
        <v>154.97999999999999</v>
      </c>
      <c r="AD144" s="23">
        <f t="shared" si="123"/>
        <v>1.7075442077638836E-2</v>
      </c>
      <c r="AE144" s="23">
        <f t="shared" si="124"/>
        <v>0</v>
      </c>
      <c r="AF144" s="330">
        <v>201903777.02000001</v>
      </c>
      <c r="AG144" s="329">
        <v>154.97999999999999</v>
      </c>
      <c r="AH144" s="23">
        <f t="shared" si="125"/>
        <v>-5.4038360783011784E-3</v>
      </c>
      <c r="AI144" s="23">
        <f t="shared" si="126"/>
        <v>0</v>
      </c>
      <c r="AJ144" s="24">
        <f t="shared" si="127"/>
        <v>1.8843683823989649E-4</v>
      </c>
      <c r="AK144" s="24">
        <f t="shared" si="128"/>
        <v>-1.7630498497781396E-3</v>
      </c>
      <c r="AL144" s="25">
        <f t="shared" si="129"/>
        <v>5.2580106095892589E-3</v>
      </c>
      <c r="AM144" s="25">
        <f t="shared" si="130"/>
        <v>-4.1125819303432388E-3</v>
      </c>
      <c r="AN144" s="26">
        <f t="shared" si="131"/>
        <v>3.5690532513350297E-2</v>
      </c>
      <c r="AO144" s="78">
        <f t="shared" si="132"/>
        <v>3.4646953760569844E-3</v>
      </c>
      <c r="AP144" s="30"/>
      <c r="AQ144" s="340"/>
      <c r="AR144" s="341"/>
      <c r="AS144" s="29"/>
      <c r="AT144" s="29"/>
    </row>
    <row r="145" spans="1:41">
      <c r="A145" s="208" t="s">
        <v>42</v>
      </c>
      <c r="B145" s="220">
        <f>SUM(B121:B144)</f>
        <v>31270923143.61771</v>
      </c>
      <c r="C145" s="87"/>
      <c r="D145" s="220">
        <f>SUM(D121:D144)</f>
        <v>31357580652.946274</v>
      </c>
      <c r="E145" s="87"/>
      <c r="F145" s="23">
        <f>((D145-B145)/B145)</f>
        <v>2.7711848777400164E-3</v>
      </c>
      <c r="G145" s="23"/>
      <c r="H145" s="220">
        <f>SUM(H121:H144)</f>
        <v>31214054403.725143</v>
      </c>
      <c r="I145" s="87"/>
      <c r="J145" s="23">
        <f>((H145-D145)/D145)</f>
        <v>-4.5770829966005379E-3</v>
      </c>
      <c r="K145" s="23"/>
      <c r="L145" s="220">
        <f>SUM(L121:L144)</f>
        <v>31040700634.661449</v>
      </c>
      <c r="M145" s="87"/>
      <c r="N145" s="23">
        <f>((L145-H145)/H145)</f>
        <v>-5.5537088140336435E-3</v>
      </c>
      <c r="O145" s="23"/>
      <c r="P145" s="220">
        <f>SUM(P121:P144)</f>
        <v>31064229357.892361</v>
      </c>
      <c r="Q145" s="87"/>
      <c r="R145" s="23">
        <f>((P145-L145)/L145)</f>
        <v>7.579958812088803E-4</v>
      </c>
      <c r="S145" s="23"/>
      <c r="T145" s="220">
        <f>SUM(T121:T144)</f>
        <v>31321324637.973106</v>
      </c>
      <c r="U145" s="87"/>
      <c r="V145" s="23">
        <f>((T145-P145)/P145)</f>
        <v>8.2762484502267742E-3</v>
      </c>
      <c r="W145" s="23"/>
      <c r="X145" s="220">
        <f>SUM(X121:X144)</f>
        <v>31685014995.591473</v>
      </c>
      <c r="Y145" s="87"/>
      <c r="Z145" s="23">
        <f>((X145-T145)/T145)</f>
        <v>1.1611589286917901E-2</v>
      </c>
      <c r="AA145" s="23"/>
      <c r="AB145" s="220">
        <f>SUM(AB121:AB144)</f>
        <v>31764157613.919247</v>
      </c>
      <c r="AC145" s="87"/>
      <c r="AD145" s="23">
        <f>((AB145-X145)/X145)</f>
        <v>2.497793305093453E-3</v>
      </c>
      <c r="AE145" s="23"/>
      <c r="AF145" s="220">
        <f>SUM(AF121:AF144)</f>
        <v>32017254793.66489</v>
      </c>
      <c r="AG145" s="87"/>
      <c r="AH145" s="23">
        <f>((AF145-AB145)/AB145)</f>
        <v>7.9680117074704005E-3</v>
      </c>
      <c r="AI145" s="23"/>
      <c r="AJ145" s="24">
        <f t="shared" si="127"/>
        <v>2.9690039622529054E-3</v>
      </c>
      <c r="AK145" s="24"/>
      <c r="AL145" s="25">
        <f t="shared" si="129"/>
        <v>2.1037150410920979E-2</v>
      </c>
      <c r="AM145" s="25"/>
      <c r="AN145" s="26">
        <f t="shared" si="131"/>
        <v>6.1246690132342706E-3</v>
      </c>
      <c r="AO145" s="78"/>
    </row>
    <row r="146" spans="1:41" s="110" customFormat="1" ht="8.25" customHeight="1">
      <c r="A146" s="208"/>
      <c r="B146" s="87"/>
      <c r="C146" s="87"/>
      <c r="D146" s="87"/>
      <c r="E146" s="87"/>
      <c r="F146" s="23"/>
      <c r="G146" s="23"/>
      <c r="H146" s="87"/>
      <c r="I146" s="87"/>
      <c r="J146" s="23"/>
      <c r="K146" s="23"/>
      <c r="L146" s="87"/>
      <c r="M146" s="87"/>
      <c r="N146" s="23"/>
      <c r="O146" s="23"/>
      <c r="P146" s="87"/>
      <c r="Q146" s="87"/>
      <c r="R146" s="23"/>
      <c r="S146" s="23"/>
      <c r="T146" s="87"/>
      <c r="U146" s="87"/>
      <c r="V146" s="23"/>
      <c r="W146" s="23"/>
      <c r="X146" s="87"/>
      <c r="Y146" s="87"/>
      <c r="Z146" s="23"/>
      <c r="AA146" s="23"/>
      <c r="AB146" s="87"/>
      <c r="AC146" s="87"/>
      <c r="AD146" s="23"/>
      <c r="AE146" s="23"/>
      <c r="AF146" s="87"/>
      <c r="AG146" s="87"/>
      <c r="AH146" s="23"/>
      <c r="AI146" s="23"/>
      <c r="AJ146" s="24"/>
      <c r="AK146" s="24"/>
      <c r="AL146" s="25"/>
      <c r="AM146" s="25"/>
      <c r="AN146" s="26"/>
      <c r="AO146" s="78"/>
    </row>
    <row r="147" spans="1:41" s="110" customFormat="1">
      <c r="A147" s="210" t="s">
        <v>67</v>
      </c>
      <c r="B147" s="87"/>
      <c r="C147" s="87"/>
      <c r="D147" s="87"/>
      <c r="E147" s="87"/>
      <c r="F147" s="23"/>
      <c r="G147" s="23"/>
      <c r="H147" s="87"/>
      <c r="I147" s="87"/>
      <c r="J147" s="23"/>
      <c r="K147" s="23"/>
      <c r="L147" s="87"/>
      <c r="M147" s="87"/>
      <c r="N147" s="23"/>
      <c r="O147" s="23"/>
      <c r="P147" s="87"/>
      <c r="Q147" s="87"/>
      <c r="R147" s="23"/>
      <c r="S147" s="23"/>
      <c r="T147" s="87"/>
      <c r="U147" s="87"/>
      <c r="V147" s="23"/>
      <c r="W147" s="23"/>
      <c r="X147" s="87"/>
      <c r="Y147" s="87"/>
      <c r="Z147" s="23"/>
      <c r="AA147" s="23"/>
      <c r="AB147" s="87"/>
      <c r="AC147" s="87"/>
      <c r="AD147" s="23"/>
      <c r="AE147" s="23"/>
      <c r="AF147" s="87"/>
      <c r="AG147" s="87"/>
      <c r="AH147" s="23"/>
      <c r="AI147" s="23"/>
      <c r="AJ147" s="24"/>
      <c r="AK147" s="24"/>
      <c r="AL147" s="25"/>
      <c r="AM147" s="25"/>
      <c r="AN147" s="26"/>
      <c r="AO147" s="78"/>
    </row>
    <row r="148" spans="1:41" s="110" customFormat="1">
      <c r="A148" s="207" t="s">
        <v>26</v>
      </c>
      <c r="B148" s="326">
        <v>549945703.21000004</v>
      </c>
      <c r="C148" s="326">
        <v>48.862400000000001</v>
      </c>
      <c r="D148" s="326">
        <v>549272911.86000001</v>
      </c>
      <c r="E148" s="326">
        <v>48.790199999999999</v>
      </c>
      <c r="F148" s="23">
        <f>((D148-B148)/B148)</f>
        <v>-1.2233777736110694E-3</v>
      </c>
      <c r="G148" s="23">
        <f>((E148-C148)/C148)</f>
        <v>-1.4776187825404044E-3</v>
      </c>
      <c r="H148" s="326">
        <v>535695586.55000001</v>
      </c>
      <c r="I148" s="326">
        <v>47.569400000000002</v>
      </c>
      <c r="J148" s="23">
        <f t="shared" ref="J148:K150" si="133">((H148-D148)/D148)</f>
        <v>-2.4718723637805431E-2</v>
      </c>
      <c r="K148" s="23">
        <f t="shared" si="133"/>
        <v>-2.5021418235629225E-2</v>
      </c>
      <c r="L148" s="326">
        <v>529813279.63999999</v>
      </c>
      <c r="M148" s="326">
        <v>47.0655</v>
      </c>
      <c r="N148" s="23">
        <f t="shared" ref="N148:O150" si="134">((L148-H148)/H148)</f>
        <v>-1.0980689514138813E-2</v>
      </c>
      <c r="O148" s="23">
        <f t="shared" si="134"/>
        <v>-1.0592944203626734E-2</v>
      </c>
      <c r="P148" s="326">
        <v>527986842.94</v>
      </c>
      <c r="Q148" s="326">
        <v>47.099299999999999</v>
      </c>
      <c r="R148" s="23">
        <f t="shared" ref="R148:R150" si="135">((P148-L148)/L148)</f>
        <v>-3.4473214813358845E-3</v>
      </c>
      <c r="S148" s="23">
        <f t="shared" ref="S148:S150" si="136">((Q148-M148)/M148)</f>
        <v>7.181481127364925E-4</v>
      </c>
      <c r="T148" s="326">
        <v>532477716.75</v>
      </c>
      <c r="U148" s="326">
        <v>47.486600000000003</v>
      </c>
      <c r="V148" s="23">
        <f t="shared" ref="V148:V150" si="137">((T148-P148)/P148)</f>
        <v>8.505654771610173E-3</v>
      </c>
      <c r="W148" s="23">
        <f t="shared" ref="W148:W150" si="138">((U148-Q148)/Q148)</f>
        <v>8.2230521472718976E-3</v>
      </c>
      <c r="X148" s="326">
        <v>535215028.16000003</v>
      </c>
      <c r="Y148" s="326">
        <v>47.703400000000002</v>
      </c>
      <c r="Z148" s="23">
        <f t="shared" ref="Z148:Z150" si="139">((X148-T148)/T148)</f>
        <v>5.140706031244501E-3</v>
      </c>
      <c r="AA148" s="23">
        <f t="shared" ref="AA148:AA150" si="140">((Y148-U148)/U148)</f>
        <v>4.5654984774652048E-3</v>
      </c>
      <c r="AB148" s="326">
        <v>529568607.05000001</v>
      </c>
      <c r="AC148" s="326">
        <v>47.210099999999997</v>
      </c>
      <c r="AD148" s="23">
        <f t="shared" ref="AD148:AD150" si="141">((AB148-X148)/X148)</f>
        <v>-1.0549817947772653E-2</v>
      </c>
      <c r="AE148" s="23">
        <f t="shared" ref="AE148:AE150" si="142">((AC148-Y148)/Y148)</f>
        <v>-1.0340981984512738E-2</v>
      </c>
      <c r="AF148" s="326">
        <v>527732117.74000001</v>
      </c>
      <c r="AG148" s="326">
        <v>47.036000000000001</v>
      </c>
      <c r="AH148" s="23">
        <f t="shared" ref="AH148:AH150" si="143">((AF148-AB148)/AB148)</f>
        <v>-3.4678968608624632E-3</v>
      </c>
      <c r="AI148" s="23">
        <f t="shared" ref="AI148:AI150" si="144">((AG148-AC148)/AC148)</f>
        <v>-3.68777020171522E-3</v>
      </c>
      <c r="AJ148" s="24">
        <f t="shared" si="127"/>
        <v>-5.0926833015839546E-3</v>
      </c>
      <c r="AK148" s="24">
        <f t="shared" si="128"/>
        <v>-4.7017543338188405E-3</v>
      </c>
      <c r="AL148" s="25">
        <f t="shared" si="129"/>
        <v>-3.921692414624367E-2</v>
      </c>
      <c r="AM148" s="25">
        <f t="shared" si="130"/>
        <v>-3.5953941570233315E-2</v>
      </c>
      <c r="AN148" s="26">
        <f t="shared" si="131"/>
        <v>1.0416923883353899E-2</v>
      </c>
      <c r="AO148" s="78">
        <f t="shared" si="132"/>
        <v>1.0509362501436944E-2</v>
      </c>
    </row>
    <row r="149" spans="1:41">
      <c r="A149" s="207" t="s">
        <v>193</v>
      </c>
      <c r="B149" s="325">
        <v>607964722.22000003</v>
      </c>
      <c r="C149" s="326">
        <v>16.6525</v>
      </c>
      <c r="D149" s="325">
        <v>606894083.29999995</v>
      </c>
      <c r="E149" s="326">
        <v>16.6816</v>
      </c>
      <c r="F149" s="23">
        <f>((D149-B149)/B149)</f>
        <v>-1.7610214554729566E-3</v>
      </c>
      <c r="G149" s="23">
        <f>((E149-C149)/C149)</f>
        <v>1.7474853625581554E-3</v>
      </c>
      <c r="H149" s="325">
        <v>606641779.87</v>
      </c>
      <c r="I149" s="326">
        <v>16.731100000000001</v>
      </c>
      <c r="J149" s="23">
        <f t="shared" si="133"/>
        <v>-4.1572893350358945E-4</v>
      </c>
      <c r="K149" s="23">
        <f t="shared" si="133"/>
        <v>2.9673412622291551E-3</v>
      </c>
      <c r="L149" s="325">
        <v>607464513.48000002</v>
      </c>
      <c r="M149" s="326">
        <v>16.692299999999999</v>
      </c>
      <c r="N149" s="23">
        <f t="shared" si="134"/>
        <v>1.3562099369026669E-3</v>
      </c>
      <c r="O149" s="23">
        <f t="shared" si="134"/>
        <v>-2.3190346121893923E-3</v>
      </c>
      <c r="P149" s="325">
        <v>613179496.97000003</v>
      </c>
      <c r="Q149" s="326">
        <v>16.7182</v>
      </c>
      <c r="R149" s="23">
        <f t="shared" si="135"/>
        <v>9.4079297854954749E-3</v>
      </c>
      <c r="S149" s="23">
        <f t="shared" si="136"/>
        <v>1.5516136182551258E-3</v>
      </c>
      <c r="T149" s="325">
        <v>607669075.78999996</v>
      </c>
      <c r="U149" s="326">
        <v>16.986599999999999</v>
      </c>
      <c r="V149" s="23">
        <f t="shared" si="137"/>
        <v>-8.986636388251033E-3</v>
      </c>
      <c r="W149" s="23">
        <f t="shared" si="138"/>
        <v>1.6054359919130037E-2</v>
      </c>
      <c r="X149" s="325">
        <v>607669075.78999996</v>
      </c>
      <c r="Y149" s="326">
        <v>17.139299999999999</v>
      </c>
      <c r="Z149" s="23">
        <f t="shared" si="139"/>
        <v>0</v>
      </c>
      <c r="AA149" s="23">
        <f t="shared" si="140"/>
        <v>8.9894387340609307E-3</v>
      </c>
      <c r="AB149" s="325">
        <v>612120747.19000006</v>
      </c>
      <c r="AC149" s="326">
        <v>17.2972</v>
      </c>
      <c r="AD149" s="23">
        <f t="shared" si="141"/>
        <v>7.3258152790031342E-3</v>
      </c>
      <c r="AE149" s="23">
        <f t="shared" si="142"/>
        <v>9.2127449779163383E-3</v>
      </c>
      <c r="AF149" s="325">
        <v>615246797.87</v>
      </c>
      <c r="AG149" s="326">
        <v>17.235700000000001</v>
      </c>
      <c r="AH149" s="23">
        <f t="shared" si="143"/>
        <v>5.1069183561419668E-3</v>
      </c>
      <c r="AI149" s="23">
        <f t="shared" si="144"/>
        <v>-3.5554887496241461E-3</v>
      </c>
      <c r="AJ149" s="24">
        <f t="shared" si="127"/>
        <v>1.5041858225394579E-3</v>
      </c>
      <c r="AK149" s="24">
        <f t="shared" si="128"/>
        <v>4.3310575640420259E-3</v>
      </c>
      <c r="AL149" s="25">
        <f t="shared" si="129"/>
        <v>1.3763051576614461E-2</v>
      </c>
      <c r="AM149" s="25">
        <f t="shared" si="130"/>
        <v>3.3216238250527635E-2</v>
      </c>
      <c r="AN149" s="26">
        <f t="shared" si="131"/>
        <v>5.8067656797632936E-3</v>
      </c>
      <c r="AO149" s="78">
        <f t="shared" si="132"/>
        <v>6.6078786316102044E-3</v>
      </c>
    </row>
    <row r="150" spans="1:41">
      <c r="A150" s="207" t="s">
        <v>25</v>
      </c>
      <c r="B150" s="325">
        <v>1904826585.9400001</v>
      </c>
      <c r="C150" s="326">
        <v>1.52</v>
      </c>
      <c r="D150" s="325">
        <v>1909452911.46</v>
      </c>
      <c r="E150" s="326">
        <v>1.52</v>
      </c>
      <c r="F150" s="23">
        <f>((D150-B150)/B150)</f>
        <v>2.4287384238271571E-3</v>
      </c>
      <c r="G150" s="23">
        <f>((E150-C150)/C150)</f>
        <v>0</v>
      </c>
      <c r="H150" s="325">
        <v>1902635686.27</v>
      </c>
      <c r="I150" s="326">
        <v>1.52</v>
      </c>
      <c r="J150" s="23">
        <f t="shared" si="133"/>
        <v>-3.5702504885483095E-3</v>
      </c>
      <c r="K150" s="23">
        <f t="shared" si="133"/>
        <v>0</v>
      </c>
      <c r="L150" s="325">
        <v>1260332552.6700001</v>
      </c>
      <c r="M150" s="326">
        <v>1.52</v>
      </c>
      <c r="N150" s="23">
        <f t="shared" si="134"/>
        <v>-0.33758598045598293</v>
      </c>
      <c r="O150" s="23">
        <f t="shared" si="134"/>
        <v>0</v>
      </c>
      <c r="P150" s="325">
        <v>1875545851.6199999</v>
      </c>
      <c r="Q150" s="326">
        <v>1.5</v>
      </c>
      <c r="R150" s="23">
        <f t="shared" si="135"/>
        <v>0.48813568898674997</v>
      </c>
      <c r="S150" s="23">
        <f t="shared" si="136"/>
        <v>-1.3157894736842117E-2</v>
      </c>
      <c r="T150" s="325">
        <v>1879399528.9000001</v>
      </c>
      <c r="U150" s="326">
        <v>1.5</v>
      </c>
      <c r="V150" s="23">
        <f t="shared" si="137"/>
        <v>2.0546963843467766E-3</v>
      </c>
      <c r="W150" s="23">
        <f t="shared" si="138"/>
        <v>0</v>
      </c>
      <c r="X150" s="325">
        <v>1915614003.02</v>
      </c>
      <c r="Y150" s="326">
        <v>1.53</v>
      </c>
      <c r="Z150" s="23">
        <f t="shared" si="139"/>
        <v>1.9269172713476189E-2</v>
      </c>
      <c r="AA150" s="23">
        <f t="shared" si="140"/>
        <v>2.0000000000000018E-2</v>
      </c>
      <c r="AB150" s="325">
        <v>1910684810.6900001</v>
      </c>
      <c r="AC150" s="326">
        <v>1.53</v>
      </c>
      <c r="AD150" s="23">
        <f t="shared" si="141"/>
        <v>-2.5731657433224874E-3</v>
      </c>
      <c r="AE150" s="23">
        <f t="shared" si="142"/>
        <v>0</v>
      </c>
      <c r="AF150" s="325">
        <v>1942372554.4100001</v>
      </c>
      <c r="AG150" s="326">
        <v>1.56</v>
      </c>
      <c r="AH150" s="23">
        <f t="shared" si="143"/>
        <v>1.6584495539354146E-2</v>
      </c>
      <c r="AI150" s="23">
        <f t="shared" si="144"/>
        <v>1.9607843137254919E-2</v>
      </c>
      <c r="AJ150" s="24">
        <f t="shared" si="127"/>
        <v>2.309292441998757E-2</v>
      </c>
      <c r="AK150" s="24">
        <f t="shared" si="128"/>
        <v>3.3062435500516027E-3</v>
      </c>
      <c r="AL150" s="25">
        <f t="shared" si="129"/>
        <v>1.7240353376836683E-2</v>
      </c>
      <c r="AM150" s="25">
        <f t="shared" si="130"/>
        <v>2.6315789473684233E-2</v>
      </c>
      <c r="AN150" s="26">
        <f t="shared" si="131"/>
        <v>0.22317524015390486</v>
      </c>
      <c r="AO150" s="78">
        <f t="shared" si="132"/>
        <v>1.1149296807441334E-2</v>
      </c>
    </row>
    <row r="151" spans="1:41">
      <c r="A151" s="208" t="s">
        <v>42</v>
      </c>
      <c r="B151" s="220">
        <f>SUM(B148:B150)</f>
        <v>3062737011.3699999</v>
      </c>
      <c r="C151" s="87"/>
      <c r="D151" s="220">
        <f>SUM(D148:D150)</f>
        <v>3065619906.6199999</v>
      </c>
      <c r="E151" s="87"/>
      <c r="F151" s="23">
        <f>((D151-B151)/B151)</f>
        <v>9.4128070392516183E-4</v>
      </c>
      <c r="G151" s="23"/>
      <c r="H151" s="220">
        <f>SUM(H148:H150)</f>
        <v>3044973052.6900001</v>
      </c>
      <c r="I151" s="87"/>
      <c r="J151" s="23">
        <f>((H151-D151)/D151)</f>
        <v>-6.7349686389412914E-3</v>
      </c>
      <c r="K151" s="23"/>
      <c r="L151" s="220">
        <f>SUM(L148:L150)</f>
        <v>2397610345.79</v>
      </c>
      <c r="M151" s="87"/>
      <c r="N151" s="23">
        <f>((L151-H151)/H151)</f>
        <v>-0.21260047156348552</v>
      </c>
      <c r="O151" s="23"/>
      <c r="P151" s="220">
        <f>SUM(P148:P150)</f>
        <v>3016712191.5299997</v>
      </c>
      <c r="Q151" s="87"/>
      <c r="R151" s="23">
        <f>((P151-L151)/L151)</f>
        <v>0.25821620549272739</v>
      </c>
      <c r="S151" s="23"/>
      <c r="T151" s="220">
        <f>SUM(T148:T150)</f>
        <v>3019546321.4400001</v>
      </c>
      <c r="U151" s="87"/>
      <c r="V151" s="23">
        <f>((T151-P151)/P151)</f>
        <v>9.3947640015434343E-4</v>
      </c>
      <c r="W151" s="23"/>
      <c r="X151" s="220">
        <f>SUM(X148:X150)</f>
        <v>3058498106.9700003</v>
      </c>
      <c r="Y151" s="87"/>
      <c r="Z151" s="23">
        <f>((X151-T151)/T151)</f>
        <v>1.2899880108951062E-2</v>
      </c>
      <c r="AA151" s="23"/>
      <c r="AB151" s="220">
        <f>SUM(AB148:AB150)</f>
        <v>3052374164.9300003</v>
      </c>
      <c r="AC151" s="87"/>
      <c r="AD151" s="23">
        <f>((AB151-X151)/X151)</f>
        <v>-2.0022709924338786E-3</v>
      </c>
      <c r="AE151" s="23"/>
      <c r="AF151" s="220">
        <f>SUM(AF148:AF150)</f>
        <v>3085351470.0200005</v>
      </c>
      <c r="AG151" s="87"/>
      <c r="AH151" s="23">
        <f>((AF151-AB151)/AB151)</f>
        <v>1.0803821323378426E-2</v>
      </c>
      <c r="AI151" s="23"/>
      <c r="AJ151" s="24">
        <f t="shared" si="127"/>
        <v>7.8078691042844607E-3</v>
      </c>
      <c r="AK151" s="24"/>
      <c r="AL151" s="25">
        <f t="shared" si="129"/>
        <v>6.4364024246422683E-3</v>
      </c>
      <c r="AM151" s="25"/>
      <c r="AN151" s="26">
        <f t="shared" si="131"/>
        <v>0.12633353457498314</v>
      </c>
      <c r="AO151" s="78"/>
    </row>
    <row r="152" spans="1:41" ht="8.25" customHeight="1">
      <c r="A152" s="208"/>
      <c r="B152" s="87"/>
      <c r="C152" s="87"/>
      <c r="D152" s="87"/>
      <c r="E152" s="87"/>
      <c r="F152" s="23"/>
      <c r="G152" s="23"/>
      <c r="H152" s="87"/>
      <c r="I152" s="87"/>
      <c r="J152" s="23"/>
      <c r="K152" s="23"/>
      <c r="L152" s="87"/>
      <c r="M152" s="87"/>
      <c r="N152" s="23"/>
      <c r="O152" s="23"/>
      <c r="P152" s="87"/>
      <c r="Q152" s="87"/>
      <c r="R152" s="23"/>
      <c r="S152" s="23"/>
      <c r="T152" s="87"/>
      <c r="U152" s="87"/>
      <c r="V152" s="23"/>
      <c r="W152" s="23"/>
      <c r="X152" s="87"/>
      <c r="Y152" s="87"/>
      <c r="Z152" s="23"/>
      <c r="AA152" s="23"/>
      <c r="AB152" s="87"/>
      <c r="AC152" s="87"/>
      <c r="AD152" s="23"/>
      <c r="AE152" s="23"/>
      <c r="AF152" s="87"/>
      <c r="AG152" s="87"/>
      <c r="AH152" s="23"/>
      <c r="AI152" s="23"/>
      <c r="AJ152" s="24"/>
      <c r="AK152" s="24"/>
      <c r="AL152" s="25"/>
      <c r="AM152" s="25"/>
      <c r="AN152" s="26"/>
      <c r="AO152" s="78"/>
    </row>
    <row r="153" spans="1:41">
      <c r="A153" s="211" t="s">
        <v>202</v>
      </c>
      <c r="B153" s="87"/>
      <c r="C153" s="87"/>
      <c r="D153" s="87"/>
      <c r="E153" s="87"/>
      <c r="F153" s="23"/>
      <c r="G153" s="23"/>
      <c r="H153" s="87"/>
      <c r="I153" s="87"/>
      <c r="J153" s="23"/>
      <c r="K153" s="23"/>
      <c r="L153" s="87"/>
      <c r="M153" s="87"/>
      <c r="N153" s="23"/>
      <c r="O153" s="23"/>
      <c r="P153" s="87"/>
      <c r="Q153" s="87"/>
      <c r="R153" s="23"/>
      <c r="S153" s="23"/>
      <c r="T153" s="87"/>
      <c r="U153" s="87"/>
      <c r="V153" s="23"/>
      <c r="W153" s="23"/>
      <c r="X153" s="87"/>
      <c r="Y153" s="87"/>
      <c r="Z153" s="23"/>
      <c r="AA153" s="23"/>
      <c r="AB153" s="87"/>
      <c r="AC153" s="87"/>
      <c r="AD153" s="23"/>
      <c r="AE153" s="23"/>
      <c r="AF153" s="87"/>
      <c r="AG153" s="87"/>
      <c r="AH153" s="23"/>
      <c r="AI153" s="23"/>
      <c r="AJ153" s="24"/>
      <c r="AK153" s="24"/>
      <c r="AL153" s="25"/>
      <c r="AM153" s="25"/>
      <c r="AN153" s="26"/>
      <c r="AO153" s="78"/>
    </row>
    <row r="154" spans="1:41">
      <c r="A154" s="212" t="s">
        <v>203</v>
      </c>
      <c r="B154" s="87"/>
      <c r="C154" s="87"/>
      <c r="D154" s="87"/>
      <c r="E154" s="87"/>
      <c r="F154" s="23"/>
      <c r="G154" s="23"/>
      <c r="H154" s="87"/>
      <c r="I154" s="87"/>
      <c r="J154" s="23"/>
      <c r="K154" s="23"/>
      <c r="L154" s="87"/>
      <c r="M154" s="87"/>
      <c r="N154" s="23"/>
      <c r="O154" s="23"/>
      <c r="P154" s="87"/>
      <c r="Q154" s="87"/>
      <c r="R154" s="23"/>
      <c r="S154" s="23"/>
      <c r="T154" s="87"/>
      <c r="U154" s="87"/>
      <c r="V154" s="23"/>
      <c r="W154" s="23"/>
      <c r="X154" s="87"/>
      <c r="Y154" s="87"/>
      <c r="Z154" s="23"/>
      <c r="AA154" s="23"/>
      <c r="AB154" s="87"/>
      <c r="AC154" s="87"/>
      <c r="AD154" s="23"/>
      <c r="AE154" s="23"/>
      <c r="AF154" s="87"/>
      <c r="AG154" s="87"/>
      <c r="AH154" s="23"/>
      <c r="AI154" s="23"/>
      <c r="AJ154" s="24"/>
      <c r="AK154" s="24"/>
      <c r="AL154" s="25"/>
      <c r="AM154" s="25"/>
      <c r="AN154" s="26"/>
      <c r="AO154" s="78"/>
    </row>
    <row r="155" spans="1:41">
      <c r="A155" s="207" t="s">
        <v>24</v>
      </c>
      <c r="B155" s="320">
        <v>3724875608.98</v>
      </c>
      <c r="C155" s="321">
        <v>1.85</v>
      </c>
      <c r="D155" s="320">
        <v>3701217416.4699998</v>
      </c>
      <c r="E155" s="321">
        <v>1.84</v>
      </c>
      <c r="F155" s="23">
        <f>((D148-B155)/B155)</f>
        <v>-0.85253926049616191</v>
      </c>
      <c r="G155" s="23">
        <f>((E155-C155)/C155)</f>
        <v>-5.40540540540541E-3</v>
      </c>
      <c r="H155" s="320">
        <v>3701217416.4699998</v>
      </c>
      <c r="I155" s="321">
        <v>1.84</v>
      </c>
      <c r="J155" s="23">
        <f>((H148-D155)/D155)</f>
        <v>-0.85526503140123156</v>
      </c>
      <c r="K155" s="23">
        <f>((I155-E155)/E155)</f>
        <v>0</v>
      </c>
      <c r="L155" s="320">
        <v>3475846099.6700001</v>
      </c>
      <c r="M155" s="321">
        <v>1.73</v>
      </c>
      <c r="N155" s="23">
        <f>((L148-H155)/H155)</f>
        <v>-0.85685432115325333</v>
      </c>
      <c r="O155" s="23">
        <f>((M155-I155)/I155)</f>
        <v>-5.9782608695652224E-2</v>
      </c>
      <c r="P155" s="320">
        <v>3479099974.02</v>
      </c>
      <c r="Q155" s="321">
        <v>1.73</v>
      </c>
      <c r="R155" s="23">
        <f>((P148-L155)/L155)</f>
        <v>-0.8480983254724288</v>
      </c>
      <c r="S155" s="23">
        <f>((Q155-M155)/M155)</f>
        <v>0</v>
      </c>
      <c r="T155" s="320">
        <v>3496297059.2199998</v>
      </c>
      <c r="U155" s="321">
        <v>1.74</v>
      </c>
      <c r="V155" s="23">
        <f>((T148-P155)/P155)</f>
        <v>-0.84694957870534049</v>
      </c>
      <c r="W155" s="23">
        <f>((U155-Q155)/Q155)</f>
        <v>5.7803468208092535E-3</v>
      </c>
      <c r="X155" s="320">
        <v>3519541965.3000002</v>
      </c>
      <c r="Y155" s="321">
        <v>1.75</v>
      </c>
      <c r="Z155" s="23">
        <f>((X148-T155)/T155)</f>
        <v>-0.84691946390865236</v>
      </c>
      <c r="AA155" s="23">
        <f>((Y155-U155)/U155)</f>
        <v>5.7471264367816143E-3</v>
      </c>
      <c r="AB155" s="320">
        <v>3523014717.3200002</v>
      </c>
      <c r="AC155" s="321">
        <v>1.75</v>
      </c>
      <c r="AD155" s="23">
        <f>((AB148-X155)/X155)</f>
        <v>-0.84953479393877307</v>
      </c>
      <c r="AE155" s="23">
        <f>((AC155-Y155)/Y155)</f>
        <v>0</v>
      </c>
      <c r="AF155" s="320">
        <v>3493586160.0500002</v>
      </c>
      <c r="AG155" s="321">
        <v>1.74</v>
      </c>
      <c r="AH155" s="23">
        <f>((AF148-AB155)/AB155)</f>
        <v>-0.85020439592672137</v>
      </c>
      <c r="AI155" s="23">
        <f>((AG155-AC155)/AC155)</f>
        <v>-5.7142857142857195E-3</v>
      </c>
      <c r="AJ155" s="24">
        <f t="shared" si="127"/>
        <v>-0.85079564637532035</v>
      </c>
      <c r="AK155" s="24">
        <f t="shared" si="128"/>
        <v>-7.4218533197190611E-3</v>
      </c>
      <c r="AL155" s="25">
        <f t="shared" si="129"/>
        <v>-5.6098097749152469E-2</v>
      </c>
      <c r="AM155" s="25">
        <f t="shared" si="130"/>
        <v>-5.4347826086956569E-2</v>
      </c>
      <c r="AN155" s="26">
        <f t="shared" si="131"/>
        <v>3.7560432415519904E-3</v>
      </c>
      <c r="AO155" s="78">
        <f t="shared" si="132"/>
        <v>2.1585717464936802E-2</v>
      </c>
    </row>
    <row r="156" spans="1:41">
      <c r="A156" s="206" t="s">
        <v>66</v>
      </c>
      <c r="B156" s="320">
        <v>311592445.26999998</v>
      </c>
      <c r="C156" s="321">
        <v>281.85000000000002</v>
      </c>
      <c r="D156" s="320">
        <v>309021966.91000003</v>
      </c>
      <c r="E156" s="321">
        <v>278.35000000000002</v>
      </c>
      <c r="F156" s="23">
        <f>((D149-B156)/B156)</f>
        <v>0.94771757952641067</v>
      </c>
      <c r="G156" s="23">
        <f>((E156-C156)/C156)</f>
        <v>-1.2417952811779313E-2</v>
      </c>
      <c r="H156" s="320">
        <v>313334241.54000002</v>
      </c>
      <c r="I156" s="321">
        <v>290.57</v>
      </c>
      <c r="J156" s="23">
        <f>((H149-D156)/D156)</f>
        <v>0.96310244846341031</v>
      </c>
      <c r="K156" s="23">
        <f>((I156-E156)/E156)</f>
        <v>4.3901562780671706E-2</v>
      </c>
      <c r="L156" s="320">
        <v>314258086.06999999</v>
      </c>
      <c r="M156" s="321">
        <v>278.49</v>
      </c>
      <c r="N156" s="23">
        <f>((L149-H156)/H156)</f>
        <v>0.93871091296752363</v>
      </c>
      <c r="O156" s="23">
        <f>((M156-I156)/I156)</f>
        <v>-4.1573459063220512E-2</v>
      </c>
      <c r="P156" s="320">
        <v>309759533.98000002</v>
      </c>
      <c r="Q156" s="321">
        <v>277.58</v>
      </c>
      <c r="R156" s="23">
        <f>((P149-L156)/L156)</f>
        <v>0.95119719794072777</v>
      </c>
      <c r="S156" s="23">
        <f>((Q156-M156)/M156)</f>
        <v>-3.2676218176596107E-3</v>
      </c>
      <c r="T156" s="320">
        <v>316030577.88999999</v>
      </c>
      <c r="U156" s="321">
        <v>281.64</v>
      </c>
      <c r="V156" s="23">
        <f>((T149-P156)/P156)</f>
        <v>0.96174454417030086</v>
      </c>
      <c r="W156" s="23">
        <f>((U156-Q156)/Q156)</f>
        <v>1.4626414006772831E-2</v>
      </c>
      <c r="X156" s="320">
        <v>325327433.61000001</v>
      </c>
      <c r="Y156" s="321">
        <v>282.93</v>
      </c>
      <c r="Z156" s="23">
        <f>((X149-T156)/T156)</f>
        <v>0.92281734206589938</v>
      </c>
      <c r="AA156" s="23">
        <f>((Y156-U156)/U156)</f>
        <v>4.5803152961227831E-3</v>
      </c>
      <c r="AB156" s="320">
        <v>324172929.52999997</v>
      </c>
      <c r="AC156" s="321">
        <v>282.44</v>
      </c>
      <c r="AD156" s="23">
        <f>((AB149-X156)/X156)</f>
        <v>0.88155281095600946</v>
      </c>
      <c r="AE156" s="23">
        <f>((AC156-Y156)/Y156)</f>
        <v>-1.7318771427561909E-3</v>
      </c>
      <c r="AF156" s="320">
        <v>327594257.86000001</v>
      </c>
      <c r="AG156" s="321">
        <v>284.87</v>
      </c>
      <c r="AH156" s="23">
        <f>((AF149-AB156)/AB156)</f>
        <v>0.89789689954066065</v>
      </c>
      <c r="AI156" s="23">
        <f>((AG156-AC156)/AC156)</f>
        <v>8.6035972241892324E-3</v>
      </c>
      <c r="AJ156" s="24">
        <f t="shared" si="127"/>
        <v>0.93309246695386783</v>
      </c>
      <c r="AK156" s="24">
        <f t="shared" si="128"/>
        <v>1.5901223090426157E-3</v>
      </c>
      <c r="AL156" s="25">
        <f t="shared" si="129"/>
        <v>6.0100228911587401E-2</v>
      </c>
      <c r="AM156" s="25">
        <f t="shared" si="130"/>
        <v>2.3423747081013045E-2</v>
      </c>
      <c r="AN156" s="26">
        <f t="shared" si="131"/>
        <v>2.998910505469931E-2</v>
      </c>
      <c r="AO156" s="78">
        <f t="shared" si="132"/>
        <v>2.4237772364421869E-2</v>
      </c>
    </row>
    <row r="157" spans="1:41" ht="8.25" customHeight="1">
      <c r="A157" s="208"/>
      <c r="B157" s="87"/>
      <c r="C157" s="87"/>
      <c r="D157" s="87"/>
      <c r="E157" s="87"/>
      <c r="F157" s="23"/>
      <c r="G157" s="23"/>
      <c r="H157" s="87"/>
      <c r="I157" s="87"/>
      <c r="J157" s="23"/>
      <c r="K157" s="23"/>
      <c r="L157" s="87"/>
      <c r="M157" s="87"/>
      <c r="N157" s="23"/>
      <c r="O157" s="23"/>
      <c r="P157" s="87"/>
      <c r="Q157" s="87"/>
      <c r="R157" s="23"/>
      <c r="S157" s="23"/>
      <c r="T157" s="87"/>
      <c r="U157" s="87"/>
      <c r="V157" s="23"/>
      <c r="W157" s="23"/>
      <c r="X157" s="87"/>
      <c r="Y157" s="87"/>
      <c r="Z157" s="23"/>
      <c r="AA157" s="23"/>
      <c r="AB157" s="87"/>
      <c r="AC157" s="87"/>
      <c r="AD157" s="23"/>
      <c r="AE157" s="23"/>
      <c r="AF157" s="87"/>
      <c r="AG157" s="87"/>
      <c r="AH157" s="23"/>
      <c r="AI157" s="23"/>
      <c r="AJ157" s="24"/>
      <c r="AK157" s="24"/>
      <c r="AL157" s="25"/>
      <c r="AM157" s="25"/>
      <c r="AN157" s="26"/>
      <c r="AO157" s="78"/>
    </row>
    <row r="158" spans="1:41">
      <c r="A158" s="212" t="s">
        <v>204</v>
      </c>
      <c r="B158" s="87"/>
      <c r="C158" s="87"/>
      <c r="D158" s="87"/>
      <c r="E158" s="87"/>
      <c r="F158" s="23"/>
      <c r="G158" s="23"/>
      <c r="H158" s="87"/>
      <c r="I158" s="87"/>
      <c r="J158" s="23"/>
      <c r="K158" s="23"/>
      <c r="L158" s="87"/>
      <c r="M158" s="87"/>
      <c r="N158" s="23"/>
      <c r="O158" s="23"/>
      <c r="P158" s="87"/>
      <c r="Q158" s="87"/>
      <c r="R158" s="23"/>
      <c r="S158" s="23"/>
      <c r="T158" s="87"/>
      <c r="U158" s="87"/>
      <c r="V158" s="23"/>
      <c r="W158" s="23"/>
      <c r="X158" s="87"/>
      <c r="Y158" s="87"/>
      <c r="Z158" s="23"/>
      <c r="AA158" s="23"/>
      <c r="AB158" s="87"/>
      <c r="AC158" s="87"/>
      <c r="AD158" s="23"/>
      <c r="AE158" s="23"/>
      <c r="AF158" s="87"/>
      <c r="AG158" s="87"/>
      <c r="AH158" s="23"/>
      <c r="AI158" s="23"/>
      <c r="AJ158" s="24"/>
      <c r="AK158" s="24"/>
      <c r="AL158" s="25"/>
      <c r="AM158" s="25"/>
      <c r="AN158" s="26"/>
      <c r="AO158" s="78"/>
    </row>
    <row r="159" spans="1:41">
      <c r="A159" s="206" t="s">
        <v>233</v>
      </c>
      <c r="B159" s="330">
        <v>504384370.08999997</v>
      </c>
      <c r="C159" s="330">
        <v>1057.78</v>
      </c>
      <c r="D159" s="330">
        <v>504119730.38999999</v>
      </c>
      <c r="E159" s="330">
        <v>1057.54</v>
      </c>
      <c r="F159" s="23">
        <f>((D159-B159)/B159)</f>
        <v>-5.2467862942058856E-4</v>
      </c>
      <c r="G159" s="23">
        <f>((E159-C159)/C159)</f>
        <v>-2.2689027964227826E-4</v>
      </c>
      <c r="H159" s="330">
        <v>505216746.68000001</v>
      </c>
      <c r="I159" s="330">
        <v>1059.8399999999999</v>
      </c>
      <c r="J159" s="23">
        <f t="shared" ref="J159:K167" si="145">((H159-D159)/D159)</f>
        <v>2.176102667418594E-3</v>
      </c>
      <c r="K159" s="23">
        <f t="shared" si="145"/>
        <v>2.1748586341887349E-3</v>
      </c>
      <c r="L159" s="330">
        <v>506151844.31</v>
      </c>
      <c r="M159" s="330">
        <v>1061.8</v>
      </c>
      <c r="N159" s="23">
        <f t="shared" ref="N159:O167" si="146">((L159-H159)/H159)</f>
        <v>1.8508840733109707E-3</v>
      </c>
      <c r="O159" s="23">
        <f t="shared" si="146"/>
        <v>1.849335748792305E-3</v>
      </c>
      <c r="P159" s="330">
        <v>507078326.26999998</v>
      </c>
      <c r="Q159" s="330">
        <v>1063.74</v>
      </c>
      <c r="R159" s="23">
        <f t="shared" ref="R159:R167" si="147">((P159-L159)/L159)</f>
        <v>1.8304427227030734E-3</v>
      </c>
      <c r="S159" s="23">
        <f t="shared" ref="S159:S161" si="148">((Q159-M159)/M159)</f>
        <v>1.8270860802411515E-3</v>
      </c>
      <c r="T159" s="330">
        <v>499448705.5</v>
      </c>
      <c r="U159" s="330">
        <v>1029.3599999999999</v>
      </c>
      <c r="V159" s="23">
        <f t="shared" ref="V159:V167" si="149">((T159-P159)/P159)</f>
        <v>-1.5046237188093694E-2</v>
      </c>
      <c r="W159" s="23">
        <f t="shared" ref="W159:W161" si="150">((U159-Q159)/Q159)</f>
        <v>-3.2319927801906581E-2</v>
      </c>
      <c r="X159" s="330">
        <v>500931777.48000002</v>
      </c>
      <c r="Y159" s="330">
        <v>1031.5899999999999</v>
      </c>
      <c r="Z159" s="23">
        <f t="shared" ref="Z159:Z167" si="151">((X159-T159)/T159)</f>
        <v>2.9694180076316546E-3</v>
      </c>
      <c r="AA159" s="23">
        <f t="shared" ref="AA159:AA161" si="152">((Y159-U159)/U159)</f>
        <v>2.1663946529882822E-3</v>
      </c>
      <c r="AB159" s="330">
        <v>505422763.86000001</v>
      </c>
      <c r="AC159" s="330">
        <v>1040.8399999999999</v>
      </c>
      <c r="AD159" s="23">
        <f t="shared" ref="AD159:AD167" si="153">((AB159-X159)/X159)</f>
        <v>8.965265495019031E-3</v>
      </c>
      <c r="AE159" s="23">
        <f t="shared" ref="AE159:AE161" si="154">((AC159-Y159)/Y159)</f>
        <v>8.9667406624724943E-3</v>
      </c>
      <c r="AF159" s="330">
        <v>506418656.02999997</v>
      </c>
      <c r="AG159" s="330">
        <v>1042.8900000000001</v>
      </c>
      <c r="AH159" s="23">
        <f t="shared" ref="AH159:AH167" si="155">((AF159-AB159)/AB159)</f>
        <v>1.9704141586226911E-3</v>
      </c>
      <c r="AI159" s="23">
        <f t="shared" ref="AI159:AI161" si="156">((AG159-AC159)/AC159)</f>
        <v>1.9695630452328714E-3</v>
      </c>
      <c r="AJ159" s="24">
        <f t="shared" si="127"/>
        <v>5.2395141339896647E-4</v>
      </c>
      <c r="AK159" s="24">
        <f t="shared" si="128"/>
        <v>-1.699104907204127E-3</v>
      </c>
      <c r="AL159" s="25">
        <f t="shared" si="129"/>
        <v>4.5602770560507081E-3</v>
      </c>
      <c r="AM159" s="25">
        <f t="shared" si="130"/>
        <v>-1.385290390907187E-2</v>
      </c>
      <c r="AN159" s="26">
        <f t="shared" si="131"/>
        <v>6.8562382064545312E-3</v>
      </c>
      <c r="AO159" s="78">
        <f t="shared" si="132"/>
        <v>1.2660381010170087E-2</v>
      </c>
    </row>
    <row r="160" spans="1:41">
      <c r="A160" s="206" t="s">
        <v>236</v>
      </c>
      <c r="B160" s="330">
        <v>59786106.200000003</v>
      </c>
      <c r="C160" s="330">
        <v>104.67</v>
      </c>
      <c r="D160" s="330">
        <v>59919011.560000002</v>
      </c>
      <c r="E160" s="330">
        <v>104.75</v>
      </c>
      <c r="F160" s="23">
        <f>((D160-B160)/B160)</f>
        <v>2.2230141490632719E-3</v>
      </c>
      <c r="G160" s="23">
        <f>((E160-C160)/C160)</f>
        <v>7.6430686920797065E-4</v>
      </c>
      <c r="H160" s="330">
        <v>60554726.810000002</v>
      </c>
      <c r="I160" s="330">
        <v>104.91</v>
      </c>
      <c r="J160" s="23">
        <f t="shared" si="145"/>
        <v>1.0609575048871183E-2</v>
      </c>
      <c r="K160" s="23">
        <f t="shared" si="145"/>
        <v>1.5274463007159578E-3</v>
      </c>
      <c r="L160" s="330">
        <v>60658610.350000001</v>
      </c>
      <c r="M160" s="330">
        <v>105.01</v>
      </c>
      <c r="N160" s="23">
        <f t="shared" si="146"/>
        <v>1.7155314782601543E-3</v>
      </c>
      <c r="O160" s="23">
        <f t="shared" si="146"/>
        <v>9.5319797922036541E-4</v>
      </c>
      <c r="P160" s="330">
        <v>60693238.189999998</v>
      </c>
      <c r="Q160" s="330">
        <v>105.04</v>
      </c>
      <c r="R160" s="23">
        <f t="shared" si="147"/>
        <v>5.7086438017939407E-4</v>
      </c>
      <c r="S160" s="23">
        <f t="shared" si="148"/>
        <v>2.8568707742120878E-4</v>
      </c>
      <c r="T160" s="330">
        <v>61747437.560000002</v>
      </c>
      <c r="U160" s="330">
        <v>104.43</v>
      </c>
      <c r="V160" s="23">
        <f t="shared" si="149"/>
        <v>1.7369305073158838E-2</v>
      </c>
      <c r="W160" s="23">
        <f t="shared" si="150"/>
        <v>-5.8073115003808018E-3</v>
      </c>
      <c r="X160" s="330">
        <v>62015270.850000001</v>
      </c>
      <c r="Y160" s="330">
        <v>104.58</v>
      </c>
      <c r="Z160" s="23">
        <f t="shared" si="151"/>
        <v>4.3375612103699916E-3</v>
      </c>
      <c r="AA160" s="23">
        <f t="shared" si="152"/>
        <v>1.4363688595230438E-3</v>
      </c>
      <c r="AB160" s="330">
        <v>62140757.649999999</v>
      </c>
      <c r="AC160" s="330">
        <v>104.7</v>
      </c>
      <c r="AD160" s="23">
        <f t="shared" si="153"/>
        <v>2.0234822533230462E-3</v>
      </c>
      <c r="AE160" s="23">
        <f t="shared" si="154"/>
        <v>1.1474469305795042E-3</v>
      </c>
      <c r="AF160" s="330">
        <v>62170128.969999999</v>
      </c>
      <c r="AG160" s="330">
        <v>103.28</v>
      </c>
      <c r="AH160" s="23">
        <f t="shared" si="155"/>
        <v>4.7265789975446654E-4</v>
      </c>
      <c r="AI160" s="23">
        <f t="shared" si="156"/>
        <v>-1.3562559694364868E-2</v>
      </c>
      <c r="AJ160" s="24">
        <f t="shared" si="127"/>
        <v>4.9152489366225431E-3</v>
      </c>
      <c r="AK160" s="24">
        <f t="shared" si="128"/>
        <v>-1.6569271472597024E-3</v>
      </c>
      <c r="AL160" s="25">
        <f t="shared" si="129"/>
        <v>3.7569334863707428E-2</v>
      </c>
      <c r="AM160" s="25">
        <f t="shared" si="130"/>
        <v>-1.4033412887828152E-2</v>
      </c>
      <c r="AN160" s="26">
        <f t="shared" si="131"/>
        <v>6.0038263280791371E-3</v>
      </c>
      <c r="AO160" s="78">
        <f t="shared" si="132"/>
        <v>5.385057134593369E-3</v>
      </c>
    </row>
    <row r="161" spans="1:41">
      <c r="A161" s="206" t="s">
        <v>240</v>
      </c>
      <c r="B161" s="325">
        <v>51623856.520000003</v>
      </c>
      <c r="C161" s="326">
        <v>102.37</v>
      </c>
      <c r="D161" s="325">
        <v>51689431.939999998</v>
      </c>
      <c r="E161" s="326">
        <v>102.37</v>
      </c>
      <c r="F161" s="23">
        <f>((D161-B161)/B161)</f>
        <v>1.2702541890606187E-3</v>
      </c>
      <c r="G161" s="23">
        <f>((E161-C161)/C161)</f>
        <v>0</v>
      </c>
      <c r="H161" s="325">
        <v>51756086.100000001</v>
      </c>
      <c r="I161" s="326">
        <v>102.87</v>
      </c>
      <c r="J161" s="23">
        <f t="shared" si="145"/>
        <v>1.2895123335341472E-3</v>
      </c>
      <c r="K161" s="23">
        <f t="shared" si="145"/>
        <v>4.8842434306925857E-3</v>
      </c>
      <c r="L161" s="325">
        <v>51822704.93</v>
      </c>
      <c r="M161" s="326">
        <v>103.04</v>
      </c>
      <c r="N161" s="23">
        <f t="shared" si="146"/>
        <v>1.2871690079362128E-3</v>
      </c>
      <c r="O161" s="23">
        <f t="shared" si="146"/>
        <v>1.6525712063769971E-3</v>
      </c>
      <c r="P161" s="325">
        <v>51889842.409999996</v>
      </c>
      <c r="Q161" s="326">
        <v>103.29</v>
      </c>
      <c r="R161" s="23">
        <f t="shared" si="147"/>
        <v>1.295522495220643E-3</v>
      </c>
      <c r="S161" s="23">
        <f t="shared" si="148"/>
        <v>2.4262422360248445E-3</v>
      </c>
      <c r="T161" s="325">
        <v>51957353.259999998</v>
      </c>
      <c r="U161" s="326">
        <v>103.54</v>
      </c>
      <c r="V161" s="23">
        <f t="shared" si="149"/>
        <v>1.3010417234759434E-3</v>
      </c>
      <c r="W161" s="23">
        <f t="shared" si="150"/>
        <v>2.4203698325104073E-3</v>
      </c>
      <c r="X161" s="325">
        <v>52024825.420000002</v>
      </c>
      <c r="Y161" s="326">
        <v>103.79</v>
      </c>
      <c r="Z161" s="23">
        <f t="shared" si="151"/>
        <v>1.2986065641636165E-3</v>
      </c>
      <c r="AA161" s="23">
        <f t="shared" si="152"/>
        <v>2.4145257871354066E-3</v>
      </c>
      <c r="AB161" s="325">
        <v>52092258.890000001</v>
      </c>
      <c r="AC161" s="326">
        <v>104.04</v>
      </c>
      <c r="AD161" s="23">
        <f t="shared" si="153"/>
        <v>1.2961786888394868E-3</v>
      </c>
      <c r="AE161" s="23">
        <f t="shared" si="154"/>
        <v>2.4087098949802485E-3</v>
      </c>
      <c r="AF161" s="325">
        <v>52092258.890000001</v>
      </c>
      <c r="AG161" s="326">
        <v>104.29</v>
      </c>
      <c r="AH161" s="23">
        <f t="shared" si="155"/>
        <v>0</v>
      </c>
      <c r="AI161" s="23">
        <f t="shared" si="156"/>
        <v>2.4029219530949633E-3</v>
      </c>
      <c r="AJ161" s="24">
        <f t="shared" si="127"/>
        <v>1.1297856252788336E-3</v>
      </c>
      <c r="AK161" s="24">
        <f t="shared" si="128"/>
        <v>2.3261980426019313E-3</v>
      </c>
      <c r="AL161" s="25">
        <f t="shared" si="129"/>
        <v>7.7932168120476934E-3</v>
      </c>
      <c r="AM161" s="25">
        <f t="shared" si="130"/>
        <v>1.8755494773859543E-2</v>
      </c>
      <c r="AN161" s="26">
        <f t="shared" si="131"/>
        <v>4.5660449425220844E-4</v>
      </c>
      <c r="AO161" s="78">
        <f t="shared" si="132"/>
        <v>1.3335206022700192E-3</v>
      </c>
    </row>
    <row r="162" spans="1:41" s="292" customFormat="1">
      <c r="A162" s="206" t="s">
        <v>190</v>
      </c>
      <c r="B162" s="330">
        <v>9572672977.6900005</v>
      </c>
      <c r="C162" s="330">
        <v>126.29</v>
      </c>
      <c r="D162" s="330">
        <v>9707912957.2900009</v>
      </c>
      <c r="E162" s="330">
        <v>126.56</v>
      </c>
      <c r="F162" s="23">
        <f>((D162-B162)/B162)</f>
        <v>1.4127713326799072E-2</v>
      </c>
      <c r="G162" s="23">
        <f>((E162-C162)/C162)</f>
        <v>2.1379364953677728E-3</v>
      </c>
      <c r="H162" s="330">
        <v>9723574730.7199993</v>
      </c>
      <c r="I162" s="330">
        <v>126.82</v>
      </c>
      <c r="J162" s="23">
        <f t="shared" si="145"/>
        <v>1.6132997379459857E-3</v>
      </c>
      <c r="K162" s="23">
        <f>((I162-E162)/E162)</f>
        <v>2.0543615676358322E-3</v>
      </c>
      <c r="L162" s="330">
        <v>9747458900.7199993</v>
      </c>
      <c r="M162" s="330">
        <v>127.17</v>
      </c>
      <c r="N162" s="23">
        <f t="shared" si="146"/>
        <v>2.4563157749528043E-3</v>
      </c>
      <c r="O162" s="23">
        <f>((M162-I162)/I162)</f>
        <v>2.7598170635547118E-3</v>
      </c>
      <c r="P162" s="330">
        <v>9753077206.25</v>
      </c>
      <c r="Q162" s="330">
        <v>127.42</v>
      </c>
      <c r="R162" s="23">
        <f t="shared" si="147"/>
        <v>5.7638668572233614E-4</v>
      </c>
      <c r="S162" s="23">
        <f>((Q162-M162)/M162)</f>
        <v>1.9658724541951719E-3</v>
      </c>
      <c r="T162" s="330">
        <v>9482030679.6000004</v>
      </c>
      <c r="U162" s="330">
        <v>127.74</v>
      </c>
      <c r="V162" s="23">
        <f t="shared" si="149"/>
        <v>-2.7790872656714607E-2</v>
      </c>
      <c r="W162" s="23">
        <f>((U162-Q162)/Q162)</f>
        <v>2.51137968921671E-3</v>
      </c>
      <c r="X162" s="330">
        <v>9396906448.2999992</v>
      </c>
      <c r="Y162" s="330">
        <v>128.03</v>
      </c>
      <c r="Z162" s="23">
        <f t="shared" si="151"/>
        <v>-8.9774262683140899E-3</v>
      </c>
      <c r="AA162" s="23">
        <f>((Y162-U162)/U162)</f>
        <v>2.2702364177235499E-3</v>
      </c>
      <c r="AB162" s="330">
        <v>9350818818.1200008</v>
      </c>
      <c r="AC162" s="330">
        <v>128.31</v>
      </c>
      <c r="AD162" s="23">
        <f t="shared" si="153"/>
        <v>-4.904553475504286E-3</v>
      </c>
      <c r="AE162" s="23">
        <f>((AC162-Y162)/Y162)</f>
        <v>2.1869874248223163E-3</v>
      </c>
      <c r="AF162" s="330">
        <v>9440015780.9500008</v>
      </c>
      <c r="AG162" s="330">
        <v>128.59</v>
      </c>
      <c r="AH162" s="23">
        <f t="shared" si="155"/>
        <v>9.5389467558877512E-3</v>
      </c>
      <c r="AI162" s="23">
        <f>((AG162-AC162)/AC162)</f>
        <v>2.1822149481724039E-3</v>
      </c>
      <c r="AJ162" s="24">
        <f t="shared" si="127"/>
        <v>-1.6700237649031296E-3</v>
      </c>
      <c r="AK162" s="24">
        <f t="shared" si="128"/>
        <v>2.2586007575860585E-3</v>
      </c>
      <c r="AL162" s="25">
        <f t="shared" si="129"/>
        <v>-2.759575384725994E-2</v>
      </c>
      <c r="AM162" s="25">
        <f t="shared" si="130"/>
        <v>1.6039823008849565E-2</v>
      </c>
      <c r="AN162" s="26">
        <f t="shared" si="131"/>
        <v>1.2840904669477085E-2</v>
      </c>
      <c r="AO162" s="78">
        <f t="shared" si="132"/>
        <v>2.5861637171567347E-4</v>
      </c>
    </row>
    <row r="163" spans="1:41" s="306" customFormat="1">
      <c r="A163" s="206" t="s">
        <v>177</v>
      </c>
      <c r="B163" s="330">
        <v>407073807.34999996</v>
      </c>
      <c r="C163" s="331">
        <v>102.82</v>
      </c>
      <c r="D163" s="330">
        <v>410722600.21999997</v>
      </c>
      <c r="E163" s="331">
        <v>102.98</v>
      </c>
      <c r="F163" s="23">
        <f>((D163-B163)/B163)</f>
        <v>8.9634675680884367E-3</v>
      </c>
      <c r="G163" s="23">
        <f>((E163-C163)/C163)</f>
        <v>1.5561174868703638E-3</v>
      </c>
      <c r="H163" s="330">
        <v>409662429.07999998</v>
      </c>
      <c r="I163" s="331">
        <v>101.31</v>
      </c>
      <c r="J163" s="23">
        <f t="shared" si="145"/>
        <v>-2.5812339993760126E-3</v>
      </c>
      <c r="K163" s="23">
        <f>((I163-E163)/E163)</f>
        <v>-1.6216741114779585E-2</v>
      </c>
      <c r="L163" s="330">
        <v>373877591.92000002</v>
      </c>
      <c r="M163" s="331">
        <v>101.49</v>
      </c>
      <c r="N163" s="23">
        <f t="shared" si="146"/>
        <v>-8.7352011363023493E-2</v>
      </c>
      <c r="O163" s="23">
        <f>((M163-I163)/I163)</f>
        <v>1.7767249037606615E-3</v>
      </c>
      <c r="P163" s="330">
        <v>440086089.62</v>
      </c>
      <c r="Q163" s="331">
        <v>101.68</v>
      </c>
      <c r="R163" s="23">
        <f t="shared" si="147"/>
        <v>0.17708602796972883</v>
      </c>
      <c r="S163" s="23">
        <f>((Q163-M163)/M163)</f>
        <v>1.8721056261701836E-3</v>
      </c>
      <c r="T163" s="330">
        <v>445518069.19999999</v>
      </c>
      <c r="U163" s="331">
        <v>101.88</v>
      </c>
      <c r="V163" s="23">
        <f t="shared" si="149"/>
        <v>1.2342993128208893E-2</v>
      </c>
      <c r="W163" s="23">
        <f>((U163-Q163)/Q163)</f>
        <v>1.9669551534223901E-3</v>
      </c>
      <c r="X163" s="330">
        <v>447138004.60000002</v>
      </c>
      <c r="Y163" s="331">
        <v>101.98</v>
      </c>
      <c r="Z163" s="23">
        <f t="shared" si="151"/>
        <v>3.636071153991336E-3</v>
      </c>
      <c r="AA163" s="23">
        <f>((Y163-U163)/U163)</f>
        <v>9.8154691794276132E-4</v>
      </c>
      <c r="AB163" s="330">
        <v>451241812.82999998</v>
      </c>
      <c r="AC163" s="331">
        <v>102.1</v>
      </c>
      <c r="AD163" s="23">
        <f t="shared" si="153"/>
        <v>9.1779454839029783E-3</v>
      </c>
      <c r="AE163" s="23">
        <f>((AC163-Y163)/Y163)</f>
        <v>1.1767013139830391E-3</v>
      </c>
      <c r="AF163" s="330">
        <v>451166384.73000002</v>
      </c>
      <c r="AG163" s="331">
        <v>102.31</v>
      </c>
      <c r="AH163" s="23">
        <f t="shared" si="155"/>
        <v>-1.6715671698708666E-4</v>
      </c>
      <c r="AI163" s="23">
        <f>((AG163-AC163)/AC163)</f>
        <v>2.0568070519099702E-3</v>
      </c>
      <c r="AJ163" s="24">
        <f t="shared" si="127"/>
        <v>1.5138262903066737E-2</v>
      </c>
      <c r="AK163" s="24">
        <f t="shared" si="128"/>
        <v>-6.0372283259002666E-4</v>
      </c>
      <c r="AL163" s="25">
        <f t="shared" si="129"/>
        <v>9.8469829730179662E-2</v>
      </c>
      <c r="AM163" s="25">
        <f t="shared" si="130"/>
        <v>-6.5061176927558913E-3</v>
      </c>
      <c r="AN163" s="26">
        <f t="shared" si="131"/>
        <v>7.3186004515656225E-2</v>
      </c>
      <c r="AO163" s="78">
        <f t="shared" si="132"/>
        <v>6.320005684513688E-3</v>
      </c>
    </row>
    <row r="164" spans="1:41" s="306" customFormat="1">
      <c r="A164" s="206" t="s">
        <v>133</v>
      </c>
      <c r="B164" s="330">
        <v>8218760838.6300001</v>
      </c>
      <c r="C164" s="331">
        <v>122.69</v>
      </c>
      <c r="D164" s="330">
        <v>8228345540.79</v>
      </c>
      <c r="E164" s="331">
        <v>122.84</v>
      </c>
      <c r="F164" s="23">
        <f>((D164-B164)/B164)</f>
        <v>1.1661979644120584E-3</v>
      </c>
      <c r="G164" s="23">
        <f>((E164-C164)/C164)</f>
        <v>1.2225935284049694E-3</v>
      </c>
      <c r="H164" s="330">
        <v>8237761894.7299995</v>
      </c>
      <c r="I164" s="331">
        <v>122.96</v>
      </c>
      <c r="J164" s="23">
        <f t="shared" si="145"/>
        <v>1.1443799842046399E-3</v>
      </c>
      <c r="K164" s="23">
        <f>((I164-E164)/E164)</f>
        <v>9.7688049495270541E-4</v>
      </c>
      <c r="L164" s="330">
        <v>8245991798.1499996</v>
      </c>
      <c r="M164" s="331">
        <v>123.12</v>
      </c>
      <c r="N164" s="23">
        <f t="shared" si="146"/>
        <v>9.9904604250154998E-4</v>
      </c>
      <c r="O164" s="23">
        <f>((M164-I164)/I164)</f>
        <v>1.3012361743657353E-3</v>
      </c>
      <c r="P164" s="330">
        <v>8282964062.6800003</v>
      </c>
      <c r="Q164" s="331">
        <v>123.25</v>
      </c>
      <c r="R164" s="23">
        <f t="shared" si="147"/>
        <v>4.4836649653587418E-3</v>
      </c>
      <c r="S164" s="23">
        <f>((Q164-M164)/M164)</f>
        <v>1.0558804418453172E-3</v>
      </c>
      <c r="T164" s="330">
        <v>8288395262.54</v>
      </c>
      <c r="U164" s="331">
        <v>123.42</v>
      </c>
      <c r="V164" s="23">
        <f t="shared" si="149"/>
        <v>6.5570728291224306E-4</v>
      </c>
      <c r="W164" s="23">
        <f>((U164-Q164)/Q164)</f>
        <v>1.3793103448276E-3</v>
      </c>
      <c r="X164" s="330">
        <v>8311811544.6199999</v>
      </c>
      <c r="Y164" s="331">
        <v>123.57</v>
      </c>
      <c r="Z164" s="23">
        <f t="shared" si="151"/>
        <v>2.8251888741155358E-3</v>
      </c>
      <c r="AA164" s="23">
        <f>((Y164-U164)/U164)</f>
        <v>1.2153621779289537E-3</v>
      </c>
      <c r="AB164" s="330">
        <v>8315320941.3800001</v>
      </c>
      <c r="AC164" s="331">
        <v>123.67</v>
      </c>
      <c r="AD164" s="23">
        <f t="shared" si="153"/>
        <v>4.2221803768779649E-4</v>
      </c>
      <c r="AE164" s="23">
        <f>((AC164-Y164)/Y164)</f>
        <v>8.0925791049614416E-4</v>
      </c>
      <c r="AF164" s="330">
        <v>8420680757.3199997</v>
      </c>
      <c r="AG164" s="331">
        <v>123.77</v>
      </c>
      <c r="AH164" s="23">
        <f t="shared" si="155"/>
        <v>1.2670565175144545E-2</v>
      </c>
      <c r="AI164" s="23">
        <f>((AG164-AC164)/AC164)</f>
        <v>8.0860354168346661E-4</v>
      </c>
      <c r="AJ164" s="24">
        <f t="shared" si="127"/>
        <v>3.0458710407921387E-3</v>
      </c>
      <c r="AK164" s="24">
        <f t="shared" si="128"/>
        <v>1.0961405768131116E-3</v>
      </c>
      <c r="AL164" s="25">
        <f t="shared" si="129"/>
        <v>2.3374713127510893E-2</v>
      </c>
      <c r="AM164" s="25">
        <f t="shared" si="130"/>
        <v>7.5708238358840165E-3</v>
      </c>
      <c r="AN164" s="26">
        <f t="shared" si="131"/>
        <v>4.1176529154397443E-3</v>
      </c>
      <c r="AO164" s="78">
        <f t="shared" si="132"/>
        <v>2.1819929199473311E-4</v>
      </c>
    </row>
    <row r="165" spans="1:41">
      <c r="A165" s="206" t="s">
        <v>167</v>
      </c>
      <c r="B165" s="330">
        <v>2272858774.1500001</v>
      </c>
      <c r="C165" s="331">
        <v>1.1278999999999999</v>
      </c>
      <c r="D165" s="330">
        <v>2264145288.5300002</v>
      </c>
      <c r="E165" s="331">
        <v>1.1299999999999999</v>
      </c>
      <c r="F165" s="23">
        <f>((D165-B165)/B165)</f>
        <v>-3.8337118518322988E-3</v>
      </c>
      <c r="G165" s="23">
        <f>((E165-C165)/C165)</f>
        <v>1.861867186807333E-3</v>
      </c>
      <c r="H165" s="330">
        <v>2305433317.6100001</v>
      </c>
      <c r="I165" s="331">
        <v>1.1335999999999999</v>
      </c>
      <c r="J165" s="23">
        <f t="shared" si="145"/>
        <v>1.823559172159232E-2</v>
      </c>
      <c r="K165" s="23">
        <f>((I165-E165)/E165)</f>
        <v>3.1858407079646441E-3</v>
      </c>
      <c r="L165" s="330">
        <v>2339088601.1599998</v>
      </c>
      <c r="M165" s="331">
        <v>1.1384000000000001</v>
      </c>
      <c r="N165" s="23">
        <f t="shared" si="146"/>
        <v>1.4598246365628792E-2</v>
      </c>
      <c r="O165" s="23">
        <f>((M165-I165)/I165)</f>
        <v>4.2342978122795853E-3</v>
      </c>
      <c r="P165" s="330">
        <v>2375175435.9499998</v>
      </c>
      <c r="Q165" s="331">
        <v>1.1426000000000001</v>
      </c>
      <c r="R165" s="23">
        <f t="shared" si="147"/>
        <v>1.5427733165859469E-2</v>
      </c>
      <c r="S165" s="23">
        <f>((Q165-M165)/M165)</f>
        <v>3.6893886156008269E-3</v>
      </c>
      <c r="T165" s="330">
        <v>2437395386.98</v>
      </c>
      <c r="U165" s="331">
        <v>1.1468</v>
      </c>
      <c r="V165" s="23">
        <f t="shared" si="149"/>
        <v>2.6195939082333121E-2</v>
      </c>
      <c r="W165" s="23">
        <f>((U165-Q165)/Q165)</f>
        <v>3.6758270610887287E-3</v>
      </c>
      <c r="X165" s="330">
        <v>2607699840.98</v>
      </c>
      <c r="Y165" s="331">
        <v>1.1508</v>
      </c>
      <c r="Z165" s="23">
        <f t="shared" si="151"/>
        <v>6.9871492704764615E-2</v>
      </c>
      <c r="AA165" s="23">
        <f>((Y165-U165)/U165)</f>
        <v>3.487966515521454E-3</v>
      </c>
      <c r="AB165" s="330">
        <v>2705483133.1999998</v>
      </c>
      <c r="AC165" s="331">
        <v>1.1536</v>
      </c>
      <c r="AD165" s="23">
        <f t="shared" si="153"/>
        <v>3.7497909338849306E-2</v>
      </c>
      <c r="AE165" s="23">
        <f>((AC165-Y165)/Y165)</f>
        <v>2.4330900243308253E-3</v>
      </c>
      <c r="AF165" s="330">
        <v>2756036312.1100001</v>
      </c>
      <c r="AG165" s="331">
        <v>1.1564000000000001</v>
      </c>
      <c r="AH165" s="23">
        <f t="shared" si="155"/>
        <v>1.8685453363077108E-2</v>
      </c>
      <c r="AI165" s="23">
        <f>((AG165-AC165)/AC165)</f>
        <v>2.4271844660195352E-3</v>
      </c>
      <c r="AJ165" s="24">
        <f t="shared" si="127"/>
        <v>2.4584831736284056E-2</v>
      </c>
      <c r="AK165" s="24">
        <f t="shared" si="128"/>
        <v>3.1244327987016165E-3</v>
      </c>
      <c r="AL165" s="25">
        <f t="shared" si="129"/>
        <v>0.21725241135005119</v>
      </c>
      <c r="AM165" s="25">
        <f t="shared" si="130"/>
        <v>2.3362831858407259E-2</v>
      </c>
      <c r="AN165" s="26">
        <f t="shared" si="131"/>
        <v>2.1668075189558142E-2</v>
      </c>
      <c r="AO165" s="78">
        <f t="shared" si="132"/>
        <v>8.061478722942337E-4</v>
      </c>
    </row>
    <row r="166" spans="1:41">
      <c r="A166" s="208" t="s">
        <v>42</v>
      </c>
      <c r="B166" s="76">
        <f>SUM(B155:B165)</f>
        <v>25123628784.880001</v>
      </c>
      <c r="C166" s="87"/>
      <c r="D166" s="76">
        <f>SUM(D155:D165)</f>
        <v>25237093944.099998</v>
      </c>
      <c r="E166" s="87"/>
      <c r="F166" s="23">
        <f>((D166-B166)/B166)</f>
        <v>4.5162727164749167E-3</v>
      </c>
      <c r="G166" s="23"/>
      <c r="H166" s="76">
        <f>SUM(H155:H165)</f>
        <v>25308511589.739998</v>
      </c>
      <c r="I166" s="87"/>
      <c r="J166" s="23">
        <f t="shared" si="145"/>
        <v>2.8298680425800616E-3</v>
      </c>
      <c r="K166" s="23"/>
      <c r="L166" s="76">
        <f>SUM(L155:L165)</f>
        <v>25115154237.279999</v>
      </c>
      <c r="M166" s="87"/>
      <c r="N166" s="23">
        <f t="shared" si="146"/>
        <v>-7.6400127986343391E-3</v>
      </c>
      <c r="O166" s="23"/>
      <c r="P166" s="76">
        <f>SUM(P155:P165)</f>
        <v>25259823709.369999</v>
      </c>
      <c r="Q166" s="87"/>
      <c r="R166" s="23">
        <f t="shared" si="147"/>
        <v>5.760246213230822E-3</v>
      </c>
      <c r="S166" s="23"/>
      <c r="T166" s="76">
        <f>SUM(T155:T165)</f>
        <v>25078820531.75</v>
      </c>
      <c r="U166" s="87"/>
      <c r="V166" s="23">
        <f t="shared" si="149"/>
        <v>-7.1656548241410233E-3</v>
      </c>
      <c r="W166" s="23"/>
      <c r="X166" s="76">
        <f>SUM(X155:X165)</f>
        <v>25223397111.16</v>
      </c>
      <c r="Y166" s="87"/>
      <c r="Z166" s="23">
        <f t="shared" si="151"/>
        <v>5.7648875164190705E-3</v>
      </c>
      <c r="AA166" s="23"/>
      <c r="AB166" s="76">
        <f>SUM(AB155:AB165)</f>
        <v>25289708132.780003</v>
      </c>
      <c r="AC166" s="87"/>
      <c r="AD166" s="23">
        <f t="shared" si="153"/>
        <v>2.6289488813806003E-3</v>
      </c>
      <c r="AE166" s="23"/>
      <c r="AF166" s="76">
        <f>SUM(AF155:AF165)</f>
        <v>25509760696.910004</v>
      </c>
      <c r="AG166" s="87"/>
      <c r="AH166" s="23">
        <f t="shared" si="155"/>
        <v>8.7012694244886692E-3</v>
      </c>
      <c r="AI166" s="23"/>
      <c r="AJ166" s="24">
        <f t="shared" si="127"/>
        <v>1.9244781464748473E-3</v>
      </c>
      <c r="AK166" s="24"/>
      <c r="AL166" s="25">
        <f t="shared" si="129"/>
        <v>1.080420564324721E-2</v>
      </c>
      <c r="AM166" s="25"/>
      <c r="AN166" s="26">
        <f t="shared" si="131"/>
        <v>6.0654781256881223E-3</v>
      </c>
      <c r="AO166" s="78"/>
    </row>
    <row r="167" spans="1:41">
      <c r="A167" s="208" t="s">
        <v>28</v>
      </c>
      <c r="B167" s="307">
        <f>SUM(B21,B53,B86,B111,B118,B145,B151,B166)</f>
        <v>1574933447715.4641</v>
      </c>
      <c r="C167" s="87"/>
      <c r="D167" s="307">
        <f>SUM(D21,D53,D86,D111,D118,D145,D151,D166)</f>
        <v>1570379557163.522</v>
      </c>
      <c r="E167" s="87"/>
      <c r="F167" s="23">
        <f>((D167-B167)/B167)</f>
        <v>-2.891481261349698E-3</v>
      </c>
      <c r="G167" s="23"/>
      <c r="H167" s="307">
        <f>SUM(H21,H53,H86,H111,H118,H145,H151,H166)</f>
        <v>1585406389332.5886</v>
      </c>
      <c r="I167" s="87"/>
      <c r="J167" s="23">
        <f t="shared" si="145"/>
        <v>9.5689173362703949E-3</v>
      </c>
      <c r="K167" s="23"/>
      <c r="L167" s="307">
        <f>SUM(L21,L53,L86,L111,L118,L145,L151,L166)</f>
        <v>1589874095297.8513</v>
      </c>
      <c r="M167" s="87"/>
      <c r="N167" s="23">
        <f t="shared" si="146"/>
        <v>2.8180194020433294E-3</v>
      </c>
      <c r="O167" s="23"/>
      <c r="P167" s="307">
        <f>SUM(P21,P53,P86,P111,P118,P145,P151,P166)</f>
        <v>1587789124997.645</v>
      </c>
      <c r="Q167" s="87"/>
      <c r="R167" s="23">
        <f t="shared" si="147"/>
        <v>-1.3114059197346032E-3</v>
      </c>
      <c r="S167" s="23"/>
      <c r="T167" s="307">
        <f>SUM(T21,T53,T86,T111,T118,T145,T151,T166)</f>
        <v>1573619276108.0618</v>
      </c>
      <c r="U167" s="87"/>
      <c r="V167" s="23">
        <f t="shared" si="149"/>
        <v>-8.9242637240031907E-3</v>
      </c>
      <c r="W167" s="23"/>
      <c r="X167" s="307">
        <f>SUM(X21,X53,X86,X111,X118,X145,X151,X166)</f>
        <v>1638109066451.2014</v>
      </c>
      <c r="Y167" s="87"/>
      <c r="Z167" s="23">
        <f t="shared" si="151"/>
        <v>4.0981825351452471E-2</v>
      </c>
      <c r="AA167" s="23"/>
      <c r="AB167" s="307">
        <f>SUM(AB21,AB53,AB86,AB111,AB118,AB145,AB151,AB166)</f>
        <v>1642873255320.0364</v>
      </c>
      <c r="AC167" s="87"/>
      <c r="AD167" s="23">
        <f t="shared" si="153"/>
        <v>2.9083465603154846E-3</v>
      </c>
      <c r="AE167" s="23"/>
      <c r="AF167" s="307">
        <f>SUM(AF21,AF53,AF86,AF111,AF118,AF145,AF151,AF166)</f>
        <v>1634067029203.7332</v>
      </c>
      <c r="AG167" s="87"/>
      <c r="AH167" s="23">
        <f t="shared" si="155"/>
        <v>-5.3602589778526432E-3</v>
      </c>
      <c r="AI167" s="23"/>
      <c r="AJ167" s="24">
        <f t="shared" si="127"/>
        <v>4.7237123458926927E-3</v>
      </c>
      <c r="AK167" s="24"/>
      <c r="AL167" s="25">
        <f t="shared" si="129"/>
        <v>4.0555464282307559E-2</v>
      </c>
      <c r="AM167" s="25"/>
      <c r="AN167" s="26">
        <f t="shared" si="131"/>
        <v>1.5709058093400709E-2</v>
      </c>
      <c r="AO167" s="78"/>
    </row>
    <row r="168" spans="1:41" s="110" customFormat="1" ht="6" customHeight="1">
      <c r="A168" s="208"/>
      <c r="B168" s="87"/>
      <c r="C168" s="87"/>
      <c r="D168" s="87"/>
      <c r="E168" s="87"/>
      <c r="F168" s="23"/>
      <c r="G168" s="23"/>
      <c r="H168" s="87"/>
      <c r="I168" s="87"/>
      <c r="J168" s="23"/>
      <c r="K168" s="23"/>
      <c r="L168" s="87"/>
      <c r="M168" s="87"/>
      <c r="N168" s="23"/>
      <c r="O168" s="23"/>
      <c r="P168" s="87"/>
      <c r="Q168" s="87"/>
      <c r="R168" s="23"/>
      <c r="S168" s="23"/>
      <c r="T168" s="87"/>
      <c r="U168" s="87"/>
      <c r="V168" s="23"/>
      <c r="W168" s="23"/>
      <c r="X168" s="87"/>
      <c r="Y168" s="87"/>
      <c r="Z168" s="23"/>
      <c r="AA168" s="23"/>
      <c r="AB168" s="87"/>
      <c r="AC168" s="87"/>
      <c r="AD168" s="23"/>
      <c r="AE168" s="23"/>
      <c r="AF168" s="87"/>
      <c r="AG168" s="87"/>
      <c r="AH168" s="23"/>
      <c r="AI168" s="23"/>
      <c r="AJ168" s="24"/>
      <c r="AK168" s="24"/>
      <c r="AL168" s="25"/>
      <c r="AM168" s="25"/>
      <c r="AN168" s="26"/>
      <c r="AO168" s="78"/>
    </row>
    <row r="169" spans="1:41" s="110" customFormat="1">
      <c r="A169" s="212" t="s">
        <v>205</v>
      </c>
      <c r="B169" s="87"/>
      <c r="C169" s="87"/>
      <c r="D169" s="87"/>
      <c r="E169" s="87"/>
      <c r="F169" s="23"/>
      <c r="G169" s="23"/>
      <c r="H169" s="87"/>
      <c r="I169" s="87"/>
      <c r="J169" s="23"/>
      <c r="K169" s="23"/>
      <c r="L169" s="87"/>
      <c r="M169" s="87"/>
      <c r="N169" s="23"/>
      <c r="O169" s="23"/>
      <c r="P169" s="87"/>
      <c r="Q169" s="87"/>
      <c r="R169" s="23"/>
      <c r="S169" s="23"/>
      <c r="T169" s="87"/>
      <c r="U169" s="87"/>
      <c r="V169" s="23"/>
      <c r="W169" s="23"/>
      <c r="X169" s="87"/>
      <c r="Y169" s="87"/>
      <c r="Z169" s="23"/>
      <c r="AA169" s="23"/>
      <c r="AB169" s="87"/>
      <c r="AC169" s="87"/>
      <c r="AD169" s="23"/>
      <c r="AE169" s="23"/>
      <c r="AF169" s="87"/>
      <c r="AG169" s="87"/>
      <c r="AH169" s="23"/>
      <c r="AI169" s="23"/>
      <c r="AJ169" s="24"/>
      <c r="AK169" s="24"/>
      <c r="AL169" s="25"/>
      <c r="AM169" s="25"/>
      <c r="AN169" s="26"/>
      <c r="AO169" s="78"/>
    </row>
    <row r="170" spans="1:41" s="110" customFormat="1">
      <c r="A170" s="213" t="s">
        <v>120</v>
      </c>
      <c r="B170" s="330">
        <v>91117290437</v>
      </c>
      <c r="C170" s="331">
        <v>107.59</v>
      </c>
      <c r="D170" s="330">
        <v>91117290437</v>
      </c>
      <c r="E170" s="331">
        <v>107.59</v>
      </c>
      <c r="F170" s="23">
        <f>((D170-B170)/B170)</f>
        <v>0</v>
      </c>
      <c r="G170" s="23">
        <f>((E170-C170)/C170)</f>
        <v>0</v>
      </c>
      <c r="H170" s="330">
        <v>91117290437</v>
      </c>
      <c r="I170" s="331">
        <v>107.59</v>
      </c>
      <c r="J170" s="23">
        <f>((H170-D170)/D170)</f>
        <v>0</v>
      </c>
      <c r="K170" s="23">
        <f>((I170-E170)/E170)</f>
        <v>0</v>
      </c>
      <c r="L170" s="330">
        <v>91117290437</v>
      </c>
      <c r="M170" s="331">
        <v>107.59</v>
      </c>
      <c r="N170" s="23">
        <f>((L170-H170)/H170)</f>
        <v>0</v>
      </c>
      <c r="O170" s="23">
        <f>((M170-I170)/I170)</f>
        <v>0</v>
      </c>
      <c r="P170" s="330">
        <v>91842597312</v>
      </c>
      <c r="Q170" s="331">
        <v>107.59</v>
      </c>
      <c r="R170" s="23">
        <f>((P170-L170)/L170)</f>
        <v>7.9601453414759864E-3</v>
      </c>
      <c r="S170" s="23">
        <f>((Q170-M170)/M170)</f>
        <v>0</v>
      </c>
      <c r="T170" s="330">
        <v>91842597312</v>
      </c>
      <c r="U170" s="331">
        <v>107.58</v>
      </c>
      <c r="V170" s="23">
        <f>((T170-P170)/P170)</f>
        <v>0</v>
      </c>
      <c r="W170" s="23">
        <f>((U170-Q170)/Q170)</f>
        <v>-9.2945441026165212E-5</v>
      </c>
      <c r="X170" s="330">
        <v>91842597312</v>
      </c>
      <c r="Y170" s="331">
        <v>107.58</v>
      </c>
      <c r="Z170" s="23">
        <f>((X170-T170)/T170)</f>
        <v>0</v>
      </c>
      <c r="AA170" s="23">
        <f>((Y170-U170)/U170)</f>
        <v>0</v>
      </c>
      <c r="AB170" s="330">
        <v>91842597312</v>
      </c>
      <c r="AC170" s="331">
        <v>107.58</v>
      </c>
      <c r="AD170" s="23">
        <f>((AB170-X170)/X170)</f>
        <v>0</v>
      </c>
      <c r="AE170" s="23">
        <f>((AC170-Y170)/Y170)</f>
        <v>0</v>
      </c>
      <c r="AF170" s="330">
        <v>91842597312</v>
      </c>
      <c r="AG170" s="331">
        <v>107.58</v>
      </c>
      <c r="AH170" s="23">
        <f>((AF170-AB170)/AB170)</f>
        <v>0</v>
      </c>
      <c r="AI170" s="23">
        <f>((AG170-AC170)/AC170)</f>
        <v>0</v>
      </c>
      <c r="AJ170" s="24">
        <f t="shared" si="127"/>
        <v>9.9501816768449831E-4</v>
      </c>
      <c r="AK170" s="24">
        <f t="shared" si="128"/>
        <v>-1.1618180128270651E-5</v>
      </c>
      <c r="AL170" s="25">
        <f t="shared" si="129"/>
        <v>7.9601453414759864E-3</v>
      </c>
      <c r="AM170" s="25">
        <f t="shared" si="130"/>
        <v>-9.2945441026165212E-5</v>
      </c>
      <c r="AN170" s="26">
        <f t="shared" si="131"/>
        <v>2.8143363750940879E-3</v>
      </c>
      <c r="AO170" s="78">
        <f t="shared" si="132"/>
        <v>3.2861175814987876E-5</v>
      </c>
    </row>
    <row r="171" spans="1:41" s="110" customFormat="1">
      <c r="A171" s="213" t="s">
        <v>249</v>
      </c>
      <c r="B171" s="330">
        <v>2197210654</v>
      </c>
      <c r="C171" s="332">
        <v>1000000</v>
      </c>
      <c r="D171" s="330">
        <v>2203163427.9299998</v>
      </c>
      <c r="E171" s="332">
        <v>1000000</v>
      </c>
      <c r="F171" s="23">
        <f>((D171-B171)/B171)</f>
        <v>2.7092413370392423E-3</v>
      </c>
      <c r="G171" s="23">
        <f>((E171-C171)/C171)</f>
        <v>0</v>
      </c>
      <c r="H171" s="330">
        <v>2209966597.8499999</v>
      </c>
      <c r="I171" s="332">
        <v>1000000</v>
      </c>
      <c r="J171" s="23">
        <f>((H171-D171)/D171)</f>
        <v>3.0879097908737755E-3</v>
      </c>
      <c r="K171" s="23">
        <f>((I171-E171)/E171)</f>
        <v>0</v>
      </c>
      <c r="L171" s="330">
        <v>2215068975.3000002</v>
      </c>
      <c r="M171" s="332">
        <v>1000000</v>
      </c>
      <c r="N171" s="23">
        <f>((L171-H171)/H171)</f>
        <v>2.3088029723907196E-3</v>
      </c>
      <c r="O171" s="23">
        <f>((M171-I171)/I171)</f>
        <v>0</v>
      </c>
      <c r="P171" s="330">
        <v>2221872145.2199998</v>
      </c>
      <c r="Q171" s="332">
        <v>1000000</v>
      </c>
      <c r="R171" s="23">
        <f>((P171-L171)/L171)</f>
        <v>3.0713129007994911E-3</v>
      </c>
      <c r="S171" s="23">
        <f>((Q171-M171)/M171)</f>
        <v>0</v>
      </c>
      <c r="T171" s="330">
        <v>2227824918.9099998</v>
      </c>
      <c r="U171" s="332">
        <v>1000000</v>
      </c>
      <c r="V171" s="23">
        <f>((T171-P171)/P171)</f>
        <v>2.6791702226460199E-3</v>
      </c>
      <c r="W171" s="23">
        <f>((U171-Q171)/Q171)</f>
        <v>0</v>
      </c>
      <c r="X171" s="330">
        <v>2232927296.3499999</v>
      </c>
      <c r="Y171" s="332">
        <v>1000000</v>
      </c>
      <c r="Z171" s="23">
        <f>((X171-T171)/T171)</f>
        <v>2.2902955239842097E-3</v>
      </c>
      <c r="AA171" s="23">
        <f>((Y171-U171)/U171)</f>
        <v>0</v>
      </c>
      <c r="AB171" s="330">
        <v>2238880070.04</v>
      </c>
      <c r="AC171" s="332">
        <v>1000000</v>
      </c>
      <c r="AD171" s="23">
        <f>((AB171-X171)/X171)</f>
        <v>2.6659057371597426E-3</v>
      </c>
      <c r="AE171" s="23">
        <f>((AC171-Y171)/Y171)</f>
        <v>0</v>
      </c>
      <c r="AF171" s="330">
        <v>2244832843.7199998</v>
      </c>
      <c r="AG171" s="332">
        <v>1000000</v>
      </c>
      <c r="AH171" s="23">
        <f>((AF171-AB171)/AB171)</f>
        <v>2.6588175756522216E-3</v>
      </c>
      <c r="AI171" s="23">
        <f>((AG171-AC171)/AC171)</f>
        <v>0</v>
      </c>
      <c r="AJ171" s="24">
        <f t="shared" si="127"/>
        <v>2.6839320075681774E-3</v>
      </c>
      <c r="AK171" s="24">
        <f t="shared" si="128"/>
        <v>0</v>
      </c>
      <c r="AL171" s="25">
        <f t="shared" si="129"/>
        <v>1.8913447482718431E-2</v>
      </c>
      <c r="AM171" s="25">
        <f t="shared" si="130"/>
        <v>0</v>
      </c>
      <c r="AN171" s="26">
        <f t="shared" si="131"/>
        <v>2.9533332208974024E-4</v>
      </c>
      <c r="AO171" s="78">
        <f t="shared" si="132"/>
        <v>0</v>
      </c>
    </row>
    <row r="172" spans="1:41" s="110" customFormat="1">
      <c r="A172" s="208" t="s">
        <v>42</v>
      </c>
      <c r="B172" s="77">
        <f>SUM(B170:B171)</f>
        <v>93314501091</v>
      </c>
      <c r="C172" s="87"/>
      <c r="D172" s="77">
        <f>SUM(D170:D171)</f>
        <v>93320453864.929993</v>
      </c>
      <c r="E172" s="87"/>
      <c r="F172" s="23"/>
      <c r="G172" s="23"/>
      <c r="H172" s="77">
        <f>SUM(H170:H171)</f>
        <v>93327257034.850006</v>
      </c>
      <c r="I172" s="87"/>
      <c r="J172" s="23"/>
      <c r="K172" s="23"/>
      <c r="L172" s="77">
        <f>SUM(L170:L171)</f>
        <v>93332359412.300003</v>
      </c>
      <c r="M172" s="87"/>
      <c r="N172" s="23"/>
      <c r="O172" s="23"/>
      <c r="P172" s="77">
        <f>SUM(P170:P171)</f>
        <v>94064469457.220001</v>
      </c>
      <c r="Q172" s="87"/>
      <c r="R172" s="23"/>
      <c r="S172" s="23"/>
      <c r="T172" s="77">
        <f>SUM(T170:T171)</f>
        <v>94070422230.910004</v>
      </c>
      <c r="U172" s="87"/>
      <c r="V172" s="23"/>
      <c r="W172" s="23"/>
      <c r="X172" s="77">
        <f>SUM(X170:X171)</f>
        <v>94075524608.350006</v>
      </c>
      <c r="Y172" s="87"/>
      <c r="Z172" s="23"/>
      <c r="AA172" s="23"/>
      <c r="AB172" s="77">
        <f>SUM(AB170:AB171)</f>
        <v>94081477382.039993</v>
      </c>
      <c r="AC172" s="87"/>
      <c r="AD172" s="23"/>
      <c r="AE172" s="23"/>
      <c r="AF172" s="77">
        <f>SUM(AF170:AF171)</f>
        <v>94087430155.720001</v>
      </c>
      <c r="AG172" s="87"/>
      <c r="AH172" s="23"/>
      <c r="AI172" s="23"/>
      <c r="AJ172" s="24"/>
      <c r="AK172" s="24"/>
      <c r="AL172" s="25"/>
      <c r="AM172" s="25"/>
      <c r="AN172" s="26"/>
      <c r="AO172" s="78"/>
    </row>
    <row r="173" spans="1:41" ht="6" customHeight="1">
      <c r="A173" s="207"/>
      <c r="B173" s="87"/>
      <c r="C173" s="87"/>
      <c r="D173" s="87"/>
      <c r="E173" s="87"/>
      <c r="F173" s="23"/>
      <c r="G173" s="23"/>
      <c r="H173" s="87"/>
      <c r="I173" s="87"/>
      <c r="J173" s="23"/>
      <c r="K173" s="23"/>
      <c r="L173" s="87"/>
      <c r="M173" s="87"/>
      <c r="N173" s="23"/>
      <c r="O173" s="23"/>
      <c r="P173" s="87"/>
      <c r="Q173" s="87"/>
      <c r="R173" s="23"/>
      <c r="S173" s="23"/>
      <c r="T173" s="87"/>
      <c r="U173" s="87"/>
      <c r="V173" s="23"/>
      <c r="W173" s="23"/>
      <c r="X173" s="87"/>
      <c r="Y173" s="87"/>
      <c r="Z173" s="23"/>
      <c r="AA173" s="23"/>
      <c r="AB173" s="87"/>
      <c r="AC173" s="87"/>
      <c r="AD173" s="23"/>
      <c r="AE173" s="23"/>
      <c r="AF173" s="87"/>
      <c r="AG173" s="87"/>
      <c r="AH173" s="23"/>
      <c r="AI173" s="23"/>
      <c r="AJ173" s="24"/>
      <c r="AK173" s="24"/>
      <c r="AL173" s="25"/>
      <c r="AM173" s="25"/>
      <c r="AN173" s="26"/>
      <c r="AO173" s="78"/>
    </row>
    <row r="174" spans="1:41" ht="25.5">
      <c r="A174" s="203" t="s">
        <v>46</v>
      </c>
      <c r="B174" s="81" t="s">
        <v>73</v>
      </c>
      <c r="C174" s="82" t="s">
        <v>74</v>
      </c>
      <c r="D174" s="459" t="s">
        <v>266</v>
      </c>
      <c r="E174" s="459"/>
      <c r="F174" s="375" t="s">
        <v>59</v>
      </c>
      <c r="G174" s="375" t="s">
        <v>3</v>
      </c>
      <c r="H174" s="459" t="s">
        <v>267</v>
      </c>
      <c r="I174" s="459"/>
      <c r="J174" s="376" t="s">
        <v>59</v>
      </c>
      <c r="K174" s="376" t="s">
        <v>3</v>
      </c>
      <c r="L174" s="459" t="s">
        <v>272</v>
      </c>
      <c r="M174" s="459"/>
      <c r="N174" s="386" t="s">
        <v>59</v>
      </c>
      <c r="O174" s="386" t="s">
        <v>3</v>
      </c>
      <c r="P174" s="459" t="s">
        <v>277</v>
      </c>
      <c r="Q174" s="459"/>
      <c r="R174" s="389" t="s">
        <v>59</v>
      </c>
      <c r="S174" s="389" t="s">
        <v>3</v>
      </c>
      <c r="T174" s="459" t="s">
        <v>278</v>
      </c>
      <c r="U174" s="459"/>
      <c r="V174" s="390" t="s">
        <v>59</v>
      </c>
      <c r="W174" s="390" t="s">
        <v>3</v>
      </c>
      <c r="X174" s="459" t="s">
        <v>279</v>
      </c>
      <c r="Y174" s="459"/>
      <c r="Z174" s="391" t="s">
        <v>59</v>
      </c>
      <c r="AA174" s="391" t="s">
        <v>3</v>
      </c>
      <c r="AB174" s="459" t="s">
        <v>281</v>
      </c>
      <c r="AC174" s="459"/>
      <c r="AD174" s="393" t="s">
        <v>59</v>
      </c>
      <c r="AE174" s="393" t="s">
        <v>3</v>
      </c>
      <c r="AF174" s="459" t="s">
        <v>284</v>
      </c>
      <c r="AG174" s="459"/>
      <c r="AH174" s="406" t="s">
        <v>59</v>
      </c>
      <c r="AI174" s="406" t="s">
        <v>3</v>
      </c>
      <c r="AJ174" s="309" t="s">
        <v>78</v>
      </c>
      <c r="AK174" s="309" t="s">
        <v>78</v>
      </c>
      <c r="AL174" s="309" t="s">
        <v>78</v>
      </c>
      <c r="AM174" s="309" t="s">
        <v>78</v>
      </c>
      <c r="AN174" s="15" t="s">
        <v>78</v>
      </c>
      <c r="AO174" s="16" t="s">
        <v>78</v>
      </c>
    </row>
    <row r="175" spans="1:41">
      <c r="A175" s="207" t="s">
        <v>144</v>
      </c>
      <c r="B175" s="328">
        <v>553131704.53999996</v>
      </c>
      <c r="C175" s="332">
        <v>132.32</v>
      </c>
      <c r="D175" s="328">
        <v>534424296.64041394</v>
      </c>
      <c r="E175" s="332">
        <v>126.01</v>
      </c>
      <c r="F175" s="23">
        <f>((D175-B175)/B175)</f>
        <v>-3.3820892467452457E-2</v>
      </c>
      <c r="G175" s="23">
        <f>((E175-C175)/C175)</f>
        <v>-4.7687424425634735E-2</v>
      </c>
      <c r="H175" s="328">
        <v>522593453.18064034</v>
      </c>
      <c r="I175" s="332">
        <v>123.28</v>
      </c>
      <c r="J175" s="23">
        <f t="shared" ref="J175:J186" si="157">((H175-D175)/D175)</f>
        <v>-2.2137547888721746E-2</v>
      </c>
      <c r="K175" s="23">
        <f t="shared" ref="K175:K186" si="158">((I175-E175)/E175)</f>
        <v>-2.1664947226410634E-2</v>
      </c>
      <c r="L175" s="328">
        <v>513771136.80759794</v>
      </c>
      <c r="M175" s="332">
        <v>121.25</v>
      </c>
      <c r="N175" s="23">
        <f t="shared" ref="N175:N186" si="159">((L175-H175)/H175)</f>
        <v>-1.6881796584606028E-2</v>
      </c>
      <c r="O175" s="23">
        <f t="shared" ref="O175:O186" si="160">((M175-I175)/I175)</f>
        <v>-1.6466580142764448E-2</v>
      </c>
      <c r="P175" s="328">
        <v>510722655.90194839</v>
      </c>
      <c r="Q175" s="332">
        <v>120.55</v>
      </c>
      <c r="R175" s="23">
        <f t="shared" ref="R175:R186" si="161">((P175-L175)/L175)</f>
        <v>-5.9335386658576888E-3</v>
      </c>
      <c r="S175" s="23">
        <f t="shared" ref="S175:S186" si="162">((Q175-M175)/M175)</f>
        <v>-5.7731958762886832E-3</v>
      </c>
      <c r="T175" s="328">
        <v>522098857.57276869</v>
      </c>
      <c r="U175" s="332">
        <v>123.17</v>
      </c>
      <c r="V175" s="23">
        <f t="shared" ref="V175:V186" si="163">((T175-P175)/P175)</f>
        <v>2.2274715130327735E-2</v>
      </c>
      <c r="W175" s="23">
        <f t="shared" ref="W175:W186" si="164">((U175-Q175)/Q175)</f>
        <v>2.1733720447946948E-2</v>
      </c>
      <c r="X175" s="328">
        <v>519525167.3496632</v>
      </c>
      <c r="Y175" s="332">
        <v>122.58</v>
      </c>
      <c r="Z175" s="23">
        <f t="shared" ref="Z175:Z186" si="165">((X175-T175)/T175)</f>
        <v>-4.9295074788528459E-3</v>
      </c>
      <c r="AA175" s="23">
        <f t="shared" ref="AA175:AA186" si="166">((Y175-U175)/U175)</f>
        <v>-4.7901274661037866E-3</v>
      </c>
      <c r="AB175" s="328">
        <v>532510880.30853528</v>
      </c>
      <c r="AC175" s="332">
        <v>122.6</v>
      </c>
      <c r="AD175" s="23">
        <f t="shared" ref="AD175:AD186" si="167">((AB175-X175)/X175)</f>
        <v>2.4995349166852057E-2</v>
      </c>
      <c r="AE175" s="23">
        <f t="shared" ref="AE175:AE186" si="168">((AC175-Y175)/Y175)</f>
        <v>1.6315875346709105E-4</v>
      </c>
      <c r="AF175" s="328">
        <v>544522719.61999989</v>
      </c>
      <c r="AG175" s="332">
        <v>125.36</v>
      </c>
      <c r="AH175" s="23">
        <f t="shared" ref="AH175:AH186" si="169">((AF175-AB175)/AB175)</f>
        <v>2.2556983820696739E-2</v>
      </c>
      <c r="AI175" s="23">
        <f t="shared" ref="AI175:AI186" si="170">((AG175-AC175)/AC175)</f>
        <v>2.2512234910277366E-2</v>
      </c>
      <c r="AJ175" s="24">
        <f t="shared" ref="AJ175" si="171">AVERAGE(F175,J175,N175,R175,V175,Z175,AD175,AH175)</f>
        <v>-1.7345293709517796E-3</v>
      </c>
      <c r="AK175" s="24">
        <f t="shared" ref="AK175" si="172">AVERAGE(G175,K175,O175,S175,W175,AA175,AE175,AI175)</f>
        <v>-6.4966451281888602E-3</v>
      </c>
      <c r="AL175" s="25">
        <f t="shared" ref="AL175" si="173">((AF175-D175)/D175)</f>
        <v>1.88958904807815E-2</v>
      </c>
      <c r="AM175" s="25">
        <f t="shared" ref="AM175" si="174">((AG175-E175)/E175)</f>
        <v>-5.1583207681930457E-3</v>
      </c>
      <c r="AN175" s="26">
        <f t="shared" ref="AN175" si="175">STDEV(F175,J175,N175,R175,V175,Z175,AD175,AH175)</f>
        <v>2.2627748360034991E-2</v>
      </c>
      <c r="AO175" s="78">
        <f t="shared" ref="AO175" si="176">STDEV(G175,K175,O175,S175,W175,AA175,AE175,AI175)</f>
        <v>2.302921908796449E-2</v>
      </c>
    </row>
    <row r="176" spans="1:41">
      <c r="A176" s="207" t="s">
        <v>47</v>
      </c>
      <c r="B176" s="328">
        <v>572316712.51999998</v>
      </c>
      <c r="C176" s="332">
        <v>17.14</v>
      </c>
      <c r="D176" s="328">
        <v>568512701.44000006</v>
      </c>
      <c r="E176" s="332">
        <v>17.02</v>
      </c>
      <c r="F176" s="23">
        <f>((D176-B176)/B176)</f>
        <v>-6.6466887944793152E-3</v>
      </c>
      <c r="G176" s="23">
        <f>((E176-C176)/C176)</f>
        <v>-7.0011668611435814E-3</v>
      </c>
      <c r="H176" s="328">
        <v>568512701.44000006</v>
      </c>
      <c r="I176" s="332">
        <v>17.02</v>
      </c>
      <c r="J176" s="23">
        <f t="shared" si="157"/>
        <v>0</v>
      </c>
      <c r="K176" s="23">
        <f t="shared" si="158"/>
        <v>0</v>
      </c>
      <c r="L176" s="328">
        <v>553524771.50999999</v>
      </c>
      <c r="M176" s="332">
        <v>16.57</v>
      </c>
      <c r="N176" s="23">
        <f t="shared" si="159"/>
        <v>-2.6363403829038057E-2</v>
      </c>
      <c r="O176" s="23">
        <f t="shared" si="160"/>
        <v>-2.643948296122205E-2</v>
      </c>
      <c r="P176" s="328">
        <v>547280767.50999999</v>
      </c>
      <c r="Q176" s="332">
        <v>16.39</v>
      </c>
      <c r="R176" s="23">
        <f t="shared" si="161"/>
        <v>-1.1280441854420594E-2</v>
      </c>
      <c r="S176" s="23">
        <f t="shared" si="162"/>
        <v>-1.0863005431502698E-2</v>
      </c>
      <c r="T176" s="328">
        <v>557400845.73000002</v>
      </c>
      <c r="U176" s="332">
        <v>16.690000000000001</v>
      </c>
      <c r="V176" s="23">
        <f t="shared" si="163"/>
        <v>1.8491565610909418E-2</v>
      </c>
      <c r="W176" s="23">
        <f t="shared" si="164"/>
        <v>1.8303843807199554E-2</v>
      </c>
      <c r="X176" s="328">
        <v>557626122.53999996</v>
      </c>
      <c r="Y176" s="332">
        <v>16.7</v>
      </c>
      <c r="Z176" s="23">
        <f t="shared" si="165"/>
        <v>4.0415584534126244E-4</v>
      </c>
      <c r="AA176" s="23">
        <f t="shared" si="166"/>
        <v>5.9916117435578249E-4</v>
      </c>
      <c r="AB176" s="328">
        <v>567033998.29999995</v>
      </c>
      <c r="AC176" s="332">
        <v>16.98</v>
      </c>
      <c r="AD176" s="23">
        <f t="shared" si="167"/>
        <v>1.6871296698129739E-2</v>
      </c>
      <c r="AE176" s="23">
        <f t="shared" si="168"/>
        <v>1.6766467065868332E-2</v>
      </c>
      <c r="AF176" s="328">
        <v>563554352.36000001</v>
      </c>
      <c r="AG176" s="332">
        <v>16.87</v>
      </c>
      <c r="AH176" s="23">
        <f t="shared" si="169"/>
        <v>-6.136573733554097E-3</v>
      </c>
      <c r="AI176" s="23">
        <f t="shared" si="170"/>
        <v>-6.4782096584216388E-3</v>
      </c>
      <c r="AJ176" s="24">
        <f t="shared" ref="AJ176:AJ188" si="177">AVERAGE(F176,J176,N176,R176,V176,Z176,AD176,AH176)</f>
        <v>-1.8325112571389555E-3</v>
      </c>
      <c r="AK176" s="24">
        <f t="shared" ref="AK176:AK188" si="178">AVERAGE(G176,K176,O176,S176,W176,AA176,AE176,AI176)</f>
        <v>-1.8890491081082869E-3</v>
      </c>
      <c r="AL176" s="25">
        <f t="shared" ref="AL176:AL188" si="179">((AF176-D176)/D176)</f>
        <v>-8.721615308577832E-3</v>
      </c>
      <c r="AM176" s="25">
        <f t="shared" ref="AM176:AM188" si="180">((AG176-E176)/E176)</f>
        <v>-8.8131609870739473E-3</v>
      </c>
      <c r="AN176" s="26">
        <f t="shared" ref="AN176:AN188" si="181">STDEV(F176,J176,N176,R176,V176,Z176,AD176,AH176)</f>
        <v>1.4657960547613673E-2</v>
      </c>
      <c r="AO176" s="78">
        <f t="shared" ref="AO176:AO188" si="182">STDEV(G176,K176,O176,S176,W176,AA176,AE176,AI176)</f>
        <v>1.4618924828048614E-2</v>
      </c>
    </row>
    <row r="177" spans="1:41">
      <c r="A177" s="207" t="s">
        <v>188</v>
      </c>
      <c r="B177" s="328">
        <v>177977078.88999999</v>
      </c>
      <c r="C177" s="332">
        <v>17.5</v>
      </c>
      <c r="D177" s="328">
        <v>183042398.15000001</v>
      </c>
      <c r="E177" s="332">
        <v>17.5</v>
      </c>
      <c r="F177" s="23">
        <f>((D177-B177)/B177)</f>
        <v>2.8460514643746215E-2</v>
      </c>
      <c r="G177" s="23">
        <f>((E177-C177)/C177)</f>
        <v>0</v>
      </c>
      <c r="H177" s="328">
        <v>183188777.75999999</v>
      </c>
      <c r="I177" s="332">
        <v>17.5</v>
      </c>
      <c r="J177" s="23">
        <f t="shared" si="157"/>
        <v>7.9970330087146806E-4</v>
      </c>
      <c r="K177" s="23">
        <f t="shared" si="158"/>
        <v>0</v>
      </c>
      <c r="L177" s="328">
        <v>181486603.66</v>
      </c>
      <c r="M177" s="332">
        <v>17.5</v>
      </c>
      <c r="N177" s="23">
        <f t="shared" si="159"/>
        <v>-9.2919125331468351E-3</v>
      </c>
      <c r="O177" s="23">
        <f t="shared" si="160"/>
        <v>0</v>
      </c>
      <c r="P177" s="328">
        <v>181486603.66</v>
      </c>
      <c r="Q177" s="332">
        <v>17.5</v>
      </c>
      <c r="R177" s="23">
        <f t="shared" si="161"/>
        <v>0</v>
      </c>
      <c r="S177" s="23">
        <f t="shared" si="162"/>
        <v>0</v>
      </c>
      <c r="T177" s="328">
        <v>183224591.63</v>
      </c>
      <c r="U177" s="332">
        <v>17.5</v>
      </c>
      <c r="V177" s="23">
        <f t="shared" si="163"/>
        <v>9.5763981194775909E-3</v>
      </c>
      <c r="W177" s="23">
        <f t="shared" si="164"/>
        <v>0</v>
      </c>
      <c r="X177" s="328">
        <v>180605396.69</v>
      </c>
      <c r="Y177" s="332">
        <v>17.5</v>
      </c>
      <c r="Z177" s="23">
        <f t="shared" si="165"/>
        <v>-1.4294996739788873E-2</v>
      </c>
      <c r="AA177" s="23">
        <f t="shared" si="166"/>
        <v>0</v>
      </c>
      <c r="AB177" s="328">
        <v>186707605.55000001</v>
      </c>
      <c r="AC177" s="332">
        <v>17.5</v>
      </c>
      <c r="AD177" s="23">
        <f t="shared" si="167"/>
        <v>3.37875222547981E-2</v>
      </c>
      <c r="AE177" s="23">
        <f t="shared" si="168"/>
        <v>0</v>
      </c>
      <c r="AF177" s="328">
        <v>195954258.77000001</v>
      </c>
      <c r="AG177" s="332">
        <v>17.5</v>
      </c>
      <c r="AH177" s="23">
        <f t="shared" si="169"/>
        <v>4.9524780700611358E-2</v>
      </c>
      <c r="AI177" s="23">
        <f t="shared" si="170"/>
        <v>0</v>
      </c>
      <c r="AJ177" s="24">
        <f t="shared" si="177"/>
        <v>1.2320251218321129E-2</v>
      </c>
      <c r="AK177" s="24">
        <f t="shared" si="178"/>
        <v>0</v>
      </c>
      <c r="AL177" s="25">
        <f t="shared" si="179"/>
        <v>7.0540272365853529E-2</v>
      </c>
      <c r="AM177" s="25">
        <f t="shared" si="180"/>
        <v>0</v>
      </c>
      <c r="AN177" s="26">
        <f t="shared" si="181"/>
        <v>2.2592749258224593E-2</v>
      </c>
      <c r="AO177" s="78">
        <f t="shared" si="182"/>
        <v>0</v>
      </c>
    </row>
    <row r="178" spans="1:41">
      <c r="A178" s="207" t="s">
        <v>187</v>
      </c>
      <c r="B178" s="328">
        <v>223248121.65000001</v>
      </c>
      <c r="C178" s="332">
        <v>16.5</v>
      </c>
      <c r="D178" s="328">
        <v>242419943.75</v>
      </c>
      <c r="E178" s="332">
        <v>16.5</v>
      </c>
      <c r="F178" s="23">
        <f>((D178-B178)/B178)</f>
        <v>8.5876745382238218E-2</v>
      </c>
      <c r="G178" s="23">
        <f>((E178-C178)/C178)</f>
        <v>0</v>
      </c>
      <c r="H178" s="328">
        <v>240333063.61000001</v>
      </c>
      <c r="I178" s="332">
        <v>16.5</v>
      </c>
      <c r="J178" s="23">
        <f t="shared" si="157"/>
        <v>-8.6085332242800908E-3</v>
      </c>
      <c r="K178" s="23">
        <f t="shared" si="158"/>
        <v>0</v>
      </c>
      <c r="L178" s="328">
        <v>235456652.36000001</v>
      </c>
      <c r="M178" s="332">
        <v>16.5</v>
      </c>
      <c r="N178" s="23">
        <f t="shared" si="159"/>
        <v>-2.0290222147349591E-2</v>
      </c>
      <c r="O178" s="23">
        <f t="shared" si="160"/>
        <v>0</v>
      </c>
      <c r="P178" s="328">
        <v>235456652.36000001</v>
      </c>
      <c r="Q178" s="332">
        <v>16.5</v>
      </c>
      <c r="R178" s="23">
        <f t="shared" si="161"/>
        <v>0</v>
      </c>
      <c r="S178" s="23">
        <f t="shared" si="162"/>
        <v>0</v>
      </c>
      <c r="T178" s="328">
        <v>240711278.88999999</v>
      </c>
      <c r="U178" s="332">
        <v>16.5</v>
      </c>
      <c r="V178" s="23">
        <f t="shared" si="163"/>
        <v>2.2316746956743197E-2</v>
      </c>
      <c r="W178" s="23">
        <f t="shared" si="164"/>
        <v>0</v>
      </c>
      <c r="X178" s="328">
        <v>264482468.94999999</v>
      </c>
      <c r="Y178" s="332">
        <v>16.5</v>
      </c>
      <c r="Z178" s="23">
        <f t="shared" si="165"/>
        <v>9.8753951911256049E-2</v>
      </c>
      <c r="AA178" s="23">
        <f t="shared" si="166"/>
        <v>0</v>
      </c>
      <c r="AB178" s="328">
        <v>262104061.47</v>
      </c>
      <c r="AC178" s="332">
        <v>16.5</v>
      </c>
      <c r="AD178" s="23">
        <f t="shared" si="167"/>
        <v>-8.9926848060754589E-3</v>
      </c>
      <c r="AE178" s="23">
        <f t="shared" si="168"/>
        <v>0</v>
      </c>
      <c r="AF178" s="328">
        <v>266393963.72</v>
      </c>
      <c r="AG178" s="332">
        <v>16.5</v>
      </c>
      <c r="AH178" s="23">
        <f t="shared" si="169"/>
        <v>1.6367171977192025E-2</v>
      </c>
      <c r="AI178" s="23">
        <f t="shared" si="170"/>
        <v>0</v>
      </c>
      <c r="AJ178" s="24">
        <f t="shared" si="177"/>
        <v>2.3177897006215545E-2</v>
      </c>
      <c r="AK178" s="24">
        <f t="shared" si="178"/>
        <v>0</v>
      </c>
      <c r="AL178" s="25">
        <f t="shared" si="179"/>
        <v>9.8894585978139021E-2</v>
      </c>
      <c r="AM178" s="25">
        <f t="shared" si="180"/>
        <v>0</v>
      </c>
      <c r="AN178" s="26">
        <f t="shared" si="181"/>
        <v>4.4979406384377092E-2</v>
      </c>
      <c r="AO178" s="78">
        <f t="shared" si="182"/>
        <v>0</v>
      </c>
    </row>
    <row r="179" spans="1:41">
      <c r="A179" s="207" t="s">
        <v>32</v>
      </c>
      <c r="B179" s="328">
        <v>592717800</v>
      </c>
      <c r="C179" s="332">
        <v>11100</v>
      </c>
      <c r="D179" s="328">
        <v>592717800</v>
      </c>
      <c r="E179" s="332">
        <v>11100</v>
      </c>
      <c r="F179" s="23">
        <f>((D179-B179)/B179)</f>
        <v>0</v>
      </c>
      <c r="G179" s="23">
        <f>((E179-C179)/C179)</f>
        <v>0</v>
      </c>
      <c r="H179" s="328">
        <v>661601220</v>
      </c>
      <c r="I179" s="332">
        <v>12390</v>
      </c>
      <c r="J179" s="23">
        <f t="shared" si="157"/>
        <v>0.11621621621621622</v>
      </c>
      <c r="K179" s="23">
        <f t="shared" si="158"/>
        <v>0.11621621621621622</v>
      </c>
      <c r="L179" s="328">
        <v>640776000</v>
      </c>
      <c r="M179" s="332">
        <v>12000</v>
      </c>
      <c r="N179" s="23">
        <f t="shared" si="159"/>
        <v>-3.1476997578692496E-2</v>
      </c>
      <c r="O179" s="23">
        <f t="shared" si="160"/>
        <v>-3.1476997578692496E-2</v>
      </c>
      <c r="P179" s="328">
        <v>592718333.98000002</v>
      </c>
      <c r="Q179" s="332">
        <v>11100.01</v>
      </c>
      <c r="R179" s="23">
        <f t="shared" si="161"/>
        <v>-7.4999166666666631E-2</v>
      </c>
      <c r="S179" s="23">
        <f t="shared" si="162"/>
        <v>-7.4999166666666645E-2</v>
      </c>
      <c r="T179" s="328">
        <v>656795400</v>
      </c>
      <c r="U179" s="332">
        <v>12300</v>
      </c>
      <c r="V179" s="23">
        <f t="shared" si="163"/>
        <v>0.10810710981341455</v>
      </c>
      <c r="W179" s="23">
        <f t="shared" si="164"/>
        <v>0.10810710981341456</v>
      </c>
      <c r="X179" s="328">
        <v>614077000</v>
      </c>
      <c r="Y179" s="332">
        <v>11500</v>
      </c>
      <c r="Z179" s="23">
        <f t="shared" si="165"/>
        <v>-6.5040650406504072E-2</v>
      </c>
      <c r="AA179" s="23">
        <f t="shared" si="166"/>
        <v>-6.5040650406504072E-2</v>
      </c>
      <c r="AB179" s="328">
        <v>1067959466.02</v>
      </c>
      <c r="AC179" s="332">
        <v>19999.990000000002</v>
      </c>
      <c r="AD179" s="23">
        <f t="shared" si="167"/>
        <v>0.73912956521739126</v>
      </c>
      <c r="AE179" s="23">
        <f t="shared" si="168"/>
        <v>0.73912956521739148</v>
      </c>
      <c r="AF179" s="328">
        <v>656838118.39999998</v>
      </c>
      <c r="AG179" s="332">
        <v>12300.8</v>
      </c>
      <c r="AH179" s="23">
        <f t="shared" si="169"/>
        <v>-0.38495969247984624</v>
      </c>
      <c r="AI179" s="23">
        <f t="shared" si="170"/>
        <v>-0.38495969247984635</v>
      </c>
      <c r="AJ179" s="24">
        <f t="shared" si="177"/>
        <v>5.0872048014414077E-2</v>
      </c>
      <c r="AK179" s="24">
        <f t="shared" si="178"/>
        <v>5.0872048014414091E-2</v>
      </c>
      <c r="AL179" s="25">
        <f t="shared" si="179"/>
        <v>0.10818018018018014</v>
      </c>
      <c r="AM179" s="25">
        <f t="shared" si="180"/>
        <v>0.10818018018018011</v>
      </c>
      <c r="AN179" s="26">
        <f t="shared" si="181"/>
        <v>0.31844310448214169</v>
      </c>
      <c r="AO179" s="78">
        <f t="shared" si="182"/>
        <v>0.31844310448214175</v>
      </c>
    </row>
    <row r="180" spans="1:41">
      <c r="A180" s="207" t="s">
        <v>95</v>
      </c>
      <c r="B180" s="328">
        <v>641981664.67999995</v>
      </c>
      <c r="C180" s="332">
        <v>80</v>
      </c>
      <c r="D180" s="328">
        <v>646833903.70000005</v>
      </c>
      <c r="E180" s="332">
        <v>80</v>
      </c>
      <c r="F180" s="23">
        <f>((D180-B180)/B180)</f>
        <v>7.5582205644747361E-3</v>
      </c>
      <c r="G180" s="23">
        <f>((E180-C180)/C180)</f>
        <v>0</v>
      </c>
      <c r="H180" s="328">
        <v>638580769.52999997</v>
      </c>
      <c r="I180" s="332">
        <v>73</v>
      </c>
      <c r="J180" s="23">
        <f t="shared" si="157"/>
        <v>-1.2759278885647063E-2</v>
      </c>
      <c r="K180" s="23">
        <f t="shared" si="158"/>
        <v>-8.7499999999999994E-2</v>
      </c>
      <c r="L180" s="328">
        <v>628465614.61000001</v>
      </c>
      <c r="M180" s="332">
        <v>73</v>
      </c>
      <c r="N180" s="23">
        <f t="shared" si="159"/>
        <v>-1.584005564001682E-2</v>
      </c>
      <c r="O180" s="23">
        <f t="shared" si="160"/>
        <v>0</v>
      </c>
      <c r="P180" s="328">
        <v>626110565.75</v>
      </c>
      <c r="Q180" s="332">
        <v>73</v>
      </c>
      <c r="R180" s="23">
        <f t="shared" si="161"/>
        <v>-3.7472994627740469E-3</v>
      </c>
      <c r="S180" s="23">
        <f t="shared" si="162"/>
        <v>0</v>
      </c>
      <c r="T180" s="328">
        <v>631488101.87</v>
      </c>
      <c r="U180" s="332">
        <v>73</v>
      </c>
      <c r="V180" s="23">
        <f t="shared" si="163"/>
        <v>8.5887963151658493E-3</v>
      </c>
      <c r="W180" s="23">
        <f t="shared" si="164"/>
        <v>0</v>
      </c>
      <c r="X180" s="328">
        <v>643963752.39999998</v>
      </c>
      <c r="Y180" s="332">
        <v>73</v>
      </c>
      <c r="Z180" s="23">
        <f t="shared" si="165"/>
        <v>1.9755955010167785E-2</v>
      </c>
      <c r="AA180" s="23">
        <f t="shared" si="166"/>
        <v>0</v>
      </c>
      <c r="AB180" s="328">
        <v>645296184.25</v>
      </c>
      <c r="AC180" s="332">
        <v>73</v>
      </c>
      <c r="AD180" s="23">
        <f t="shared" si="167"/>
        <v>2.0691100159506803E-3</v>
      </c>
      <c r="AE180" s="23">
        <f t="shared" si="168"/>
        <v>0</v>
      </c>
      <c r="AF180" s="328">
        <v>666980870.99000001</v>
      </c>
      <c r="AG180" s="332">
        <v>73</v>
      </c>
      <c r="AH180" s="23">
        <f t="shared" si="169"/>
        <v>3.3604238285095685E-2</v>
      </c>
      <c r="AI180" s="23">
        <f t="shared" si="170"/>
        <v>0</v>
      </c>
      <c r="AJ180" s="24">
        <f t="shared" si="177"/>
        <v>4.9037107753021007E-3</v>
      </c>
      <c r="AK180" s="24">
        <f t="shared" si="178"/>
        <v>-1.0937499999999999E-2</v>
      </c>
      <c r="AL180" s="25">
        <f t="shared" si="179"/>
        <v>3.1147048994735554E-2</v>
      </c>
      <c r="AM180" s="25">
        <f t="shared" si="180"/>
        <v>-8.7499999999999994E-2</v>
      </c>
      <c r="AN180" s="26">
        <f t="shared" si="181"/>
        <v>1.6432092746772656E-2</v>
      </c>
      <c r="AO180" s="78">
        <f t="shared" si="182"/>
        <v>3.0935921676911452E-2</v>
      </c>
    </row>
    <row r="181" spans="1:41">
      <c r="A181" s="207" t="s">
        <v>40</v>
      </c>
      <c r="B181" s="328">
        <v>481090507.00999999</v>
      </c>
      <c r="C181" s="332">
        <v>265</v>
      </c>
      <c r="D181" s="328">
        <v>478502096.05000001</v>
      </c>
      <c r="E181" s="332">
        <v>289.12</v>
      </c>
      <c r="F181" s="23">
        <f>((D181-B181)/B181)</f>
        <v>-5.3802993870884584E-3</v>
      </c>
      <c r="G181" s="23">
        <f>((E181-C181)/C181)</f>
        <v>9.1018867924528318E-2</v>
      </c>
      <c r="H181" s="328">
        <v>474765369.13</v>
      </c>
      <c r="I181" s="332">
        <v>286.11</v>
      </c>
      <c r="J181" s="23">
        <f t="shared" si="157"/>
        <v>-7.8092174534791503E-3</v>
      </c>
      <c r="K181" s="23">
        <f t="shared" si="158"/>
        <v>-1.0410902047592664E-2</v>
      </c>
      <c r="L181" s="328">
        <v>468384420.36000001</v>
      </c>
      <c r="M181" s="332">
        <v>285</v>
      </c>
      <c r="N181" s="23">
        <f t="shared" si="159"/>
        <v>-1.3440215282957493E-2</v>
      </c>
      <c r="O181" s="23">
        <f t="shared" si="160"/>
        <v>-3.8796267169970066E-3</v>
      </c>
      <c r="P181" s="328">
        <v>466421971.91000003</v>
      </c>
      <c r="Q181" s="332">
        <v>254</v>
      </c>
      <c r="R181" s="23">
        <f t="shared" si="161"/>
        <v>-4.1898243508860762E-3</v>
      </c>
      <c r="S181" s="23">
        <f t="shared" si="162"/>
        <v>-0.10877192982456141</v>
      </c>
      <c r="T181" s="328">
        <v>477351382.81</v>
      </c>
      <c r="U181" s="332">
        <v>228.6</v>
      </c>
      <c r="V181" s="23">
        <f t="shared" si="163"/>
        <v>2.3432452925071241E-2</v>
      </c>
      <c r="W181" s="23">
        <f t="shared" si="164"/>
        <v>-0.10000000000000002</v>
      </c>
      <c r="X181" s="328">
        <v>476720425.44</v>
      </c>
      <c r="Y181" s="332">
        <v>248.95</v>
      </c>
      <c r="Z181" s="23">
        <f t="shared" si="165"/>
        <v>-1.3217880846720926E-3</v>
      </c>
      <c r="AA181" s="23">
        <f t="shared" si="166"/>
        <v>8.9020122484689393E-2</v>
      </c>
      <c r="AB181" s="328">
        <v>476224471</v>
      </c>
      <c r="AC181" s="332">
        <v>240</v>
      </c>
      <c r="AD181" s="23">
        <f t="shared" si="167"/>
        <v>-1.0403465291889795E-3</v>
      </c>
      <c r="AE181" s="23">
        <f t="shared" si="168"/>
        <v>-3.595099417553721E-2</v>
      </c>
      <c r="AF181" s="328">
        <v>476751713.42000002</v>
      </c>
      <c r="AG181" s="332">
        <v>247.5</v>
      </c>
      <c r="AH181" s="23">
        <f t="shared" si="169"/>
        <v>1.1071300449825407E-3</v>
      </c>
      <c r="AI181" s="23">
        <f t="shared" si="170"/>
        <v>3.125E-2</v>
      </c>
      <c r="AJ181" s="24">
        <f t="shared" si="177"/>
        <v>-1.0802635147773086E-3</v>
      </c>
      <c r="AK181" s="24">
        <f t="shared" si="178"/>
        <v>-5.9655577944338258E-3</v>
      </c>
      <c r="AL181" s="25">
        <f t="shared" si="179"/>
        <v>-3.6580458987521196E-3</v>
      </c>
      <c r="AM181" s="25">
        <f t="shared" si="180"/>
        <v>-0.14395406751521861</v>
      </c>
      <c r="AN181" s="26">
        <f t="shared" si="181"/>
        <v>1.090166953954981E-2</v>
      </c>
      <c r="AO181" s="78">
        <f t="shared" si="182"/>
        <v>7.5732726528362909E-2</v>
      </c>
    </row>
    <row r="182" spans="1:41">
      <c r="A182" s="207" t="s">
        <v>50</v>
      </c>
      <c r="B182" s="328">
        <v>178998075.52000001</v>
      </c>
      <c r="C182" s="332">
        <v>7.01</v>
      </c>
      <c r="D182" s="328">
        <v>178998075.52000001</v>
      </c>
      <c r="E182" s="332">
        <v>7.08</v>
      </c>
      <c r="F182" s="23">
        <f>((D182-B182)/B182)</f>
        <v>0</v>
      </c>
      <c r="G182" s="23">
        <f>((E182-C182)/C182)</f>
        <v>9.985734664764663E-3</v>
      </c>
      <c r="H182" s="328">
        <v>154984118.11000001</v>
      </c>
      <c r="I182" s="332">
        <v>7.03</v>
      </c>
      <c r="J182" s="23">
        <f t="shared" si="157"/>
        <v>-0.13415762901493788</v>
      </c>
      <c r="K182" s="23">
        <f t="shared" si="158"/>
        <v>-7.0621468926553421E-3</v>
      </c>
      <c r="L182" s="328">
        <v>154928813.90000001</v>
      </c>
      <c r="M182" s="332">
        <v>7.04</v>
      </c>
      <c r="N182" s="23">
        <f t="shared" si="159"/>
        <v>-3.5683791781010855E-4</v>
      </c>
      <c r="O182" s="23">
        <f t="shared" si="160"/>
        <v>1.4224751066856027E-3</v>
      </c>
      <c r="P182" s="328">
        <v>155001741.49000001</v>
      </c>
      <c r="Q182" s="332">
        <v>7.05</v>
      </c>
      <c r="R182" s="23">
        <f t="shared" si="161"/>
        <v>4.7071676445593425E-4</v>
      </c>
      <c r="S182" s="23">
        <f t="shared" si="162"/>
        <v>1.4204545454545151E-3</v>
      </c>
      <c r="T182" s="328">
        <v>164375317.97</v>
      </c>
      <c r="U182" s="332">
        <v>7.41</v>
      </c>
      <c r="V182" s="23">
        <f t="shared" si="163"/>
        <v>6.047400751690734E-2</v>
      </c>
      <c r="W182" s="23">
        <f t="shared" si="164"/>
        <v>5.1063829787234088E-2</v>
      </c>
      <c r="X182" s="328">
        <v>164394642.63</v>
      </c>
      <c r="Y182" s="332">
        <v>7.41</v>
      </c>
      <c r="Z182" s="23">
        <f t="shared" si="165"/>
        <v>1.175642440644486E-4</v>
      </c>
      <c r="AA182" s="23">
        <f t="shared" si="166"/>
        <v>0</v>
      </c>
      <c r="AB182" s="328">
        <v>165091749.72999999</v>
      </c>
      <c r="AC182" s="332">
        <v>7.48</v>
      </c>
      <c r="AD182" s="23">
        <f t="shared" si="167"/>
        <v>4.2404490124958649E-3</v>
      </c>
      <c r="AE182" s="23">
        <f t="shared" si="168"/>
        <v>9.4466936572200118E-3</v>
      </c>
      <c r="AF182" s="328">
        <v>168578605.78</v>
      </c>
      <c r="AG182" s="332">
        <v>7.62</v>
      </c>
      <c r="AH182" s="23">
        <f t="shared" si="169"/>
        <v>2.112071654520959E-2</v>
      </c>
      <c r="AI182" s="23">
        <f t="shared" si="170"/>
        <v>1.8716577540106909E-2</v>
      </c>
      <c r="AJ182" s="24">
        <f t="shared" si="177"/>
        <v>-6.0113766062018523E-3</v>
      </c>
      <c r="AK182" s="24">
        <f t="shared" si="178"/>
        <v>1.0624202301101306E-2</v>
      </c>
      <c r="AL182" s="25">
        <f t="shared" si="179"/>
        <v>-5.820995398822492E-2</v>
      </c>
      <c r="AM182" s="25">
        <f t="shared" si="180"/>
        <v>7.6271186440677971E-2</v>
      </c>
      <c r="AN182" s="26">
        <f t="shared" si="181"/>
        <v>5.5845079873554818E-2</v>
      </c>
      <c r="AO182" s="78">
        <f t="shared" si="182"/>
        <v>1.8117495704442182E-2</v>
      </c>
    </row>
    <row r="183" spans="1:41">
      <c r="A183" s="207" t="s">
        <v>60</v>
      </c>
      <c r="B183" s="75">
        <v>369786197.62</v>
      </c>
      <c r="C183" s="332">
        <v>4.42</v>
      </c>
      <c r="D183" s="75">
        <v>369786197.62</v>
      </c>
      <c r="E183" s="332">
        <v>4.58</v>
      </c>
      <c r="F183" s="23">
        <f>((D183-B183)/B183)</f>
        <v>0</v>
      </c>
      <c r="G183" s="23">
        <f>((E183-C183)/C183)</f>
        <v>3.6199095022624465E-2</v>
      </c>
      <c r="H183" s="75">
        <v>349202483.66000003</v>
      </c>
      <c r="I183" s="332">
        <v>4.53</v>
      </c>
      <c r="J183" s="23">
        <f t="shared" si="157"/>
        <v>-5.5663824373326752E-2</v>
      </c>
      <c r="K183" s="23">
        <f t="shared" si="158"/>
        <v>-1.0917030567685551E-2</v>
      </c>
      <c r="L183" s="75">
        <v>343445367.83999997</v>
      </c>
      <c r="M183" s="332">
        <v>4.47</v>
      </c>
      <c r="N183" s="23">
        <f t="shared" si="159"/>
        <v>-1.6486468709098447E-2</v>
      </c>
      <c r="O183" s="23">
        <f t="shared" si="160"/>
        <v>-1.3245033112582891E-2</v>
      </c>
      <c r="P183" s="75">
        <v>354042680.63</v>
      </c>
      <c r="Q183" s="332">
        <v>4.3600000000000003</v>
      </c>
      <c r="R183" s="23">
        <f t="shared" si="161"/>
        <v>3.0855890870355149E-2</v>
      </c>
      <c r="S183" s="23">
        <f t="shared" si="162"/>
        <v>-2.4608501118568108E-2</v>
      </c>
      <c r="T183" s="75">
        <v>360064239.17000002</v>
      </c>
      <c r="U183" s="332">
        <v>4.43</v>
      </c>
      <c r="V183" s="23">
        <f t="shared" si="163"/>
        <v>1.7008001773359586E-2</v>
      </c>
      <c r="W183" s="23">
        <f t="shared" si="164"/>
        <v>1.6055045871559492E-2</v>
      </c>
      <c r="X183" s="75">
        <v>379381189.43000001</v>
      </c>
      <c r="Y183" s="332">
        <v>4.66</v>
      </c>
      <c r="Z183" s="23">
        <f t="shared" si="165"/>
        <v>5.3648621991809975E-2</v>
      </c>
      <c r="AA183" s="23">
        <f t="shared" si="166"/>
        <v>5.1918735891647957E-2</v>
      </c>
      <c r="AB183" s="75">
        <v>375890551.91000003</v>
      </c>
      <c r="AC183" s="332">
        <v>4.6100000000000003</v>
      </c>
      <c r="AD183" s="23">
        <f t="shared" si="167"/>
        <v>-9.2008713590794461E-3</v>
      </c>
      <c r="AE183" s="23">
        <f t="shared" si="168"/>
        <v>-1.0729613733905541E-2</v>
      </c>
      <c r="AF183" s="75">
        <v>385369042.60000002</v>
      </c>
      <c r="AG183" s="332">
        <v>4.75</v>
      </c>
      <c r="AH183" s="23">
        <f t="shared" si="169"/>
        <v>2.5216091869926661E-2</v>
      </c>
      <c r="AI183" s="23">
        <f t="shared" si="170"/>
        <v>3.036876355748366E-2</v>
      </c>
      <c r="AJ183" s="24">
        <f t="shared" si="177"/>
        <v>5.6721802579933409E-3</v>
      </c>
      <c r="AK183" s="24">
        <f t="shared" si="178"/>
        <v>9.3801827263216859E-3</v>
      </c>
      <c r="AL183" s="25">
        <f t="shared" si="179"/>
        <v>4.2140147686132071E-2</v>
      </c>
      <c r="AM183" s="25">
        <f t="shared" si="180"/>
        <v>3.7117903930130987E-2</v>
      </c>
      <c r="AN183" s="26">
        <f t="shared" si="181"/>
        <v>3.3706540386171324E-2</v>
      </c>
      <c r="AO183" s="78">
        <f t="shared" si="182"/>
        <v>2.8023889522816134E-2</v>
      </c>
    </row>
    <row r="184" spans="1:41">
      <c r="A184" s="207" t="s">
        <v>93</v>
      </c>
      <c r="B184" s="328">
        <v>563011014.87</v>
      </c>
      <c r="C184" s="332">
        <v>145.47</v>
      </c>
      <c r="D184" s="328">
        <v>559490655.87</v>
      </c>
      <c r="E184" s="332">
        <v>144.26</v>
      </c>
      <c r="F184" s="23">
        <f>((D184-B184)/B184)</f>
        <v>-6.2527355718126681E-3</v>
      </c>
      <c r="G184" s="23">
        <f>((E184-C184)/C184)</f>
        <v>-8.3178662267134659E-3</v>
      </c>
      <c r="H184" s="328">
        <v>502329033.66000003</v>
      </c>
      <c r="I184" s="332">
        <v>143.69</v>
      </c>
      <c r="J184" s="23">
        <f t="shared" si="157"/>
        <v>-0.1021672508920001</v>
      </c>
      <c r="K184" s="23">
        <f t="shared" si="158"/>
        <v>-3.9511992236239656E-3</v>
      </c>
      <c r="L184" s="328">
        <v>502786320.23000002</v>
      </c>
      <c r="M184" s="332">
        <v>143.82</v>
      </c>
      <c r="N184" s="23">
        <f t="shared" si="159"/>
        <v>9.1033274877260221E-4</v>
      </c>
      <c r="O184" s="23">
        <f t="shared" si="160"/>
        <v>9.04725450622837E-4</v>
      </c>
      <c r="P184" s="328">
        <v>503980955.83999997</v>
      </c>
      <c r="Q184" s="332">
        <v>144.16</v>
      </c>
      <c r="R184" s="23">
        <f t="shared" si="161"/>
        <v>2.3760304565435823E-3</v>
      </c>
      <c r="S184" s="23">
        <f t="shared" si="162"/>
        <v>2.3640661938534517E-3</v>
      </c>
      <c r="T184" s="328">
        <v>507164044.56</v>
      </c>
      <c r="U184" s="332">
        <v>145.07</v>
      </c>
      <c r="V184" s="23">
        <f t="shared" si="163"/>
        <v>6.315890874675374E-3</v>
      </c>
      <c r="W184" s="23">
        <f t="shared" si="164"/>
        <v>6.3124306326303873E-3</v>
      </c>
      <c r="X184" s="328">
        <v>507266573.44999999</v>
      </c>
      <c r="Y184" s="332">
        <v>145.1</v>
      </c>
      <c r="Z184" s="23">
        <f t="shared" si="165"/>
        <v>2.0216119636189237E-4</v>
      </c>
      <c r="AA184" s="23">
        <f t="shared" si="166"/>
        <v>2.0679671882540247E-4</v>
      </c>
      <c r="AB184" s="328">
        <v>504608337.55000001</v>
      </c>
      <c r="AC184" s="332">
        <v>144.34</v>
      </c>
      <c r="AD184" s="23">
        <f t="shared" si="167"/>
        <v>-5.2403135533273847E-3</v>
      </c>
      <c r="AE184" s="23">
        <f t="shared" si="168"/>
        <v>-5.2377670572018673E-3</v>
      </c>
      <c r="AF184" s="328">
        <v>480681707.23000002</v>
      </c>
      <c r="AG184" s="332">
        <v>137.54</v>
      </c>
      <c r="AH184" s="23">
        <f t="shared" si="169"/>
        <v>-4.7416240556328856E-2</v>
      </c>
      <c r="AI184" s="23">
        <f t="shared" si="170"/>
        <v>-4.7110987945129634E-2</v>
      </c>
      <c r="AJ184" s="24">
        <f t="shared" si="177"/>
        <v>-1.8909015662139442E-2</v>
      </c>
      <c r="AK184" s="24">
        <f t="shared" si="178"/>
        <v>-6.8537251820921068E-3</v>
      </c>
      <c r="AL184" s="25">
        <f t="shared" si="179"/>
        <v>-0.14085838219666635</v>
      </c>
      <c r="AM184" s="25">
        <f t="shared" si="180"/>
        <v>-4.6582559267988349E-2</v>
      </c>
      <c r="AN184" s="26">
        <f t="shared" si="181"/>
        <v>3.7680997860305612E-2</v>
      </c>
      <c r="AO184" s="78">
        <f t="shared" si="182"/>
        <v>1.6912323293526828E-2</v>
      </c>
    </row>
    <row r="185" spans="1:41">
      <c r="A185" s="207" t="s">
        <v>30</v>
      </c>
      <c r="B185" s="328">
        <v>2896733000</v>
      </c>
      <c r="C185" s="332">
        <v>20.02</v>
      </c>
      <c r="D185" s="328">
        <v>2831416000</v>
      </c>
      <c r="E185" s="332">
        <v>20.02</v>
      </c>
      <c r="F185" s="23">
        <f>((D185-B185)/B185)</f>
        <v>-2.2548505506030415E-2</v>
      </c>
      <c r="G185" s="23">
        <f>((E185-C185)/C185)</f>
        <v>0</v>
      </c>
      <c r="H185" s="328">
        <v>2851630995.5500002</v>
      </c>
      <c r="I185" s="332">
        <v>19.350000000000001</v>
      </c>
      <c r="J185" s="23">
        <f t="shared" si="157"/>
        <v>7.1395356775550431E-3</v>
      </c>
      <c r="K185" s="23">
        <f t="shared" si="158"/>
        <v>-3.3466533466533374E-2</v>
      </c>
      <c r="L185" s="328">
        <v>2806952224.9899998</v>
      </c>
      <c r="M185" s="332">
        <v>19.04</v>
      </c>
      <c r="N185" s="23">
        <f t="shared" si="159"/>
        <v>-1.5667795247604654E-2</v>
      </c>
      <c r="O185" s="23">
        <f t="shared" si="160"/>
        <v>-1.6020671834625438E-2</v>
      </c>
      <c r="P185" s="328">
        <v>2803322645.0599999</v>
      </c>
      <c r="Q185" s="332">
        <v>18.93</v>
      </c>
      <c r="R185" s="23">
        <f t="shared" si="161"/>
        <v>-1.2930679395559571E-3</v>
      </c>
      <c r="S185" s="23">
        <f t="shared" si="162"/>
        <v>-5.7773109243697187E-3</v>
      </c>
      <c r="T185" s="328">
        <v>2867818359.6500001</v>
      </c>
      <c r="U185" s="332">
        <v>19.350000000000001</v>
      </c>
      <c r="V185" s="23">
        <f t="shared" si="163"/>
        <v>2.3006882459161149E-2</v>
      </c>
      <c r="W185" s="23">
        <f t="shared" si="164"/>
        <v>2.2187004754358253E-2</v>
      </c>
      <c r="X185" s="328">
        <v>2866807508.1999998</v>
      </c>
      <c r="Y185" s="332">
        <v>19.29</v>
      </c>
      <c r="Z185" s="23">
        <f t="shared" si="165"/>
        <v>-3.5248098841366451E-4</v>
      </c>
      <c r="AA185" s="23">
        <f t="shared" si="166"/>
        <v>-3.1007751937985671E-3</v>
      </c>
      <c r="AB185" s="328">
        <v>2867092206.77</v>
      </c>
      <c r="AC185" s="332">
        <v>19.27</v>
      </c>
      <c r="AD185" s="23">
        <f t="shared" si="167"/>
        <v>9.9308575544692612E-5</v>
      </c>
      <c r="AE185" s="23">
        <f t="shared" si="168"/>
        <v>-1.0368066355624455E-3</v>
      </c>
      <c r="AF185" s="328">
        <v>2821817037.1100001</v>
      </c>
      <c r="AG185" s="332">
        <v>19.25</v>
      </c>
      <c r="AH185" s="23">
        <f t="shared" si="169"/>
        <v>-1.5791319704714278E-2</v>
      </c>
      <c r="AI185" s="23">
        <f t="shared" si="170"/>
        <v>-1.0378827192527023E-3</v>
      </c>
      <c r="AJ185" s="24">
        <f t="shared" si="177"/>
        <v>-3.1759303342572607E-3</v>
      </c>
      <c r="AK185" s="24">
        <f t="shared" si="178"/>
        <v>-4.7816220024729994E-3</v>
      </c>
      <c r="AL185" s="25">
        <f t="shared" si="179"/>
        <v>-3.3901633988081816E-3</v>
      </c>
      <c r="AM185" s="25">
        <f t="shared" si="180"/>
        <v>-3.8461538461538443E-2</v>
      </c>
      <c r="AN185" s="26">
        <f t="shared" si="181"/>
        <v>1.4661339631375614E-2</v>
      </c>
      <c r="AO185" s="78">
        <f t="shared" si="182"/>
        <v>1.5726079310363007E-2</v>
      </c>
    </row>
    <row r="186" spans="1:41">
      <c r="A186" s="207" t="s">
        <v>51</v>
      </c>
      <c r="B186" s="75">
        <v>267373684.19999999</v>
      </c>
      <c r="C186" s="332">
        <v>25.49</v>
      </c>
      <c r="D186" s="75">
        <v>267373684.19999999</v>
      </c>
      <c r="E186" s="332">
        <v>25.59</v>
      </c>
      <c r="F186" s="23">
        <f>((D186-B186)/B186)</f>
        <v>0</v>
      </c>
      <c r="G186" s="23">
        <f>((E186-C186)/C186)</f>
        <v>3.9231071008239086E-3</v>
      </c>
      <c r="H186" s="75">
        <v>259443510.68000001</v>
      </c>
      <c r="I186" s="332">
        <v>24.65</v>
      </c>
      <c r="J186" s="23">
        <f t="shared" si="157"/>
        <v>-2.9659513963491181E-2</v>
      </c>
      <c r="K186" s="23">
        <f t="shared" si="158"/>
        <v>-3.6733098866744869E-2</v>
      </c>
      <c r="L186" s="75">
        <v>258249284.53</v>
      </c>
      <c r="M186" s="332">
        <v>24.56</v>
      </c>
      <c r="N186" s="23">
        <f t="shared" si="159"/>
        <v>-4.6030295645859316E-3</v>
      </c>
      <c r="O186" s="23">
        <f t="shared" si="160"/>
        <v>-3.6511156186612519E-3</v>
      </c>
      <c r="P186" s="75">
        <v>257695353.47</v>
      </c>
      <c r="Q186" s="332">
        <v>24.51</v>
      </c>
      <c r="R186" s="23">
        <f t="shared" si="161"/>
        <v>-2.1449471235055985E-3</v>
      </c>
      <c r="S186" s="23">
        <f t="shared" si="162"/>
        <v>-2.0358306188923924E-3</v>
      </c>
      <c r="T186" s="75">
        <v>259160288.34</v>
      </c>
      <c r="U186" s="332">
        <v>24.57</v>
      </c>
      <c r="V186" s="23">
        <f t="shared" si="163"/>
        <v>5.6847546929888566E-3</v>
      </c>
      <c r="W186" s="23">
        <f t="shared" si="164"/>
        <v>2.4479804161566185E-3</v>
      </c>
      <c r="X186" s="75">
        <v>259243253.44999999</v>
      </c>
      <c r="Y186" s="332">
        <v>24.59</v>
      </c>
      <c r="Z186" s="23">
        <f t="shared" si="165"/>
        <v>3.2013048963404507E-4</v>
      </c>
      <c r="AA186" s="23">
        <f t="shared" si="166"/>
        <v>8.1400081400079662E-4</v>
      </c>
      <c r="AB186" s="75">
        <v>249912967.24000001</v>
      </c>
      <c r="AC186" s="332">
        <v>23.77</v>
      </c>
      <c r="AD186" s="23">
        <f t="shared" si="167"/>
        <v>-3.5990468742514457E-2</v>
      </c>
      <c r="AE186" s="23">
        <f t="shared" si="168"/>
        <v>-3.3346888979259873E-2</v>
      </c>
      <c r="AF186" s="75">
        <v>250409420.94</v>
      </c>
      <c r="AG186" s="332">
        <v>23.76</v>
      </c>
      <c r="AH186" s="23">
        <f t="shared" si="169"/>
        <v>1.9865063645266015E-3</v>
      </c>
      <c r="AI186" s="23">
        <f t="shared" si="170"/>
        <v>-4.2069835927631514E-4</v>
      </c>
      <c r="AJ186" s="24">
        <f t="shared" si="177"/>
        <v>-8.0508209808684578E-3</v>
      </c>
      <c r="AK186" s="24">
        <f t="shared" si="178"/>
        <v>-8.6253180139816716E-3</v>
      </c>
      <c r="AL186" s="25">
        <f t="shared" si="179"/>
        <v>-6.3447767160624668E-2</v>
      </c>
      <c r="AM186" s="25">
        <f t="shared" si="180"/>
        <v>-7.1512309495896764E-2</v>
      </c>
      <c r="AN186" s="26">
        <f t="shared" si="181"/>
        <v>1.5669026168344022E-2</v>
      </c>
      <c r="AO186" s="78">
        <f t="shared" si="182"/>
        <v>1.6500497324355181E-2</v>
      </c>
    </row>
    <row r="187" spans="1:41" ht="15.75" thickBot="1">
      <c r="A187" s="208" t="s">
        <v>33</v>
      </c>
      <c r="B187" s="77">
        <f>SUM(B175:B186)</f>
        <v>7518365561.5</v>
      </c>
      <c r="C187" s="311"/>
      <c r="D187" s="77">
        <f>SUM(D175:D186)</f>
        <v>7453517752.9404144</v>
      </c>
      <c r="E187" s="311"/>
      <c r="F187" s="23">
        <f>((D187-B187)/B187)</f>
        <v>-8.6252534582327081E-3</v>
      </c>
      <c r="G187" s="214"/>
      <c r="H187" s="77">
        <f>SUM(H175:H186)</f>
        <v>7407165496.3106413</v>
      </c>
      <c r="I187" s="311"/>
      <c r="J187" s="23">
        <f>((H187-D187)/D187)</f>
        <v>-6.2188429901420929E-3</v>
      </c>
      <c r="K187" s="214"/>
      <c r="L187" s="77">
        <f>SUM(L175:L186)</f>
        <v>7288227210.7975979</v>
      </c>
      <c r="M187" s="311"/>
      <c r="N187" s="23">
        <f>((L187-H187)/H187)</f>
        <v>-1.60571929400368E-2</v>
      </c>
      <c r="O187" s="214"/>
      <c r="P187" s="77">
        <f>SUM(P175:P186)</f>
        <v>7234240927.5619497</v>
      </c>
      <c r="Q187" s="311"/>
      <c r="R187" s="23">
        <f>((P187-L187)/L187)</f>
        <v>-7.407327142006058E-3</v>
      </c>
      <c r="S187" s="214"/>
      <c r="T187" s="77">
        <f>SUM(T175:T186)</f>
        <v>7427652708.1927681</v>
      </c>
      <c r="U187" s="311"/>
      <c r="V187" s="23">
        <f>((T187-P187)/P187)</f>
        <v>2.6735601228586828E-2</v>
      </c>
      <c r="W187" s="214"/>
      <c r="X187" s="77">
        <f>SUM(X175:X186)</f>
        <v>7434093500.5296631</v>
      </c>
      <c r="Y187" s="311"/>
      <c r="Z187" s="23">
        <f>((X187-T187)/T187)</f>
        <v>8.671369798685844E-4</v>
      </c>
      <c r="AA187" s="214"/>
      <c r="AB187" s="77">
        <f>SUM(AB175:AB186)</f>
        <v>7900432480.0985355</v>
      </c>
      <c r="AC187" s="311"/>
      <c r="AD187" s="23">
        <f>((AB187-X187)/X187)</f>
        <v>6.2729770554492872E-2</v>
      </c>
      <c r="AE187" s="214"/>
      <c r="AF187" s="77">
        <f>SUM(AF175:AF186)</f>
        <v>7477851810.9399996</v>
      </c>
      <c r="AG187" s="311"/>
      <c r="AH187" s="23">
        <f>((AF187-AB187)/AB187)</f>
        <v>-5.3488295763938411E-2</v>
      </c>
      <c r="AI187" s="214"/>
      <c r="AJ187" s="24">
        <f t="shared" si="177"/>
        <v>-1.8305044142597274E-4</v>
      </c>
      <c r="AK187" s="24"/>
      <c r="AL187" s="25">
        <f t="shared" si="179"/>
        <v>3.2647749433460946E-3</v>
      </c>
      <c r="AM187" s="25"/>
      <c r="AN187" s="26">
        <f t="shared" si="181"/>
        <v>3.3672941836117687E-2</v>
      </c>
      <c r="AO187" s="78"/>
    </row>
    <row r="188" spans="1:41" ht="15.75" thickBot="1">
      <c r="A188" s="63" t="s">
        <v>43</v>
      </c>
      <c r="B188" s="227">
        <f>SUM(B167,B172,B187)</f>
        <v>1675766314367.9641</v>
      </c>
      <c r="C188" s="312"/>
      <c r="D188" s="227">
        <f>SUM(D167,D172,D187)</f>
        <v>1671153528781.3923</v>
      </c>
      <c r="E188" s="312"/>
      <c r="F188" s="214">
        <f>((D188-B188)/B188)</f>
        <v>-2.752642505713302E-3</v>
      </c>
      <c r="G188" s="310"/>
      <c r="H188" s="227">
        <f>SUM(H167,H172,H187)</f>
        <v>1686140811863.7493</v>
      </c>
      <c r="I188" s="312"/>
      <c r="J188" s="214">
        <f>((H188-D188)/D188)</f>
        <v>8.9682263324337916E-3</v>
      </c>
      <c r="K188" s="310"/>
      <c r="L188" s="227">
        <f>SUM(L167,L172,L187)</f>
        <v>1690494681920.949</v>
      </c>
      <c r="M188" s="312"/>
      <c r="N188" s="214">
        <f>((L188-H188)/H188)</f>
        <v>2.5821509250981388E-3</v>
      </c>
      <c r="O188" s="310"/>
      <c r="P188" s="227">
        <f>SUM(P167,P172,P187)</f>
        <v>1689087835382.427</v>
      </c>
      <c r="Q188" s="312"/>
      <c r="R188" s="214">
        <f>((P188-L188)/L188)</f>
        <v>-8.3220997591269537E-4</v>
      </c>
      <c r="S188" s="310"/>
      <c r="T188" s="227">
        <f>SUM(T167,T172,T187)</f>
        <v>1675117351047.1646</v>
      </c>
      <c r="U188" s="312"/>
      <c r="V188" s="214">
        <f>((T188-P188)/P188)</f>
        <v>-8.2710229998781502E-3</v>
      </c>
      <c r="W188" s="310"/>
      <c r="X188" s="227">
        <f>SUM(X167,X172,X187)</f>
        <v>1739618684560.0811</v>
      </c>
      <c r="Y188" s="312"/>
      <c r="Z188" s="214">
        <f>((X188-T188)/T188)</f>
        <v>3.8505561101492287E-2</v>
      </c>
      <c r="AA188" s="310"/>
      <c r="AB188" s="227">
        <f>SUM(AB167,AB172,AB187)</f>
        <v>1744855165182.175</v>
      </c>
      <c r="AC188" s="312"/>
      <c r="AD188" s="214">
        <f>((AB188-X188)/X188)</f>
        <v>3.0101312825449493E-3</v>
      </c>
      <c r="AE188" s="310"/>
      <c r="AF188" s="227">
        <f>SUM(AF167,AF172,AF187)</f>
        <v>1735632311170.3931</v>
      </c>
      <c r="AG188" s="312"/>
      <c r="AH188" s="214">
        <f>((AF188-AB188)/AB188)</f>
        <v>-5.2857418746380894E-3</v>
      </c>
      <c r="AI188" s="310"/>
      <c r="AJ188" s="24">
        <f t="shared" si="177"/>
        <v>4.4905565356783668E-3</v>
      </c>
      <c r="AK188" s="24"/>
      <c r="AL188" s="25">
        <f t="shared" si="179"/>
        <v>3.8583398400276699E-2</v>
      </c>
      <c r="AM188" s="25"/>
      <c r="AN188" s="26">
        <f t="shared" si="181"/>
        <v>1.4746105693493406E-2</v>
      </c>
      <c r="AO188" s="78"/>
    </row>
    <row r="189" spans="1:41">
      <c r="D189" s="312"/>
      <c r="E189" s="312"/>
    </row>
  </sheetData>
  <protectedRanges>
    <protectedRange password="CADF" sqref="B18" name="Fund Name_1_1_1_3_1_1_3"/>
    <protectedRange password="CADF" sqref="C18" name="Fund Name_1_1_1_1_1_1_3"/>
    <protectedRange password="CADF" sqref="B76" name="Yield_2_1_2_1_1_9"/>
    <protectedRange password="CADF" sqref="C76" name="Fund Name_2_2_1_1_9"/>
    <protectedRange password="CADF" sqref="C75" name="BidOffer Prices_2_1_1_1_1_1_1_1_1_1_9"/>
    <protectedRange password="CADF" sqref="B93:B94" name="Yield_2_1_2_6_3_8"/>
    <protectedRange password="CADF" sqref="B46" name="Yield_2_1_2_3_1_2"/>
    <protectedRange password="CADF" sqref="B51" name="Yield_2_1_2_4_1_2"/>
    <protectedRange password="CADF" sqref="B123 B143:B144" name="Fund Name_1_1_1_2_3"/>
    <protectedRange password="CADF" sqref="C123 C143:C144" name="Fund Name_1_1_1_1_2_3"/>
    <protectedRange password="CADF" sqref="D18" name="Fund Name_1_1_1_3_1_1_4"/>
    <protectedRange password="CADF" sqref="E18" name="Fund Name_1_1_1_1_1_1_4"/>
    <protectedRange password="CADF" sqref="D46" name="Yield_2_1_2_3_1_3"/>
    <protectedRange password="CADF" sqref="D51" name="Yield_2_1_2_4_1_3"/>
    <protectedRange password="CADF" sqref="D76" name="Yield_2_1_2_1_1_2"/>
    <protectedRange password="CADF" sqref="E76" name="Fund Name_2_2_1_1_3"/>
    <protectedRange password="CADF" sqref="E75" name="BidOffer Prices_2_1_1_1_1_1_1_1_1_1_3"/>
    <protectedRange password="CADF" sqref="D93:D94" name="Yield_2_1_2_6_3_9"/>
    <protectedRange password="CADF" sqref="D123 D143:D144" name="Fund Name_1_1_1_2_4"/>
    <protectedRange password="CADF" sqref="E123 E143:E144" name="Fund Name_1_1_1_1_2_4"/>
    <protectedRange password="CADF" sqref="H18" name="Fund Name_1_1_1_3_1_1"/>
    <protectedRange password="CADF" sqref="I18" name="Fund Name_1_1_1_1_1_1"/>
    <protectedRange password="CADF" sqref="H46" name="Yield_2_1_2_3_1_4"/>
    <protectedRange password="CADF" sqref="H51" name="Yield_2_1_2_4_1_4"/>
    <protectedRange password="CADF" sqref="H76" name="Yield_2_1_2_1_1_3"/>
    <protectedRange password="CADF" sqref="I76" name="Fund Name_2_2_1_1_4"/>
    <protectedRange password="CADF" sqref="I75" name="BidOffer Prices_2_1_1_1_1_1_1_1_1_1"/>
    <protectedRange password="CADF" sqref="H93:H94" name="Yield_2_1_2_6_3"/>
    <protectedRange password="CADF" sqref="H123 H143:H144" name="Fund Name_1_1_1_2"/>
    <protectedRange password="CADF" sqref="I123 I143:I144" name="Fund Name_1_1_1_1_2_5"/>
    <protectedRange password="CADF" sqref="L18" name="Fund Name_1_1_1_3_1_1_11"/>
    <protectedRange password="CADF" sqref="M18" name="Fund Name_1_1_1_1_1_1_11"/>
    <protectedRange password="CADF" sqref="L46" name="Yield_2_1_2_3_1_10"/>
    <protectedRange password="CADF" sqref="L51" name="Yield_2_1_2_4_1_10"/>
    <protectedRange password="CADF" sqref="L76" name="Yield_2_1_2_1_1_10"/>
    <protectedRange password="CADF" sqref="M76" name="Fund Name_2_2_1_1_5"/>
    <protectedRange password="CADF" sqref="M75" name="BidOffer Prices_2_1_1_1_1_1_1_1_1_1_4"/>
    <protectedRange password="CADF" sqref="L93:L94" name="Yield_2_1_2_6_3_1"/>
    <protectedRange password="CADF" sqref="L142:L144" name="Fund Name_1_1_1_2_10"/>
    <protectedRange password="CADF" sqref="M142:M144" name="Fund Name_1_1_1_1_2_10"/>
    <protectedRange password="CADF" sqref="P18" name="Fund Name_1_1_1_3_1_1_5"/>
    <protectedRange password="CADF" sqref="Q18" name="Fund Name_1_1_1_1_1_1_5"/>
    <protectedRange password="CADF" sqref="P46" name="Yield_2_1_2_3_1_5"/>
    <protectedRange password="CADF" sqref="P51" name="Yield_2_1_2_4_1_5"/>
    <protectedRange password="CADF" sqref="P76" name="Yield_2_1_2_1_1_4"/>
    <protectedRange password="CADF" sqref="Q76" name="Fund Name_2_2_1_1_6"/>
    <protectedRange password="CADF" sqref="Q75" name="BidOffer Prices_2_1_1_1_1_1_1_1_1_1_5"/>
    <protectedRange password="CADF" sqref="P93:P94" name="Yield_2_1_2_6_3_2"/>
    <protectedRange password="CADF" sqref="P142:P144" name="Fund Name_1_1_1_2_5"/>
    <protectedRange password="CADF" sqref="Q142:Q144" name="Fund Name_1_1_1_1_2_6"/>
    <protectedRange password="CADF" sqref="T18" name="Fund Name_1_1_1_3_1_1_6"/>
    <protectedRange password="CADF" sqref="U18" name="Fund Name_1_1_1_1_1_1_6"/>
    <protectedRange password="CADF" sqref="T46" name="Yield_2_1_2_3_1_6"/>
    <protectedRange password="CADF" sqref="T51" name="Yield_2_1_2_4_1_6"/>
    <protectedRange password="CADF" sqref="T76" name="Yield_2_1_2_1_1_5"/>
    <protectedRange password="CADF" sqref="U76" name="Fund Name_2_2_1_1_7"/>
    <protectedRange password="CADF" sqref="U75" name="BidOffer Prices_2_1_1_1_1_1_1_1_1_1_6"/>
    <protectedRange password="CADF" sqref="T93:T94" name="Yield_2_1_2_6_3_3"/>
    <protectedRange password="CADF" sqref="T142:T144" name="Fund Name_1_1_1_2_6"/>
    <protectedRange password="CADF" sqref="U142:U144" name="Fund Name_1_1_1_1_2_7"/>
    <protectedRange password="CADF" sqref="X18" name="Fund Name_1_1_1_3_1_1_1"/>
    <protectedRange password="CADF" sqref="Y18" name="Fund Name_1_1_1_1_1_1_1"/>
    <protectedRange password="CADF" sqref="X46" name="Yield_2_1_2_3_1_1"/>
    <protectedRange password="CADF" sqref="X51" name="Yield_2_1_2_4_1_1"/>
    <protectedRange password="CADF" sqref="X76" name="Yield_2_1_2_1_1_1"/>
    <protectedRange password="CADF" sqref="Y76" name="Fund Name_2_2_1_1"/>
    <protectedRange password="CADF" sqref="Y75" name="BidOffer Prices_2_1_1_1_1_1_1_1_1_1_1"/>
    <protectedRange password="CADF" sqref="X93:X94" name="Yield_2_1_2_6_3_4"/>
    <protectedRange password="CADF" sqref="X142:X144" name="Fund Name_1_1_1_2_1"/>
    <protectedRange password="CADF" sqref="Y142:Y144" name="Fund Name_1_1_1_1_2"/>
    <protectedRange password="CADF" sqref="AB18" name="Fund Name_1_1_1_3_1_1_7"/>
    <protectedRange password="CADF" sqref="AC18" name="Fund Name_1_1_1_1_1_1_8"/>
    <protectedRange password="CADF" sqref="AB46" name="Yield_2_1_2_3_1_7"/>
    <protectedRange password="CADF" sqref="AB51" name="Yield_2_1_2_4_1_7"/>
    <protectedRange password="CADF" sqref="AB76" name="Yield_2_1_2_1_1"/>
    <protectedRange password="CADF" sqref="AC76" name="Fund Name_2_2_1_1_1"/>
    <protectedRange password="CADF" sqref="AC75" name="BidOffer Prices_2_1_1_1_1_1_1_1_1_1_2"/>
    <protectedRange password="CADF" sqref="AB93:AB94" name="Yield_2_1_2_6_3_5"/>
    <protectedRange password="CADF" sqref="AB142:AB144" name="Fund Name_1_1_1_2_2"/>
    <protectedRange password="CADF" sqref="AC142:AC144" name="Fund Name_1_1_1_1_2_1"/>
    <protectedRange password="CADF" sqref="AF18" name="Fund Name_1_1_1_3_1_1_2"/>
    <protectedRange password="CADF" sqref="AG18" name="Fund Name_1_1_1_1_1_1_2"/>
    <protectedRange password="CADF" sqref="AF46" name="Yield_2_1_2_3_1"/>
    <protectedRange password="CADF" sqref="AF51" name="Yield_2_1_2_4_1"/>
    <protectedRange password="CADF" sqref="AF76" name="Yield_2_1_2_1_1_6"/>
    <protectedRange password="CADF" sqref="AG76" name="Fund Name_2_2_1_1_2"/>
    <protectedRange password="CADF" sqref="AG75" name="BidOffer Prices_2_1_1_1_1_1_1_1_1_1_7"/>
    <protectedRange password="CADF" sqref="AF93:AF94" name="Yield_2_1_2_6_3_6"/>
    <protectedRange password="CADF" sqref="AF142:AF144" name="Fund Name_1_1_1_2_8"/>
    <protectedRange password="CADF" sqref="AG142:AG144" name="Fund Name_1_1_1_1_2_2"/>
  </protectedRanges>
  <sortState ref="A174:AO185">
    <sortCondition ref="A174:A185"/>
  </sortState>
  <mergeCells count="31">
    <mergeCell ref="AF174:AG174"/>
    <mergeCell ref="A1:AO1"/>
    <mergeCell ref="AN2:AO2"/>
    <mergeCell ref="AL2:AM2"/>
    <mergeCell ref="AJ2:AK2"/>
    <mergeCell ref="D2:E2"/>
    <mergeCell ref="F2:G2"/>
    <mergeCell ref="H2:I2"/>
    <mergeCell ref="J2:K2"/>
    <mergeCell ref="T2:U2"/>
    <mergeCell ref="V2:W2"/>
    <mergeCell ref="X2:Y2"/>
    <mergeCell ref="Z2:AA2"/>
    <mergeCell ref="AB2:AC2"/>
    <mergeCell ref="AD2:AE2"/>
    <mergeCell ref="AF2:AG2"/>
    <mergeCell ref="P174:Q174"/>
    <mergeCell ref="AQ2:AR2"/>
    <mergeCell ref="AQ127:AR127"/>
    <mergeCell ref="B2:C2"/>
    <mergeCell ref="L2:M2"/>
    <mergeCell ref="N2:O2"/>
    <mergeCell ref="P2:Q2"/>
    <mergeCell ref="R2:S2"/>
    <mergeCell ref="D174:E174"/>
    <mergeCell ref="H174:I174"/>
    <mergeCell ref="L174:M174"/>
    <mergeCell ref="T174:U174"/>
    <mergeCell ref="X174:Y174"/>
    <mergeCell ref="AB174:AC174"/>
    <mergeCell ref="AH2:A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Data</vt:lpstr>
      <vt:lpstr>Market Share</vt:lpstr>
      <vt:lpstr>NAV Trend</vt:lpstr>
      <vt:lpstr>Volatility Measure</vt:lpstr>
      <vt:lpstr>NAV COMPARISON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2023-05-26T10:41:41Z</dcterms:modified>
</cp:coreProperties>
</file>